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PBDESA 2025-PAJAK BARU\Realisasi ABPDesa 2025 ACC @ - Copy\"/>
    </mc:Choice>
  </mc:AlternateContent>
  <xr:revisionPtr revIDLastSave="0" documentId="13_ncr:1_{BAC13B90-6018-45AF-8B17-167CD6295801}" xr6:coauthVersionLast="47" xr6:coauthVersionMax="47" xr10:uidLastSave="{00000000-0000-0000-0000-000000000000}"/>
  <bookViews>
    <workbookView xWindow="-120" yWindow="-120" windowWidth="20730" windowHeight="11040" tabRatio="817" activeTab="9" xr2:uid="{00000000-000D-0000-FFFF-FFFF00000000}"/>
  </bookViews>
  <sheets>
    <sheet name="Sheet2" sheetId="42" r:id="rId1"/>
    <sheet name="PEMBIYAAN " sheetId="39" r:id="rId2"/>
    <sheet name="REN" sheetId="38" r:id="rId3"/>
    <sheet name="KEU" sheetId="37" r:id="rId4"/>
    <sheet name="UMUM" sheetId="18" r:id="rId5"/>
    <sheet name="KESRA" sheetId="20" r:id="rId6"/>
    <sheet name="PEMER" sheetId="34" r:id="rId7"/>
    <sheet name="YAN" sheetId="36" r:id="rId8"/>
    <sheet name="REKAP" sheetId="32" r:id="rId9"/>
    <sheet name="POKOK+PER" sheetId="4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X" localSheetId="3">#REF!</definedName>
    <definedName name="\X" localSheetId="1">#REF!</definedName>
    <definedName name="\X" localSheetId="6">#REF!</definedName>
    <definedName name="\X" localSheetId="2">#REF!</definedName>
    <definedName name="\X" localSheetId="7">#REF!</definedName>
    <definedName name="\X">#REF!</definedName>
    <definedName name="____________________MDE09">[1]Peralatan!$BO$187</definedName>
    <definedName name="____________________MDE10">[1]Peralatan!$BO$207</definedName>
    <definedName name="____________________MDE11">[1]Peralatan!$BO$227</definedName>
    <definedName name="____________________MDE25">[1]Peralatan!$BO$507</definedName>
    <definedName name="____________________ME09">[1]Peralatan!$BO$186</definedName>
    <definedName name="____________________ME10">[1]Peralatan!$BO$206</definedName>
    <definedName name="____________________ME11">[1]Peralatan!$BO$226</definedName>
    <definedName name="____________________ME25">[1]Peralatan!$BO$506</definedName>
    <definedName name="___________________MDE01">[1]Peralatan!$BO$27</definedName>
    <definedName name="___________________MDE02">[1]Peralatan!$BO$47</definedName>
    <definedName name="___________________MDE03">[1]Peralatan!$BO$67</definedName>
    <definedName name="___________________MDE04">[1]Peralatan!$BO$87</definedName>
    <definedName name="___________________MDE05">[1]Peralatan!$BO$107</definedName>
    <definedName name="___________________MDE06">[1]Peralatan!$BO$127</definedName>
    <definedName name="___________________MDE07">[1]Peralatan!$BO$147</definedName>
    <definedName name="___________________MDE08">[1]Peralatan!$BO$167</definedName>
    <definedName name="___________________MDE09">[1]Peralatan!$BO$187</definedName>
    <definedName name="___________________MDE10">[1]Peralatan!$BO$207</definedName>
    <definedName name="___________________MDE11">[1]Peralatan!$BO$227</definedName>
    <definedName name="___________________MDE13">[1]Peralatan!$BO$267</definedName>
    <definedName name="___________________MDE14">[1]Peralatan!$BO$287</definedName>
    <definedName name="___________________MDE15">[1]Peralatan!$BO$307</definedName>
    <definedName name="___________________MDE16">[1]Peralatan!$BO$327</definedName>
    <definedName name="___________________MDE17">[1]Peralatan!$BO$347</definedName>
    <definedName name="___________________MDE18">[1]Peralatan!$BO$367</definedName>
    <definedName name="___________________MDE19">[1]Peralatan!$BO$387</definedName>
    <definedName name="___________________MDE20">[1]Peralatan!$BO$407</definedName>
    <definedName name="___________________MDE21">[1]Peralatan!$BO$427</definedName>
    <definedName name="___________________MDE22">[1]Peralatan!$BO$447</definedName>
    <definedName name="___________________MDE23">[1]Peralatan!$BO$467</definedName>
    <definedName name="___________________MDE24">[1]Peralatan!$BO$487</definedName>
    <definedName name="___________________MDE25">[1]Peralatan!$BO$507</definedName>
    <definedName name="___________________MDE27">[1]Peralatan!$BO$547</definedName>
    <definedName name="___________________MDE28">[1]Peralatan!$BO$567</definedName>
    <definedName name="___________________MDE29">[1]Peralatan!$BO$587</definedName>
    <definedName name="___________________MDE30">[1]Peralatan!$BO$607</definedName>
    <definedName name="___________________MDE31">[1]Peralatan!$BO$627</definedName>
    <definedName name="___________________MDE32">[1]Peralatan!$BO$647</definedName>
    <definedName name="___________________MDE33">[1]Peralatan!$BO$667</definedName>
    <definedName name="___________________MDE34">[1]Peralatan!$BO$698</definedName>
    <definedName name="___________________ME01">[1]Peralatan!$BO$26</definedName>
    <definedName name="___________________ME02">[1]Peralatan!$BO$46</definedName>
    <definedName name="___________________ME03">[1]Peralatan!$BO$66</definedName>
    <definedName name="___________________ME04">[1]Peralatan!$BO$86</definedName>
    <definedName name="___________________ME05">[1]Peralatan!$BO$106</definedName>
    <definedName name="___________________ME06">[1]Peralatan!$BO$126</definedName>
    <definedName name="___________________ME07">[1]Peralatan!$BO$146</definedName>
    <definedName name="___________________ME08">[1]Peralatan!$BO$166</definedName>
    <definedName name="___________________ME09">[1]Peralatan!$BO$186</definedName>
    <definedName name="___________________ME10">[1]Peralatan!$BO$206</definedName>
    <definedName name="___________________ME11">[1]Peralatan!$BO$226</definedName>
    <definedName name="___________________ME13">[1]Peralatan!$BO$266</definedName>
    <definedName name="___________________ME14">[1]Peralatan!$BO$286</definedName>
    <definedName name="___________________ME15">[1]Peralatan!$BO$306</definedName>
    <definedName name="___________________ME16">[1]Peralatan!$BO$326</definedName>
    <definedName name="___________________ME17">[1]Peralatan!$BO$346</definedName>
    <definedName name="___________________ME18">[1]Peralatan!$BO$366</definedName>
    <definedName name="___________________ME19">[1]Peralatan!$BO$386</definedName>
    <definedName name="___________________ME20">[1]Peralatan!$BO$406</definedName>
    <definedName name="___________________ME21">[1]Peralatan!$BO$426</definedName>
    <definedName name="___________________ME22">[1]Peralatan!$BO$446</definedName>
    <definedName name="___________________ME23">[1]Peralatan!$BO$466</definedName>
    <definedName name="___________________ME24">[1]Peralatan!$BO$486</definedName>
    <definedName name="___________________ME25">[1]Peralatan!$BO$506</definedName>
    <definedName name="___________________ME27">[1]Peralatan!$BO$546</definedName>
    <definedName name="___________________ME28">[1]Peralatan!$BO$566</definedName>
    <definedName name="___________________ME29">[1]Peralatan!$BO$586</definedName>
    <definedName name="___________________ME30">[1]Peralatan!$BO$606</definedName>
    <definedName name="___________________ME31">[1]Peralatan!$BO$626</definedName>
    <definedName name="___________________ME32">[1]Peralatan!$BO$646</definedName>
    <definedName name="___________________ME33">[1]Peralatan!$BO$666</definedName>
    <definedName name="___________________ME34">[1]Peralatan!$BO$697</definedName>
    <definedName name="__________________MDE01">[1]Peralatan!$BO$27</definedName>
    <definedName name="__________________MDE02">[1]Peralatan!$BO$47</definedName>
    <definedName name="__________________MDE03">[1]Peralatan!$BO$67</definedName>
    <definedName name="__________________MDE04">[1]Peralatan!$BO$87</definedName>
    <definedName name="__________________MDE05">[1]Peralatan!$BO$107</definedName>
    <definedName name="__________________MDE06">[1]Peralatan!$BO$127</definedName>
    <definedName name="__________________MDE07">[1]Peralatan!$BO$147</definedName>
    <definedName name="__________________MDE08">[1]Peralatan!$BO$167</definedName>
    <definedName name="__________________MDE09">[1]Peralatan!$BO$187</definedName>
    <definedName name="__________________MDE10">[1]Peralatan!$BO$207</definedName>
    <definedName name="__________________MDE11">[1]Peralatan!$BO$227</definedName>
    <definedName name="__________________MDE12">[1]Peralatan!$BO$247</definedName>
    <definedName name="__________________MDE13">[1]Peralatan!$BO$267</definedName>
    <definedName name="__________________MDE14">[1]Peralatan!$BO$287</definedName>
    <definedName name="__________________MDE15">[1]Peralatan!$BO$307</definedName>
    <definedName name="__________________MDE16">[1]Peralatan!$BO$327</definedName>
    <definedName name="__________________MDE17">[1]Peralatan!$BO$347</definedName>
    <definedName name="__________________MDE18">[1]Peralatan!$BO$367</definedName>
    <definedName name="__________________MDE19">[1]Peralatan!$BO$387</definedName>
    <definedName name="__________________MDE20">[1]Peralatan!$BO$407</definedName>
    <definedName name="__________________MDE21">[1]Peralatan!$BO$427</definedName>
    <definedName name="__________________MDE22">[1]Peralatan!$BO$447</definedName>
    <definedName name="__________________MDE23">[1]Peralatan!$BO$467</definedName>
    <definedName name="__________________MDE24">[1]Peralatan!$BO$487</definedName>
    <definedName name="__________________MDE25">[1]Peralatan!$BO$507</definedName>
    <definedName name="__________________MDE26">[1]Peralatan!$BO$527</definedName>
    <definedName name="__________________MDE27">[1]Peralatan!$BO$547</definedName>
    <definedName name="__________________MDE28">[1]Peralatan!$BO$567</definedName>
    <definedName name="__________________MDE29">[1]Peralatan!$BO$587</definedName>
    <definedName name="__________________MDE30">[1]Peralatan!$BO$607</definedName>
    <definedName name="__________________MDE31">[1]Peralatan!$BO$627</definedName>
    <definedName name="__________________MDE32">[1]Peralatan!$BO$647</definedName>
    <definedName name="__________________MDE33">[1]Peralatan!$BO$667</definedName>
    <definedName name="__________________MDE34">[1]Peralatan!$BO$698</definedName>
    <definedName name="__________________ME01">[1]Peralatan!$BO$26</definedName>
    <definedName name="__________________ME02">[1]Peralatan!$BO$46</definedName>
    <definedName name="__________________ME03">[1]Peralatan!$BO$66</definedName>
    <definedName name="__________________ME04">[1]Peralatan!$BO$86</definedName>
    <definedName name="__________________ME05">[1]Peralatan!$BO$106</definedName>
    <definedName name="__________________ME06">[1]Peralatan!$BO$126</definedName>
    <definedName name="__________________ME07">[1]Peralatan!$BO$146</definedName>
    <definedName name="__________________ME08">[1]Peralatan!$BO$166</definedName>
    <definedName name="__________________ME09">[1]Peralatan!$BO$186</definedName>
    <definedName name="__________________ME10">[1]Peralatan!$BO$206</definedName>
    <definedName name="__________________ME11">[1]Peralatan!$BO$226</definedName>
    <definedName name="__________________ME12">[1]Peralatan!$BO$246</definedName>
    <definedName name="__________________ME13">[1]Peralatan!$BO$266</definedName>
    <definedName name="__________________ME14">[1]Peralatan!$BO$286</definedName>
    <definedName name="__________________ME15">[1]Peralatan!$BO$306</definedName>
    <definedName name="__________________ME16">[1]Peralatan!$BO$326</definedName>
    <definedName name="__________________ME17">[1]Peralatan!$BO$346</definedName>
    <definedName name="__________________ME18">[1]Peralatan!$BO$366</definedName>
    <definedName name="__________________ME19">[1]Peralatan!$BO$386</definedName>
    <definedName name="__________________ME20">[1]Peralatan!$BO$406</definedName>
    <definedName name="__________________ME21">[1]Peralatan!$BO$426</definedName>
    <definedName name="__________________ME22">[1]Peralatan!$BO$446</definedName>
    <definedName name="__________________ME23">[1]Peralatan!$BO$466</definedName>
    <definedName name="__________________ME24">[1]Peralatan!$BO$486</definedName>
    <definedName name="__________________ME25">[1]Peralatan!$BO$506</definedName>
    <definedName name="__________________ME26">[1]Peralatan!$BO$526</definedName>
    <definedName name="__________________ME27">[1]Peralatan!$BO$546</definedName>
    <definedName name="__________________ME28">[1]Peralatan!$BO$566</definedName>
    <definedName name="__________________ME29">[1]Peralatan!$BO$586</definedName>
    <definedName name="__________________ME30">[1]Peralatan!$BO$606</definedName>
    <definedName name="__________________ME31">[1]Peralatan!$BO$626</definedName>
    <definedName name="__________________ME32">[1]Peralatan!$BO$646</definedName>
    <definedName name="__________________ME33">[1]Peralatan!$BO$666</definedName>
    <definedName name="__________________ME34">[1]Peralatan!$BO$697</definedName>
    <definedName name="_________________MDE01">[1]Peralatan!$BO$27</definedName>
    <definedName name="_________________MDE02">[1]Peralatan!$BO$47</definedName>
    <definedName name="_________________MDE03">[1]Peralatan!$BO$67</definedName>
    <definedName name="_________________MDE04">[1]Peralatan!$BO$87</definedName>
    <definedName name="_________________MDE05">[1]Peralatan!$BO$107</definedName>
    <definedName name="_________________MDE06">[1]Peralatan!$BO$127</definedName>
    <definedName name="_________________MDE07">[1]Peralatan!$BO$147</definedName>
    <definedName name="_________________MDE08">[1]Peralatan!$BO$167</definedName>
    <definedName name="_________________MDE09">[1]Peralatan!$BO$187</definedName>
    <definedName name="_________________MDE10">[1]Peralatan!$BO$207</definedName>
    <definedName name="_________________MDE11">[1]Peralatan!$BO$227</definedName>
    <definedName name="_________________MDE12">[1]Peralatan!$BO$247</definedName>
    <definedName name="_________________MDE13">[1]Peralatan!$BO$267</definedName>
    <definedName name="_________________MDE14">[1]Peralatan!$BO$287</definedName>
    <definedName name="_________________MDE15">[1]Peralatan!$BO$307</definedName>
    <definedName name="_________________MDE16">[1]Peralatan!$BO$327</definedName>
    <definedName name="_________________MDE17">[1]Peralatan!$BO$347</definedName>
    <definedName name="_________________MDE18">[1]Peralatan!$BO$367</definedName>
    <definedName name="_________________MDE19">[1]Peralatan!$BO$387</definedName>
    <definedName name="_________________MDE20">[1]Peralatan!$BO$407</definedName>
    <definedName name="_________________MDE21">[1]Peralatan!$BO$427</definedName>
    <definedName name="_________________MDE22">[1]Peralatan!$BO$447</definedName>
    <definedName name="_________________MDE23">[1]Peralatan!$BO$467</definedName>
    <definedName name="_________________MDE24">[1]Peralatan!$BO$487</definedName>
    <definedName name="_________________MDE25">[1]Peralatan!$BO$507</definedName>
    <definedName name="_________________MDE26">[1]Peralatan!$BO$527</definedName>
    <definedName name="_________________MDE27">[1]Peralatan!$BO$547</definedName>
    <definedName name="_________________MDE28">[1]Peralatan!$BO$567</definedName>
    <definedName name="_________________MDE29">[1]Peralatan!$BO$587</definedName>
    <definedName name="_________________MDE30">[1]Peralatan!$BO$607</definedName>
    <definedName name="_________________MDE31">[1]Peralatan!$BO$627</definedName>
    <definedName name="_________________MDE32">[1]Peralatan!$BO$647</definedName>
    <definedName name="_________________MDE33">[1]Peralatan!$BO$667</definedName>
    <definedName name="_________________MDE34">[1]Peralatan!$BO$698</definedName>
    <definedName name="_________________ME01">[1]Peralatan!$BO$26</definedName>
    <definedName name="_________________ME02">[1]Peralatan!$BO$46</definedName>
    <definedName name="_________________ME03">[1]Peralatan!$BO$66</definedName>
    <definedName name="_________________ME04">[1]Peralatan!$BO$86</definedName>
    <definedName name="_________________ME05">[1]Peralatan!$BO$106</definedName>
    <definedName name="_________________ME06">[1]Peralatan!$BO$126</definedName>
    <definedName name="_________________ME07">[1]Peralatan!$BO$146</definedName>
    <definedName name="_________________ME08">[1]Peralatan!$BO$166</definedName>
    <definedName name="_________________ME09">[1]Peralatan!$BO$186</definedName>
    <definedName name="_________________ME10">[1]Peralatan!$BO$206</definedName>
    <definedName name="_________________ME11">[1]Peralatan!$BO$226</definedName>
    <definedName name="_________________ME12">[1]Peralatan!$BO$246</definedName>
    <definedName name="_________________ME13">[1]Peralatan!$BO$266</definedName>
    <definedName name="_________________ME14">[1]Peralatan!$BO$286</definedName>
    <definedName name="_________________ME15">[1]Peralatan!$BO$306</definedName>
    <definedName name="_________________ME16">[1]Peralatan!$BO$326</definedName>
    <definedName name="_________________ME17">[1]Peralatan!$BO$346</definedName>
    <definedName name="_________________ME18">[1]Peralatan!$BO$366</definedName>
    <definedName name="_________________ME19">[1]Peralatan!$BO$386</definedName>
    <definedName name="_________________ME20">[1]Peralatan!$BO$406</definedName>
    <definedName name="_________________ME21">[1]Peralatan!$BO$426</definedName>
    <definedName name="_________________ME22">[1]Peralatan!$BO$446</definedName>
    <definedName name="_________________ME23">[1]Peralatan!$BO$466</definedName>
    <definedName name="_________________ME24">[1]Peralatan!$BO$486</definedName>
    <definedName name="_________________ME25">[1]Peralatan!$BO$506</definedName>
    <definedName name="_________________ME26">[1]Peralatan!$BO$526</definedName>
    <definedName name="_________________ME27">[1]Peralatan!$BO$546</definedName>
    <definedName name="_________________ME28">[1]Peralatan!$BO$566</definedName>
    <definedName name="_________________ME29">[1]Peralatan!$BO$586</definedName>
    <definedName name="_________________ME30">[1]Peralatan!$BO$606</definedName>
    <definedName name="_________________ME31">[1]Peralatan!$BO$626</definedName>
    <definedName name="_________________ME32">[1]Peralatan!$BO$646</definedName>
    <definedName name="_________________ME33">[1]Peralatan!$BO$666</definedName>
    <definedName name="_________________ME34">[1]Peralatan!$BO$697</definedName>
    <definedName name="________________MDE01">[1]Peralatan!$BO$27</definedName>
    <definedName name="________________MDE02">[1]Peralatan!$BO$47</definedName>
    <definedName name="________________MDE03">[1]Peralatan!$BO$67</definedName>
    <definedName name="________________MDE04">[1]Peralatan!$BO$87</definedName>
    <definedName name="________________MDE05">[1]Peralatan!$BO$107</definedName>
    <definedName name="________________MDE06">[1]Peralatan!$BO$127</definedName>
    <definedName name="________________MDE07">[1]Peralatan!$BO$147</definedName>
    <definedName name="________________MDE08">[1]Peralatan!$BO$167</definedName>
    <definedName name="________________MDE09">[1]Peralatan!$BO$187</definedName>
    <definedName name="________________MDE10">[1]Peralatan!$BO$207</definedName>
    <definedName name="________________MDE11">[1]Peralatan!$BO$227</definedName>
    <definedName name="________________MDE12">[1]Peralatan!$BO$247</definedName>
    <definedName name="________________MDE13">[1]Peralatan!$BO$267</definedName>
    <definedName name="________________MDE14">[1]Peralatan!$BO$287</definedName>
    <definedName name="________________MDE15">[1]Peralatan!$BO$307</definedName>
    <definedName name="________________MDE16">[1]Peralatan!$BO$327</definedName>
    <definedName name="________________MDE17">[1]Peralatan!$BO$347</definedName>
    <definedName name="________________MDE18">[1]Peralatan!$BO$367</definedName>
    <definedName name="________________MDE19">[1]Peralatan!$BO$387</definedName>
    <definedName name="________________MDE20">[1]Peralatan!$BO$407</definedName>
    <definedName name="________________MDE21">[1]Peralatan!$BO$427</definedName>
    <definedName name="________________MDE22">[1]Peralatan!$BO$447</definedName>
    <definedName name="________________MDE23">[1]Peralatan!$BO$467</definedName>
    <definedName name="________________MDE24">[1]Peralatan!$BO$487</definedName>
    <definedName name="________________MDE25">[1]Peralatan!$BO$507</definedName>
    <definedName name="________________MDE26">[1]Peralatan!$BO$527</definedName>
    <definedName name="________________MDE27">[1]Peralatan!$BO$547</definedName>
    <definedName name="________________MDE28">[1]Peralatan!$BO$567</definedName>
    <definedName name="________________MDE29">[1]Peralatan!$BO$587</definedName>
    <definedName name="________________MDE30">[1]Peralatan!$BO$607</definedName>
    <definedName name="________________MDE31">[1]Peralatan!$BO$627</definedName>
    <definedName name="________________MDE32">[1]Peralatan!$BO$647</definedName>
    <definedName name="________________MDE33">[1]Peralatan!$BO$667</definedName>
    <definedName name="________________MDE34">[1]Peralatan!$BO$698</definedName>
    <definedName name="________________ME01">[1]Peralatan!$BO$26</definedName>
    <definedName name="________________ME02">[1]Peralatan!$BO$46</definedName>
    <definedName name="________________ME03">[1]Peralatan!$BO$66</definedName>
    <definedName name="________________ME04">[1]Peralatan!$BO$86</definedName>
    <definedName name="________________ME05">[1]Peralatan!$BO$106</definedName>
    <definedName name="________________ME06">[1]Peralatan!$BO$126</definedName>
    <definedName name="________________ME07">[1]Peralatan!$BO$146</definedName>
    <definedName name="________________ME08">[1]Peralatan!$BO$166</definedName>
    <definedName name="________________ME09">[1]Peralatan!$BO$186</definedName>
    <definedName name="________________ME10">[1]Peralatan!$BO$206</definedName>
    <definedName name="________________ME11">[1]Peralatan!$BO$226</definedName>
    <definedName name="________________ME12">[1]Peralatan!$BO$246</definedName>
    <definedName name="________________ME13">[1]Peralatan!$BO$266</definedName>
    <definedName name="________________ME14">[1]Peralatan!$BO$286</definedName>
    <definedName name="________________ME15">[1]Peralatan!$BO$306</definedName>
    <definedName name="________________ME16">[1]Peralatan!$BO$326</definedName>
    <definedName name="________________ME17">[1]Peralatan!$BO$346</definedName>
    <definedName name="________________ME18">[1]Peralatan!$BO$366</definedName>
    <definedName name="________________ME19">[1]Peralatan!$BO$386</definedName>
    <definedName name="________________ME20">[1]Peralatan!$BO$406</definedName>
    <definedName name="________________ME21">[1]Peralatan!$BO$426</definedName>
    <definedName name="________________ME22">[1]Peralatan!$BO$446</definedName>
    <definedName name="________________ME23">[1]Peralatan!$BO$466</definedName>
    <definedName name="________________ME24">[1]Peralatan!$BO$486</definedName>
    <definedName name="________________ME25">[1]Peralatan!$BO$506</definedName>
    <definedName name="________________ME26">[1]Peralatan!$BO$526</definedName>
    <definedName name="________________ME27">[1]Peralatan!$BO$546</definedName>
    <definedName name="________________ME28">[1]Peralatan!$BO$566</definedName>
    <definedName name="________________ME29">[1]Peralatan!$BO$586</definedName>
    <definedName name="________________ME30">[1]Peralatan!$BO$606</definedName>
    <definedName name="________________ME31">[1]Peralatan!$BO$626</definedName>
    <definedName name="________________ME32">[1]Peralatan!$BO$646</definedName>
    <definedName name="________________ME33">[1]Peralatan!$BO$666</definedName>
    <definedName name="________________ME34">[1]Peralatan!$BO$697</definedName>
    <definedName name="_______________MDE01">[1]Peralatan!$BO$27</definedName>
    <definedName name="_______________MDE02">[1]Peralatan!$BO$47</definedName>
    <definedName name="_______________MDE03">[1]Peralatan!$BO$67</definedName>
    <definedName name="_______________MDE04">[1]Peralatan!$BO$87</definedName>
    <definedName name="_______________MDE05">[1]Peralatan!$BO$107</definedName>
    <definedName name="_______________MDE06">[1]Peralatan!$BO$127</definedName>
    <definedName name="_______________MDE07">[1]Peralatan!$BO$147</definedName>
    <definedName name="_______________MDE08">[1]Peralatan!$BO$167</definedName>
    <definedName name="_______________MDE09">[1]Peralatan!$BO$187</definedName>
    <definedName name="_______________MDE10">[1]Peralatan!$BO$207</definedName>
    <definedName name="_______________MDE11">[1]Peralatan!$BO$227</definedName>
    <definedName name="_______________MDE12">[1]Peralatan!$BO$247</definedName>
    <definedName name="_______________MDE13">[1]Peralatan!$BO$267</definedName>
    <definedName name="_______________MDE14">[1]Peralatan!$BO$287</definedName>
    <definedName name="_______________MDE15">[1]Peralatan!$BO$307</definedName>
    <definedName name="_______________MDE16">[1]Peralatan!$BO$327</definedName>
    <definedName name="_______________MDE17">[1]Peralatan!$BO$347</definedName>
    <definedName name="_______________MDE18">[1]Peralatan!$BO$367</definedName>
    <definedName name="_______________MDE19">[1]Peralatan!$BO$387</definedName>
    <definedName name="_______________MDE20">[1]Peralatan!$BO$407</definedName>
    <definedName name="_______________MDE21">[1]Peralatan!$BO$427</definedName>
    <definedName name="_______________MDE22">[1]Peralatan!$BO$447</definedName>
    <definedName name="_______________MDE23">[1]Peralatan!$BO$467</definedName>
    <definedName name="_______________MDE24">[1]Peralatan!$BO$487</definedName>
    <definedName name="_______________MDE25">[1]Peralatan!$BO$507</definedName>
    <definedName name="_______________MDE26">[1]Peralatan!$BO$527</definedName>
    <definedName name="_______________MDE27">[1]Peralatan!$BO$547</definedName>
    <definedName name="_______________MDE28">[1]Peralatan!$BO$567</definedName>
    <definedName name="_______________MDE29">[1]Peralatan!$BO$587</definedName>
    <definedName name="_______________MDE30">[1]Peralatan!$BO$607</definedName>
    <definedName name="_______________MDE31">[1]Peralatan!$BO$627</definedName>
    <definedName name="_______________MDE32">[1]Peralatan!$BO$647</definedName>
    <definedName name="_______________MDE33">[1]Peralatan!$BO$667</definedName>
    <definedName name="_______________MDE34">[1]Peralatan!$BO$698</definedName>
    <definedName name="_______________ME01">[1]Peralatan!$BO$26</definedName>
    <definedName name="_______________ME02">[1]Peralatan!$BO$46</definedName>
    <definedName name="_______________ME03">[1]Peralatan!$BO$66</definedName>
    <definedName name="_______________ME04">[1]Peralatan!$BO$86</definedName>
    <definedName name="_______________ME05">[1]Peralatan!$BO$106</definedName>
    <definedName name="_______________ME06">[1]Peralatan!$BO$126</definedName>
    <definedName name="_______________ME07">[1]Peralatan!$BO$146</definedName>
    <definedName name="_______________ME08">[1]Peralatan!$BO$166</definedName>
    <definedName name="_______________ME09">[1]Peralatan!$BO$186</definedName>
    <definedName name="_______________ME10">[1]Peralatan!$BO$206</definedName>
    <definedName name="_______________ME11">[1]Peralatan!$BO$226</definedName>
    <definedName name="_______________ME12">[1]Peralatan!$BO$246</definedName>
    <definedName name="_______________ME13">[1]Peralatan!$BO$266</definedName>
    <definedName name="_______________ME14">[1]Peralatan!$BO$286</definedName>
    <definedName name="_______________ME15">[1]Peralatan!$BO$306</definedName>
    <definedName name="_______________ME16">[1]Peralatan!$BO$326</definedName>
    <definedName name="_______________ME17">[1]Peralatan!$BO$346</definedName>
    <definedName name="_______________ME18">[1]Peralatan!$BO$366</definedName>
    <definedName name="_______________ME19">[1]Peralatan!$BO$386</definedName>
    <definedName name="_______________ME20">[1]Peralatan!$BO$406</definedName>
    <definedName name="_______________ME21">[1]Peralatan!$BO$426</definedName>
    <definedName name="_______________ME22">[1]Peralatan!$BO$446</definedName>
    <definedName name="_______________ME23">[1]Peralatan!$BO$466</definedName>
    <definedName name="_______________ME24">[1]Peralatan!$BO$486</definedName>
    <definedName name="_______________ME25">[1]Peralatan!$BO$506</definedName>
    <definedName name="_______________ME26">[1]Peralatan!$BO$526</definedName>
    <definedName name="_______________ME27">[1]Peralatan!$BO$546</definedName>
    <definedName name="_______________ME28">[1]Peralatan!$BO$566</definedName>
    <definedName name="_______________ME29">[1]Peralatan!$BO$586</definedName>
    <definedName name="_______________ME30">[1]Peralatan!$BO$606</definedName>
    <definedName name="_______________ME31">[1]Peralatan!$BO$626</definedName>
    <definedName name="_______________ME32">[1]Peralatan!$BO$646</definedName>
    <definedName name="_______________ME33">[1]Peralatan!$BO$666</definedName>
    <definedName name="_______________ME34">[1]Peralatan!$BO$697</definedName>
    <definedName name="______________MDE01">[1]Peralatan!$BO$27</definedName>
    <definedName name="______________MDE02">[1]Peralatan!$BO$47</definedName>
    <definedName name="______________MDE03">[1]Peralatan!$BO$67</definedName>
    <definedName name="______________MDE04">[1]Peralatan!$BO$87</definedName>
    <definedName name="______________MDE05">[1]Peralatan!$BO$107</definedName>
    <definedName name="______________MDE06">[1]Peralatan!$BO$127</definedName>
    <definedName name="______________MDE07">[1]Peralatan!$BO$147</definedName>
    <definedName name="______________MDE08">[1]Peralatan!$BO$167</definedName>
    <definedName name="______________MDE09">[1]Peralatan!$BO$187</definedName>
    <definedName name="______________MDE10">[1]Peralatan!$BO$207</definedName>
    <definedName name="______________MDE11">[1]Peralatan!$BO$227</definedName>
    <definedName name="______________MDE12">[1]Peralatan!$BO$247</definedName>
    <definedName name="______________MDE13">[1]Peralatan!$BO$267</definedName>
    <definedName name="______________MDE14">[1]Peralatan!$BO$287</definedName>
    <definedName name="______________MDE15">[1]Peralatan!$BO$307</definedName>
    <definedName name="______________MDE16">[1]Peralatan!$BO$327</definedName>
    <definedName name="______________MDE17">[1]Peralatan!$BO$347</definedName>
    <definedName name="______________MDE18">[1]Peralatan!$BO$367</definedName>
    <definedName name="______________MDE19">[1]Peralatan!$BO$387</definedName>
    <definedName name="______________MDE20">[1]Peralatan!$BO$407</definedName>
    <definedName name="______________MDE21">[1]Peralatan!$BO$427</definedName>
    <definedName name="______________MDE22">[1]Peralatan!$BO$447</definedName>
    <definedName name="______________MDE23">[1]Peralatan!$BO$467</definedName>
    <definedName name="______________MDE24">[1]Peralatan!$BO$487</definedName>
    <definedName name="______________MDE25">[1]Peralatan!$BO$507</definedName>
    <definedName name="______________MDE26">[1]Peralatan!$BO$527</definedName>
    <definedName name="______________MDE27">[1]Peralatan!$BO$547</definedName>
    <definedName name="______________MDE28">[1]Peralatan!$BO$567</definedName>
    <definedName name="______________MDE29">[1]Peralatan!$BO$587</definedName>
    <definedName name="______________MDE30">[1]Peralatan!$BO$607</definedName>
    <definedName name="______________MDE31">[1]Peralatan!$BO$627</definedName>
    <definedName name="______________MDE32">[1]Peralatan!$BO$647</definedName>
    <definedName name="______________MDE33">[1]Peralatan!$BO$667</definedName>
    <definedName name="______________MDE34">[1]Peralatan!$BO$698</definedName>
    <definedName name="______________ME01">[1]Peralatan!$BO$26</definedName>
    <definedName name="______________ME02">[1]Peralatan!$BO$46</definedName>
    <definedName name="______________ME03">[1]Peralatan!$BO$66</definedName>
    <definedName name="______________ME04">[1]Peralatan!$BO$86</definedName>
    <definedName name="______________ME05">[1]Peralatan!$BO$106</definedName>
    <definedName name="______________ME06">[1]Peralatan!$BO$126</definedName>
    <definedName name="______________ME07">[1]Peralatan!$BO$146</definedName>
    <definedName name="______________ME08">[1]Peralatan!$BO$166</definedName>
    <definedName name="______________ME09">[1]Peralatan!$BO$186</definedName>
    <definedName name="______________ME10">[1]Peralatan!$BO$206</definedName>
    <definedName name="______________ME11">[1]Peralatan!$BO$226</definedName>
    <definedName name="______________ME12">[1]Peralatan!$BO$246</definedName>
    <definedName name="______________ME13">[1]Peralatan!$BO$266</definedName>
    <definedName name="______________ME14">[1]Peralatan!$BO$286</definedName>
    <definedName name="______________ME15">[1]Peralatan!$BO$306</definedName>
    <definedName name="______________ME16">[1]Peralatan!$BO$326</definedName>
    <definedName name="______________ME17">[1]Peralatan!$BO$346</definedName>
    <definedName name="______________ME18">[1]Peralatan!$BO$366</definedName>
    <definedName name="______________ME19">[1]Peralatan!$BO$386</definedName>
    <definedName name="______________ME20">[1]Peralatan!$BO$406</definedName>
    <definedName name="______________ME21">[1]Peralatan!$BO$426</definedName>
    <definedName name="______________ME22">[1]Peralatan!$BO$446</definedName>
    <definedName name="______________ME23">[1]Peralatan!$BO$466</definedName>
    <definedName name="______________ME24">[1]Peralatan!$BO$486</definedName>
    <definedName name="______________ME25">[1]Peralatan!$BO$506</definedName>
    <definedName name="______________ME26">[1]Peralatan!$BO$526</definedName>
    <definedName name="______________ME27">[1]Peralatan!$BO$546</definedName>
    <definedName name="______________ME28">[1]Peralatan!$BO$566</definedName>
    <definedName name="______________ME29">[1]Peralatan!$BO$586</definedName>
    <definedName name="______________ME30">[1]Peralatan!$BO$606</definedName>
    <definedName name="______________ME31">[1]Peralatan!$BO$626</definedName>
    <definedName name="______________ME32">[1]Peralatan!$BO$646</definedName>
    <definedName name="______________ME33">[1]Peralatan!$BO$666</definedName>
    <definedName name="______________ME34">[1]Peralatan!$BO$697</definedName>
    <definedName name="_____________MDE01">[1]Peralatan!$BO$27</definedName>
    <definedName name="_____________MDE02">[1]Peralatan!$BO$47</definedName>
    <definedName name="_____________MDE03">[1]Peralatan!$BO$67</definedName>
    <definedName name="_____________MDE04">[1]Peralatan!$BO$87</definedName>
    <definedName name="_____________MDE05">[1]Peralatan!$BO$107</definedName>
    <definedName name="_____________MDE06">[1]Peralatan!$BO$127</definedName>
    <definedName name="_____________MDE07">[1]Peralatan!$BO$147</definedName>
    <definedName name="_____________MDE08">[1]Peralatan!$BO$167</definedName>
    <definedName name="_____________MDE09">[2]Peralatan!$BO$187</definedName>
    <definedName name="_____________MDE10">[2]Peralatan!$BO$207</definedName>
    <definedName name="_____________MDE11">[2]Peralatan!$BO$227</definedName>
    <definedName name="_____________MDE12">[1]Peralatan!$BO$247</definedName>
    <definedName name="_____________MDE13">[1]Peralatan!$BO$267</definedName>
    <definedName name="_____________MDE14">[1]Peralatan!$BO$287</definedName>
    <definedName name="_____________MDE15">[1]Peralatan!$BO$307</definedName>
    <definedName name="_____________MDE16">[1]Peralatan!$BO$327</definedName>
    <definedName name="_____________MDE17">[1]Peralatan!$BO$347</definedName>
    <definedName name="_____________MDE18">[1]Peralatan!$BO$367</definedName>
    <definedName name="_____________MDE19">[1]Peralatan!$BO$387</definedName>
    <definedName name="_____________MDE20">[1]Peralatan!$BO$407</definedName>
    <definedName name="_____________MDE21">[1]Peralatan!$BO$427</definedName>
    <definedName name="_____________MDE22">[1]Peralatan!$BO$447</definedName>
    <definedName name="_____________MDE23">[1]Peralatan!$BO$467</definedName>
    <definedName name="_____________MDE24">[1]Peralatan!$BO$487</definedName>
    <definedName name="_____________MDE25">[2]Peralatan!$BO$507</definedName>
    <definedName name="_____________MDE26">[1]Peralatan!$BO$527</definedName>
    <definedName name="_____________MDE27">[1]Peralatan!$BO$547</definedName>
    <definedName name="_____________MDE28">[1]Peralatan!$BO$567</definedName>
    <definedName name="_____________MDE29">[1]Peralatan!$BO$587</definedName>
    <definedName name="_____________MDE30">[1]Peralatan!$BO$607</definedName>
    <definedName name="_____________MDE31">[1]Peralatan!$BO$627</definedName>
    <definedName name="_____________MDE32">[1]Peralatan!$BO$647</definedName>
    <definedName name="_____________MDE33">[1]Peralatan!$BO$667</definedName>
    <definedName name="_____________MDE34">[1]Peralatan!$BO$698</definedName>
    <definedName name="_____________ME01">[1]Peralatan!$BO$26</definedName>
    <definedName name="_____________ME02">[1]Peralatan!$BO$46</definedName>
    <definedName name="_____________ME03">[1]Peralatan!$BO$66</definedName>
    <definedName name="_____________ME04">[1]Peralatan!$BO$86</definedName>
    <definedName name="_____________ME05">[1]Peralatan!$BO$106</definedName>
    <definedName name="_____________ME06">[1]Peralatan!$BO$126</definedName>
    <definedName name="_____________ME07">[1]Peralatan!$BO$146</definedName>
    <definedName name="_____________ME08">[1]Peralatan!$BO$166</definedName>
    <definedName name="_____________ME09">[2]Peralatan!$BO$186</definedName>
    <definedName name="_____________ME10">[2]Peralatan!$BO$206</definedName>
    <definedName name="_____________ME11">[2]Peralatan!$BO$226</definedName>
    <definedName name="_____________ME12">[1]Peralatan!$BO$246</definedName>
    <definedName name="_____________ME13">[1]Peralatan!$BO$266</definedName>
    <definedName name="_____________ME14">[1]Peralatan!$BO$286</definedName>
    <definedName name="_____________ME15">[1]Peralatan!$BO$306</definedName>
    <definedName name="_____________ME16">[1]Peralatan!$BO$326</definedName>
    <definedName name="_____________ME17">[1]Peralatan!$BO$346</definedName>
    <definedName name="_____________ME18">[1]Peralatan!$BO$366</definedName>
    <definedName name="_____________ME19">[1]Peralatan!$BO$386</definedName>
    <definedName name="_____________ME20">[1]Peralatan!$BO$406</definedName>
    <definedName name="_____________ME21">[1]Peralatan!$BO$426</definedName>
    <definedName name="_____________ME22">[1]Peralatan!$BO$446</definedName>
    <definedName name="_____________ME23">[1]Peralatan!$BO$466</definedName>
    <definedName name="_____________ME24">[1]Peralatan!$BO$486</definedName>
    <definedName name="_____________ME25">[2]Peralatan!$BO$506</definedName>
    <definedName name="_____________ME26">[1]Peralatan!$BO$526</definedName>
    <definedName name="_____________ME27">[1]Peralatan!$BO$546</definedName>
    <definedName name="_____________ME28">[1]Peralatan!$BO$566</definedName>
    <definedName name="_____________ME29">[1]Peralatan!$BO$586</definedName>
    <definedName name="_____________ME30">[1]Peralatan!$BO$606</definedName>
    <definedName name="_____________ME31">[1]Peralatan!$BO$626</definedName>
    <definedName name="_____________ME32">[1]Peralatan!$BO$646</definedName>
    <definedName name="_____________ME33">[1]Peralatan!$BO$666</definedName>
    <definedName name="_____________ME34">[1]Peralatan!$BO$697</definedName>
    <definedName name="____________LLL01" localSheetId="1">#REF!</definedName>
    <definedName name="____________LLL01">#REF!</definedName>
    <definedName name="____________LLL02" localSheetId="1">#REF!</definedName>
    <definedName name="____________LLL02">#REF!</definedName>
    <definedName name="____________LLL03" localSheetId="1">#REF!</definedName>
    <definedName name="____________LLL03">#REF!</definedName>
    <definedName name="____________LLL04" localSheetId="1">#REF!</definedName>
    <definedName name="____________LLL04">#REF!</definedName>
    <definedName name="____________LLL05" localSheetId="1">#REF!</definedName>
    <definedName name="____________LLL05">#REF!</definedName>
    <definedName name="____________LLL06" localSheetId="1">#REF!</definedName>
    <definedName name="____________LLL06">#REF!</definedName>
    <definedName name="____________LLL07" localSheetId="1">#REF!</definedName>
    <definedName name="____________LLL07">#REF!</definedName>
    <definedName name="____________LLL08" localSheetId="1">#REF!</definedName>
    <definedName name="____________LLL08">#REF!</definedName>
    <definedName name="____________LLL09" localSheetId="1">#REF!</definedName>
    <definedName name="____________LLL09">#REF!</definedName>
    <definedName name="____________LLL10" localSheetId="1">#REF!</definedName>
    <definedName name="____________LLL10">#REF!</definedName>
    <definedName name="____________LLL11" localSheetId="1">#REF!</definedName>
    <definedName name="____________LLL11">#REF!</definedName>
    <definedName name="____________MDE01">[2]Peralatan!$BO$27</definedName>
    <definedName name="____________MDE02">[2]Peralatan!$BO$47</definedName>
    <definedName name="____________MDE03">[2]Peralatan!$BO$67</definedName>
    <definedName name="____________MDE04">[2]Peralatan!$BO$87</definedName>
    <definedName name="____________MDE05">[2]Peralatan!$BO$107</definedName>
    <definedName name="____________MDE06">[2]Peralatan!$BO$127</definedName>
    <definedName name="____________MDE07">[2]Peralatan!$BO$147</definedName>
    <definedName name="____________MDE08">[2]Peralatan!$BO$167</definedName>
    <definedName name="____________MDE09">[2]Peralatan!$BO$187</definedName>
    <definedName name="____________MDE10">[2]Peralatan!$BO$207</definedName>
    <definedName name="____________MDE11">[2]Peralatan!$BO$227</definedName>
    <definedName name="____________MDE12">[1]Peralatan!$BO$247</definedName>
    <definedName name="____________MDE13">[2]Peralatan!$BO$267</definedName>
    <definedName name="____________MDE14">[2]Peralatan!$BO$287</definedName>
    <definedName name="____________MDE15">[2]Peralatan!$BO$307</definedName>
    <definedName name="____________MDE16">[2]Peralatan!$BO$327</definedName>
    <definedName name="____________MDE17">[2]Peralatan!$BO$347</definedName>
    <definedName name="____________MDE18">[2]Peralatan!$BO$367</definedName>
    <definedName name="____________MDE19">[2]Peralatan!$BO$387</definedName>
    <definedName name="____________MDE20">[2]Peralatan!$BO$407</definedName>
    <definedName name="____________MDE21">[2]Peralatan!$BO$427</definedName>
    <definedName name="____________MDE22">[2]Peralatan!$BO$447</definedName>
    <definedName name="____________MDE23">[2]Peralatan!$BO$467</definedName>
    <definedName name="____________MDE24">[2]Peralatan!$BO$487</definedName>
    <definedName name="____________MDE25">[2]Peralatan!$BO$507</definedName>
    <definedName name="____________MDE26">[1]Peralatan!$BO$527</definedName>
    <definedName name="____________MDE27">[2]Peralatan!$BO$547</definedName>
    <definedName name="____________MDE28">[2]Peralatan!$BO$567</definedName>
    <definedName name="____________MDE29">[2]Peralatan!$BO$587</definedName>
    <definedName name="____________MDE30">[2]Peralatan!$BO$607</definedName>
    <definedName name="____________MDE31">[2]Peralatan!$BO$627</definedName>
    <definedName name="____________MDE32">[2]Peralatan!$BO$647</definedName>
    <definedName name="____________MDE33">[2]Peralatan!$BO$667</definedName>
    <definedName name="____________MDE34">[2]Peralatan!$BO$698</definedName>
    <definedName name="____________MDE35">'[1]Peralatan (2)'!$R$27</definedName>
    <definedName name="____________ME01">[2]Peralatan!$BO$26</definedName>
    <definedName name="____________ME02">[2]Peralatan!$BO$46</definedName>
    <definedName name="____________ME03">[2]Peralatan!$BO$66</definedName>
    <definedName name="____________ME04">[2]Peralatan!$BO$86</definedName>
    <definedName name="____________ME05">[2]Peralatan!$BO$106</definedName>
    <definedName name="____________ME06">[2]Peralatan!$BO$126</definedName>
    <definedName name="____________ME07">[2]Peralatan!$BO$146</definedName>
    <definedName name="____________ME08">[2]Peralatan!$BO$166</definedName>
    <definedName name="____________ME09">[2]Peralatan!$BO$186</definedName>
    <definedName name="____________ME10">[2]Peralatan!$BO$206</definedName>
    <definedName name="____________ME11">[2]Peralatan!$BO$226</definedName>
    <definedName name="____________ME12">[1]Peralatan!$BO$246</definedName>
    <definedName name="____________ME13">[2]Peralatan!$BO$266</definedName>
    <definedName name="____________ME14">[2]Peralatan!$BO$286</definedName>
    <definedName name="____________ME15">[2]Peralatan!$BO$306</definedName>
    <definedName name="____________ME16">[2]Peralatan!$BO$326</definedName>
    <definedName name="____________ME17">[2]Peralatan!$BO$346</definedName>
    <definedName name="____________ME18">[2]Peralatan!$BO$366</definedName>
    <definedName name="____________ME19">[2]Peralatan!$BO$386</definedName>
    <definedName name="____________ME20">[2]Peralatan!$BO$406</definedName>
    <definedName name="____________ME21">[2]Peralatan!$BO$426</definedName>
    <definedName name="____________ME22">[2]Peralatan!$BO$446</definedName>
    <definedName name="____________ME23">[2]Peralatan!$BO$466</definedName>
    <definedName name="____________ME24">[2]Peralatan!$BO$486</definedName>
    <definedName name="____________ME25">[2]Peralatan!$BO$506</definedName>
    <definedName name="____________ME26">[1]Peralatan!$BO$526</definedName>
    <definedName name="____________ME27">[2]Peralatan!$BO$546</definedName>
    <definedName name="____________ME28">[2]Peralatan!$BO$566</definedName>
    <definedName name="____________ME29">[2]Peralatan!$BO$586</definedName>
    <definedName name="____________ME30">[2]Peralatan!$BO$606</definedName>
    <definedName name="____________ME31">[2]Peralatan!$BO$626</definedName>
    <definedName name="____________ME32">[2]Peralatan!$BO$646</definedName>
    <definedName name="____________ME33">[2]Peralatan!$BO$666</definedName>
    <definedName name="____________ME34">[2]Peralatan!$BO$697</definedName>
    <definedName name="____________ME35">'[1]Peralatan (2)'!$R$26</definedName>
    <definedName name="____________MMM01" localSheetId="1">#REF!</definedName>
    <definedName name="____________MMM01">#REF!</definedName>
    <definedName name="____________MMM02" localSheetId="1">#REF!</definedName>
    <definedName name="____________MMM02">#REF!</definedName>
    <definedName name="____________MMM03" localSheetId="1">#REF!</definedName>
    <definedName name="____________MMM03">#REF!</definedName>
    <definedName name="____________MMM04" localSheetId="1">#REF!</definedName>
    <definedName name="____________MMM04">#REF!</definedName>
    <definedName name="____________MMM05" localSheetId="1">#REF!</definedName>
    <definedName name="____________MMM05">#REF!</definedName>
    <definedName name="____________MMM06" localSheetId="1">#REF!</definedName>
    <definedName name="____________MMM06">#REF!</definedName>
    <definedName name="____________MMM07" localSheetId="1">#REF!</definedName>
    <definedName name="____________MMM07">#REF!</definedName>
    <definedName name="____________MMM08" localSheetId="1">#REF!</definedName>
    <definedName name="____________MMM08">#REF!</definedName>
    <definedName name="____________MMM09" localSheetId="1">#REF!</definedName>
    <definedName name="____________MMM09">#REF!</definedName>
    <definedName name="____________MMM10" localSheetId="1">#REF!</definedName>
    <definedName name="____________MMM10">#REF!</definedName>
    <definedName name="____________MMM11" localSheetId="1">#REF!</definedName>
    <definedName name="____________MMM11">#REF!</definedName>
    <definedName name="____________MMM12" localSheetId="1">#REF!</definedName>
    <definedName name="____________MMM12">#REF!</definedName>
    <definedName name="____________MMM13" localSheetId="1">#REF!</definedName>
    <definedName name="____________MMM13">#REF!</definedName>
    <definedName name="____________MMM14" localSheetId="1">#REF!</definedName>
    <definedName name="____________MMM14">#REF!</definedName>
    <definedName name="____________MMM15" localSheetId="1">#REF!</definedName>
    <definedName name="____________MMM15">#REF!</definedName>
    <definedName name="____________MMM16" localSheetId="1">#REF!</definedName>
    <definedName name="____________MMM16">#REF!</definedName>
    <definedName name="____________MMM17" localSheetId="1">#REF!</definedName>
    <definedName name="____________MMM17">#REF!</definedName>
    <definedName name="____________MMM18" localSheetId="1">#REF!</definedName>
    <definedName name="____________MMM18">#REF!</definedName>
    <definedName name="____________MMM19" localSheetId="1">#REF!</definedName>
    <definedName name="____________MMM19">#REF!</definedName>
    <definedName name="____________MMM20" localSheetId="1">#REF!</definedName>
    <definedName name="____________MMM20">#REF!</definedName>
    <definedName name="____________MMM21" localSheetId="1">#REF!</definedName>
    <definedName name="____________MMM21">#REF!</definedName>
    <definedName name="____________MMM22" localSheetId="1">#REF!</definedName>
    <definedName name="____________MMM22">#REF!</definedName>
    <definedName name="____________MMM23" localSheetId="1">#REF!</definedName>
    <definedName name="____________MMM23">#REF!</definedName>
    <definedName name="____________MMM24" localSheetId="1">#REF!</definedName>
    <definedName name="____________MMM24">#REF!</definedName>
    <definedName name="____________MMM25" localSheetId="1">#REF!</definedName>
    <definedName name="____________MMM25">#REF!</definedName>
    <definedName name="____________MMM26" localSheetId="1">#REF!</definedName>
    <definedName name="____________MMM26">#REF!</definedName>
    <definedName name="____________MMM27" localSheetId="1">#REF!</definedName>
    <definedName name="____________MMM27">#REF!</definedName>
    <definedName name="____________MMM28" localSheetId="1">#REF!</definedName>
    <definedName name="____________MMM28">#REF!</definedName>
    <definedName name="____________MMM29" localSheetId="1">#REF!</definedName>
    <definedName name="____________MMM29">#REF!</definedName>
    <definedName name="____________MMM30" localSheetId="1">#REF!</definedName>
    <definedName name="____________MMM30">#REF!</definedName>
    <definedName name="____________MMM31" localSheetId="1">#REF!</definedName>
    <definedName name="____________MMM31">#REF!</definedName>
    <definedName name="____________MMM32" localSheetId="1">#REF!</definedName>
    <definedName name="____________MMM32">#REF!</definedName>
    <definedName name="____________MMM33" localSheetId="1">#REF!</definedName>
    <definedName name="____________MMM33">#REF!</definedName>
    <definedName name="____________MMM34" localSheetId="1">#REF!</definedName>
    <definedName name="____________MMM34">#REF!</definedName>
    <definedName name="____________MMM35" localSheetId="1">#REF!</definedName>
    <definedName name="____________MMM35">#REF!</definedName>
    <definedName name="____________MMM36" localSheetId="1">#REF!</definedName>
    <definedName name="____________MMM36">#REF!</definedName>
    <definedName name="____________MMM37" localSheetId="1">#REF!</definedName>
    <definedName name="____________MMM37">#REF!</definedName>
    <definedName name="____________MMM38" localSheetId="1">#REF!</definedName>
    <definedName name="____________MMM38">#REF!</definedName>
    <definedName name="____________MMM39" localSheetId="1">#REF!</definedName>
    <definedName name="____________MMM39">#REF!</definedName>
    <definedName name="____________MMM40" localSheetId="1">#REF!</definedName>
    <definedName name="____________MMM40">#REF!</definedName>
    <definedName name="____________MMM41" localSheetId="1">#REF!</definedName>
    <definedName name="____________MMM41">#REF!</definedName>
    <definedName name="____________MMM411" localSheetId="1">#REF!</definedName>
    <definedName name="____________MMM411">#REF!</definedName>
    <definedName name="____________MMM42" localSheetId="1">#REF!</definedName>
    <definedName name="____________MMM42">#REF!</definedName>
    <definedName name="____________MMM43" localSheetId="1">#REF!</definedName>
    <definedName name="____________MMM43">#REF!</definedName>
    <definedName name="____________MMM44" localSheetId="1">#REF!</definedName>
    <definedName name="____________MMM44">#REF!</definedName>
    <definedName name="____________MMM45" localSheetId="1">#REF!</definedName>
    <definedName name="____________MMM45">#REF!</definedName>
    <definedName name="____________MMM46" localSheetId="1">#REF!</definedName>
    <definedName name="____________MMM46">#REF!</definedName>
    <definedName name="____________MMM47" localSheetId="1">#REF!</definedName>
    <definedName name="____________MMM47">#REF!</definedName>
    <definedName name="____________MMM48" localSheetId="1">#REF!</definedName>
    <definedName name="____________MMM48">#REF!</definedName>
    <definedName name="____________MMM49" localSheetId="1">#REF!</definedName>
    <definedName name="____________MMM49">#REF!</definedName>
    <definedName name="____________MMM50" localSheetId="1">#REF!</definedName>
    <definedName name="____________MMM50">#REF!</definedName>
    <definedName name="____________MMM51" localSheetId="1">#REF!</definedName>
    <definedName name="____________MMM51">#REF!</definedName>
    <definedName name="____________MMM52" localSheetId="1">#REF!</definedName>
    <definedName name="____________MMM52">#REF!</definedName>
    <definedName name="____________MMM53" localSheetId="1">#REF!</definedName>
    <definedName name="____________MMM53">#REF!</definedName>
    <definedName name="____________MMM54" localSheetId="1">#REF!</definedName>
    <definedName name="____________MMM54">#REF!</definedName>
    <definedName name="___________LLL01" localSheetId="1">#REF!</definedName>
    <definedName name="___________LLL01">#REF!</definedName>
    <definedName name="___________LLL02" localSheetId="1">#REF!</definedName>
    <definedName name="___________LLL02">#REF!</definedName>
    <definedName name="___________LLL03" localSheetId="1">#REF!</definedName>
    <definedName name="___________LLL03">#REF!</definedName>
    <definedName name="___________LLL04" localSheetId="1">#REF!</definedName>
    <definedName name="___________LLL04">#REF!</definedName>
    <definedName name="___________LLL05" localSheetId="1">#REF!</definedName>
    <definedName name="___________LLL05">#REF!</definedName>
    <definedName name="___________LLL06" localSheetId="1">#REF!</definedName>
    <definedName name="___________LLL06">#REF!</definedName>
    <definedName name="___________LLL07" localSheetId="1">#REF!</definedName>
    <definedName name="___________LLL07">#REF!</definedName>
    <definedName name="___________LLL08" localSheetId="1">#REF!</definedName>
    <definedName name="___________LLL08">#REF!</definedName>
    <definedName name="___________LLL09" localSheetId="1">#REF!</definedName>
    <definedName name="___________LLL09">#REF!</definedName>
    <definedName name="___________LLL10" localSheetId="1">#REF!</definedName>
    <definedName name="___________LLL10">#REF!</definedName>
    <definedName name="___________LLL11" localSheetId="1">#REF!</definedName>
    <definedName name="___________LLL11">#REF!</definedName>
    <definedName name="___________MDE01">[2]Peralatan!$BO$27</definedName>
    <definedName name="___________MDE02">[2]Peralatan!$BO$47</definedName>
    <definedName name="___________MDE03">[2]Peralatan!$BO$67</definedName>
    <definedName name="___________MDE04">[2]Peralatan!$BO$87</definedName>
    <definedName name="___________MDE05">[2]Peralatan!$BO$107</definedName>
    <definedName name="___________MDE06">[2]Peralatan!$BO$127</definedName>
    <definedName name="___________MDE07">[2]Peralatan!$BO$147</definedName>
    <definedName name="___________MDE08">[2]Peralatan!$BO$167</definedName>
    <definedName name="___________MDE09">[2]Peralatan!$BO$187</definedName>
    <definedName name="___________MDE10">[2]Peralatan!$BO$207</definedName>
    <definedName name="___________MDE11">[2]Peralatan!$BO$227</definedName>
    <definedName name="___________MDE12">[2]Peralatan!$BO$247</definedName>
    <definedName name="___________MDE13">[2]Peralatan!$BO$267</definedName>
    <definedName name="___________MDE14">[2]Peralatan!$BO$287</definedName>
    <definedName name="___________MDE15">[2]Peralatan!$BO$307</definedName>
    <definedName name="___________MDE16">[2]Peralatan!$BO$327</definedName>
    <definedName name="___________MDE17">[2]Peralatan!$BO$347</definedName>
    <definedName name="___________MDE18">[2]Peralatan!$BO$367</definedName>
    <definedName name="___________MDE19">[2]Peralatan!$BO$387</definedName>
    <definedName name="___________MDE20">[2]Peralatan!$BO$407</definedName>
    <definedName name="___________MDE21">[2]Peralatan!$BO$427</definedName>
    <definedName name="___________MDE22">[2]Peralatan!$BO$447</definedName>
    <definedName name="___________MDE23">[2]Peralatan!$BO$467</definedName>
    <definedName name="___________MDE24">[2]Peralatan!$BO$487</definedName>
    <definedName name="___________MDE25">[2]Peralatan!$BO$507</definedName>
    <definedName name="___________MDE26">[2]Peralatan!$BO$527</definedName>
    <definedName name="___________MDE27">[2]Peralatan!$BO$547</definedName>
    <definedName name="___________MDE28">[2]Peralatan!$BO$567</definedName>
    <definedName name="___________MDE29">[2]Peralatan!$BO$587</definedName>
    <definedName name="___________MDE30">[2]Peralatan!$BO$607</definedName>
    <definedName name="___________MDE31">[2]Peralatan!$BO$627</definedName>
    <definedName name="___________MDE32">[2]Peralatan!$BO$647</definedName>
    <definedName name="___________MDE33">[2]Peralatan!$BO$667</definedName>
    <definedName name="___________MDE34">[2]Peralatan!$BO$698</definedName>
    <definedName name="___________MDE35">'[1]Peralatan (2)'!$R$27</definedName>
    <definedName name="___________ME01">[2]Peralatan!$BO$26</definedName>
    <definedName name="___________ME02">[2]Peralatan!$BO$46</definedName>
    <definedName name="___________ME03">[2]Peralatan!$BO$66</definedName>
    <definedName name="___________ME04">[2]Peralatan!$BO$86</definedName>
    <definedName name="___________ME05">[2]Peralatan!$BO$106</definedName>
    <definedName name="___________ME06">[2]Peralatan!$BO$126</definedName>
    <definedName name="___________ME07">[2]Peralatan!$BO$146</definedName>
    <definedName name="___________ME08">[2]Peralatan!$BO$166</definedName>
    <definedName name="___________ME09">[2]Peralatan!$BO$186</definedName>
    <definedName name="___________ME10">[2]Peralatan!$BO$206</definedName>
    <definedName name="___________ME11">[2]Peralatan!$BO$226</definedName>
    <definedName name="___________ME12">[2]Peralatan!$BO$246</definedName>
    <definedName name="___________ME13">[2]Peralatan!$BO$266</definedName>
    <definedName name="___________ME14">[2]Peralatan!$BO$286</definedName>
    <definedName name="___________ME15">[2]Peralatan!$BO$306</definedName>
    <definedName name="___________ME16">[2]Peralatan!$BO$326</definedName>
    <definedName name="___________ME17">[2]Peralatan!$BO$346</definedName>
    <definedName name="___________ME18">[2]Peralatan!$BO$366</definedName>
    <definedName name="___________ME19">[2]Peralatan!$BO$386</definedName>
    <definedName name="___________ME20">[2]Peralatan!$BO$406</definedName>
    <definedName name="___________ME21">[2]Peralatan!$BO$426</definedName>
    <definedName name="___________ME22">[2]Peralatan!$BO$446</definedName>
    <definedName name="___________ME23">[2]Peralatan!$BO$466</definedName>
    <definedName name="___________ME24">[2]Peralatan!$BO$486</definedName>
    <definedName name="___________ME25">[2]Peralatan!$BO$506</definedName>
    <definedName name="___________ME26">[2]Peralatan!$BO$526</definedName>
    <definedName name="___________ME27">[2]Peralatan!$BO$546</definedName>
    <definedName name="___________ME28">[2]Peralatan!$BO$566</definedName>
    <definedName name="___________ME29">[2]Peralatan!$BO$586</definedName>
    <definedName name="___________ME30">[2]Peralatan!$BO$606</definedName>
    <definedName name="___________ME31">[2]Peralatan!$BO$626</definedName>
    <definedName name="___________ME32">[2]Peralatan!$BO$646</definedName>
    <definedName name="___________ME33">[2]Peralatan!$BO$666</definedName>
    <definedName name="___________ME34">[2]Peralatan!$BO$697</definedName>
    <definedName name="___________ME35">'[1]Peralatan (2)'!$R$26</definedName>
    <definedName name="___________MMM01" localSheetId="1">#REF!</definedName>
    <definedName name="___________MMM01">#REF!</definedName>
    <definedName name="___________MMM02" localSheetId="1">#REF!</definedName>
    <definedName name="___________MMM02">#REF!</definedName>
    <definedName name="___________MMM03" localSheetId="1">#REF!</definedName>
    <definedName name="___________MMM03">#REF!</definedName>
    <definedName name="___________MMM04" localSheetId="1">#REF!</definedName>
    <definedName name="___________MMM04">#REF!</definedName>
    <definedName name="___________MMM05" localSheetId="1">#REF!</definedName>
    <definedName name="___________MMM05">#REF!</definedName>
    <definedName name="___________MMM06" localSheetId="1">#REF!</definedName>
    <definedName name="___________MMM06">#REF!</definedName>
    <definedName name="___________MMM07" localSheetId="1">#REF!</definedName>
    <definedName name="___________MMM07">#REF!</definedName>
    <definedName name="___________MMM08" localSheetId="1">#REF!</definedName>
    <definedName name="___________MMM08">#REF!</definedName>
    <definedName name="___________MMM09" localSheetId="1">#REF!</definedName>
    <definedName name="___________MMM09">#REF!</definedName>
    <definedName name="___________MMM10" localSheetId="1">#REF!</definedName>
    <definedName name="___________MMM10">#REF!</definedName>
    <definedName name="___________MMM11" localSheetId="1">#REF!</definedName>
    <definedName name="___________MMM11">#REF!</definedName>
    <definedName name="___________MMM12" localSheetId="1">#REF!</definedName>
    <definedName name="___________MMM12">#REF!</definedName>
    <definedName name="___________MMM13" localSheetId="1">#REF!</definedName>
    <definedName name="___________MMM13">#REF!</definedName>
    <definedName name="___________MMM14" localSheetId="1">#REF!</definedName>
    <definedName name="___________MMM14">#REF!</definedName>
    <definedName name="___________MMM15" localSheetId="1">#REF!</definedName>
    <definedName name="___________MMM15">#REF!</definedName>
    <definedName name="___________MMM16" localSheetId="1">#REF!</definedName>
    <definedName name="___________MMM16">#REF!</definedName>
    <definedName name="___________MMM17" localSheetId="1">#REF!</definedName>
    <definedName name="___________MMM17">#REF!</definedName>
    <definedName name="___________MMM18" localSheetId="1">#REF!</definedName>
    <definedName name="___________MMM18">#REF!</definedName>
    <definedName name="___________MMM19" localSheetId="1">#REF!</definedName>
    <definedName name="___________MMM19">#REF!</definedName>
    <definedName name="___________MMM20" localSheetId="1">#REF!</definedName>
    <definedName name="___________MMM20">#REF!</definedName>
    <definedName name="___________MMM21" localSheetId="1">#REF!</definedName>
    <definedName name="___________MMM21">#REF!</definedName>
    <definedName name="___________MMM22" localSheetId="1">#REF!</definedName>
    <definedName name="___________MMM22">#REF!</definedName>
    <definedName name="___________MMM23" localSheetId="1">#REF!</definedName>
    <definedName name="___________MMM23">#REF!</definedName>
    <definedName name="___________MMM24" localSheetId="1">#REF!</definedName>
    <definedName name="___________MMM24">#REF!</definedName>
    <definedName name="___________MMM25" localSheetId="1">#REF!</definedName>
    <definedName name="___________MMM25">#REF!</definedName>
    <definedName name="___________MMM26" localSheetId="1">#REF!</definedName>
    <definedName name="___________MMM26">#REF!</definedName>
    <definedName name="___________MMM27" localSheetId="1">#REF!</definedName>
    <definedName name="___________MMM27">#REF!</definedName>
    <definedName name="___________MMM28" localSheetId="1">#REF!</definedName>
    <definedName name="___________MMM28">#REF!</definedName>
    <definedName name="___________MMM29" localSheetId="1">#REF!</definedName>
    <definedName name="___________MMM29">#REF!</definedName>
    <definedName name="___________MMM30" localSheetId="1">#REF!</definedName>
    <definedName name="___________MMM30">#REF!</definedName>
    <definedName name="___________MMM31" localSheetId="1">#REF!</definedName>
    <definedName name="___________MMM31">#REF!</definedName>
    <definedName name="___________MMM32" localSheetId="1">#REF!</definedName>
    <definedName name="___________MMM32">#REF!</definedName>
    <definedName name="___________MMM33" localSheetId="1">#REF!</definedName>
    <definedName name="___________MMM33">#REF!</definedName>
    <definedName name="___________MMM34" localSheetId="1">#REF!</definedName>
    <definedName name="___________MMM34">#REF!</definedName>
    <definedName name="___________MMM35" localSheetId="1">#REF!</definedName>
    <definedName name="___________MMM35">#REF!</definedName>
    <definedName name="___________MMM36" localSheetId="1">#REF!</definedName>
    <definedName name="___________MMM36">#REF!</definedName>
    <definedName name="___________MMM37" localSheetId="1">#REF!</definedName>
    <definedName name="___________MMM37">#REF!</definedName>
    <definedName name="___________MMM38" localSheetId="1">#REF!</definedName>
    <definedName name="___________MMM38">#REF!</definedName>
    <definedName name="___________MMM39" localSheetId="1">#REF!</definedName>
    <definedName name="___________MMM39">#REF!</definedName>
    <definedName name="___________MMM40" localSheetId="1">#REF!</definedName>
    <definedName name="___________MMM40">#REF!</definedName>
    <definedName name="___________MMM41" localSheetId="1">#REF!</definedName>
    <definedName name="___________MMM41">#REF!</definedName>
    <definedName name="___________MMM411" localSheetId="1">#REF!</definedName>
    <definedName name="___________MMM411">#REF!</definedName>
    <definedName name="___________MMM42" localSheetId="1">#REF!</definedName>
    <definedName name="___________MMM42">#REF!</definedName>
    <definedName name="___________MMM43" localSheetId="1">#REF!</definedName>
    <definedName name="___________MMM43">#REF!</definedName>
    <definedName name="___________MMM44" localSheetId="1">#REF!</definedName>
    <definedName name="___________MMM44">#REF!</definedName>
    <definedName name="___________MMM45" localSheetId="1">#REF!</definedName>
    <definedName name="___________MMM45">#REF!</definedName>
    <definedName name="___________MMM46" localSheetId="1">#REF!</definedName>
    <definedName name="___________MMM46">#REF!</definedName>
    <definedName name="___________MMM47" localSheetId="1">#REF!</definedName>
    <definedName name="___________MMM47">#REF!</definedName>
    <definedName name="___________MMM48" localSheetId="1">#REF!</definedName>
    <definedName name="___________MMM48">#REF!</definedName>
    <definedName name="___________MMM49" localSheetId="1">#REF!</definedName>
    <definedName name="___________MMM49">#REF!</definedName>
    <definedName name="___________MMM50" localSheetId="1">#REF!</definedName>
    <definedName name="___________MMM50">#REF!</definedName>
    <definedName name="___________MMM51" localSheetId="1">#REF!</definedName>
    <definedName name="___________MMM51">#REF!</definedName>
    <definedName name="___________MMM52" localSheetId="1">#REF!</definedName>
    <definedName name="___________MMM52">#REF!</definedName>
    <definedName name="___________MMM53" localSheetId="1">#REF!</definedName>
    <definedName name="___________MMM53">#REF!</definedName>
    <definedName name="___________MMM54" localSheetId="1">#REF!</definedName>
    <definedName name="___________MMM54">#REF!</definedName>
    <definedName name="__________LLL01" localSheetId="1">#REF!</definedName>
    <definedName name="__________LLL01">#REF!</definedName>
    <definedName name="__________LLL02" localSheetId="1">#REF!</definedName>
    <definedName name="__________LLL02">#REF!</definedName>
    <definedName name="__________LLL03" localSheetId="1">#REF!</definedName>
    <definedName name="__________LLL03">#REF!</definedName>
    <definedName name="__________LLL04" localSheetId="1">#REF!</definedName>
    <definedName name="__________LLL04">#REF!</definedName>
    <definedName name="__________LLL05" localSheetId="1">#REF!</definedName>
    <definedName name="__________LLL05">#REF!</definedName>
    <definedName name="__________LLL06" localSheetId="1">#REF!</definedName>
    <definedName name="__________LLL06">#REF!</definedName>
    <definedName name="__________LLL07" localSheetId="1">#REF!</definedName>
    <definedName name="__________LLL07">#REF!</definedName>
    <definedName name="__________LLL08" localSheetId="1">#REF!</definedName>
    <definedName name="__________LLL08">#REF!</definedName>
    <definedName name="__________LLL09" localSheetId="1">#REF!</definedName>
    <definedName name="__________LLL09">#REF!</definedName>
    <definedName name="__________LLL10" localSheetId="1">#REF!</definedName>
    <definedName name="__________LLL10">#REF!</definedName>
    <definedName name="__________LLL11" localSheetId="1">#REF!</definedName>
    <definedName name="__________LLL11">#REF!</definedName>
    <definedName name="__________MDE01">[2]Peralatan!$BO$27</definedName>
    <definedName name="__________MDE02">[2]Peralatan!$BO$47</definedName>
    <definedName name="__________MDE03">[2]Peralatan!$BO$67</definedName>
    <definedName name="__________MDE04">[2]Peralatan!$BO$87</definedName>
    <definedName name="__________MDE05">[2]Peralatan!$BO$107</definedName>
    <definedName name="__________MDE06">[2]Peralatan!$BO$127</definedName>
    <definedName name="__________MDE07">[2]Peralatan!$BO$147</definedName>
    <definedName name="__________MDE08">[2]Peralatan!$BO$167</definedName>
    <definedName name="__________MDE09">[3]Peralatan!$BO$187</definedName>
    <definedName name="__________MDE10">[3]Peralatan!$BO$207</definedName>
    <definedName name="__________MDE11">[3]Peralatan!$BO$227</definedName>
    <definedName name="__________MDE12">[2]Peralatan!$BO$247</definedName>
    <definedName name="__________MDE13">[2]Peralatan!$BO$267</definedName>
    <definedName name="__________MDE14">[2]Peralatan!$BO$287</definedName>
    <definedName name="__________MDE15">[2]Peralatan!$BO$307</definedName>
    <definedName name="__________MDE16">[2]Peralatan!$BO$327</definedName>
    <definedName name="__________MDE17">[2]Peralatan!$BO$347</definedName>
    <definedName name="__________MDE18">[2]Peralatan!$BO$367</definedName>
    <definedName name="__________MDE19">[2]Peralatan!$BO$387</definedName>
    <definedName name="__________MDE20">[2]Peralatan!$BO$407</definedName>
    <definedName name="__________MDE21">[2]Peralatan!$BO$427</definedName>
    <definedName name="__________MDE22">[2]Peralatan!$BO$447</definedName>
    <definedName name="__________MDE23">[2]Peralatan!$BO$467</definedName>
    <definedName name="__________MDE24">[2]Peralatan!$BO$487</definedName>
    <definedName name="__________MDE25">[3]Peralatan!$BO$507</definedName>
    <definedName name="__________MDE26">[2]Peralatan!$BO$527</definedName>
    <definedName name="__________MDE27">[2]Peralatan!$BO$547</definedName>
    <definedName name="__________MDE28">[2]Peralatan!$BO$567</definedName>
    <definedName name="__________MDE29">[2]Peralatan!$BO$587</definedName>
    <definedName name="__________MDE30">[2]Peralatan!$BO$607</definedName>
    <definedName name="__________MDE31">[2]Peralatan!$BO$627</definedName>
    <definedName name="__________MDE32">[2]Peralatan!$BO$647</definedName>
    <definedName name="__________MDE33">[2]Peralatan!$BO$667</definedName>
    <definedName name="__________MDE34">[2]Peralatan!$BO$698</definedName>
    <definedName name="__________MDE35">'[1]Peralatan (2)'!$R$27</definedName>
    <definedName name="__________ME01">[2]Peralatan!$BO$26</definedName>
    <definedName name="__________ME02">[2]Peralatan!$BO$46</definedName>
    <definedName name="__________ME03">[2]Peralatan!$BO$66</definedName>
    <definedName name="__________ME04">[2]Peralatan!$BO$86</definedName>
    <definedName name="__________ME05">[2]Peralatan!$BO$106</definedName>
    <definedName name="__________ME06">[2]Peralatan!$BO$126</definedName>
    <definedName name="__________ME07">[2]Peralatan!$BO$146</definedName>
    <definedName name="__________ME08">[2]Peralatan!$BO$166</definedName>
    <definedName name="__________ME09">[3]Peralatan!$BO$186</definedName>
    <definedName name="__________ME10">[3]Peralatan!$BO$206</definedName>
    <definedName name="__________ME11">[3]Peralatan!$BO$226</definedName>
    <definedName name="__________ME12">[2]Peralatan!$BO$246</definedName>
    <definedName name="__________ME13">[2]Peralatan!$BO$266</definedName>
    <definedName name="__________ME14">[2]Peralatan!$BO$286</definedName>
    <definedName name="__________ME15">[2]Peralatan!$BO$306</definedName>
    <definedName name="__________ME16">[2]Peralatan!$BO$326</definedName>
    <definedName name="__________ME17">[2]Peralatan!$BO$346</definedName>
    <definedName name="__________ME18">[2]Peralatan!$BO$366</definedName>
    <definedName name="__________ME19">[2]Peralatan!$BO$386</definedName>
    <definedName name="__________ME20">[2]Peralatan!$BO$406</definedName>
    <definedName name="__________ME21">[2]Peralatan!$BO$426</definedName>
    <definedName name="__________ME22">[2]Peralatan!$BO$446</definedName>
    <definedName name="__________ME23">[2]Peralatan!$BO$466</definedName>
    <definedName name="__________ME24">[2]Peralatan!$BO$486</definedName>
    <definedName name="__________ME25">[3]Peralatan!$BO$506</definedName>
    <definedName name="__________ME26">[2]Peralatan!$BO$526</definedName>
    <definedName name="__________ME27">[2]Peralatan!$BO$546</definedName>
    <definedName name="__________ME28">[2]Peralatan!$BO$566</definedName>
    <definedName name="__________ME29">[2]Peralatan!$BO$586</definedName>
    <definedName name="__________ME30">[2]Peralatan!$BO$606</definedName>
    <definedName name="__________ME31">[2]Peralatan!$BO$626</definedName>
    <definedName name="__________ME32">[2]Peralatan!$BO$646</definedName>
    <definedName name="__________ME33">[2]Peralatan!$BO$666</definedName>
    <definedName name="__________ME34">[2]Peralatan!$BO$697</definedName>
    <definedName name="__________ME35">'[1]Peralatan (2)'!$R$26</definedName>
    <definedName name="__________MMM01" localSheetId="1">#REF!</definedName>
    <definedName name="__________MMM01">#REF!</definedName>
    <definedName name="__________MMM02" localSheetId="1">#REF!</definedName>
    <definedName name="__________MMM02">#REF!</definedName>
    <definedName name="__________MMM03" localSheetId="1">#REF!</definedName>
    <definedName name="__________MMM03">#REF!</definedName>
    <definedName name="__________MMM04" localSheetId="1">#REF!</definedName>
    <definedName name="__________MMM04">#REF!</definedName>
    <definedName name="__________MMM05" localSheetId="1">#REF!</definedName>
    <definedName name="__________MMM05">#REF!</definedName>
    <definedName name="__________MMM06" localSheetId="1">#REF!</definedName>
    <definedName name="__________MMM06">#REF!</definedName>
    <definedName name="__________MMM07" localSheetId="1">#REF!</definedName>
    <definedName name="__________MMM07">#REF!</definedName>
    <definedName name="__________MMM08" localSheetId="1">#REF!</definedName>
    <definedName name="__________MMM08">#REF!</definedName>
    <definedName name="__________MMM09" localSheetId="1">#REF!</definedName>
    <definedName name="__________MMM09">#REF!</definedName>
    <definedName name="__________MMM10" localSheetId="1">#REF!</definedName>
    <definedName name="__________MMM10">#REF!</definedName>
    <definedName name="__________MMM11" localSheetId="1">#REF!</definedName>
    <definedName name="__________MMM11">#REF!</definedName>
    <definedName name="__________MMM12" localSheetId="1">#REF!</definedName>
    <definedName name="__________MMM12">#REF!</definedName>
    <definedName name="__________MMM13" localSheetId="1">#REF!</definedName>
    <definedName name="__________MMM13">#REF!</definedName>
    <definedName name="__________MMM14" localSheetId="1">#REF!</definedName>
    <definedName name="__________MMM14">#REF!</definedName>
    <definedName name="__________MMM15" localSheetId="1">#REF!</definedName>
    <definedName name="__________MMM15">#REF!</definedName>
    <definedName name="__________MMM16" localSheetId="1">#REF!</definedName>
    <definedName name="__________MMM16">#REF!</definedName>
    <definedName name="__________MMM17" localSheetId="1">#REF!</definedName>
    <definedName name="__________MMM17">#REF!</definedName>
    <definedName name="__________MMM18" localSheetId="1">#REF!</definedName>
    <definedName name="__________MMM18">#REF!</definedName>
    <definedName name="__________MMM19" localSheetId="1">#REF!</definedName>
    <definedName name="__________MMM19">#REF!</definedName>
    <definedName name="__________MMM20" localSheetId="1">#REF!</definedName>
    <definedName name="__________MMM20">#REF!</definedName>
    <definedName name="__________MMM21" localSheetId="1">#REF!</definedName>
    <definedName name="__________MMM21">#REF!</definedName>
    <definedName name="__________MMM22" localSheetId="1">#REF!</definedName>
    <definedName name="__________MMM22">#REF!</definedName>
    <definedName name="__________MMM23" localSheetId="1">#REF!</definedName>
    <definedName name="__________MMM23">#REF!</definedName>
    <definedName name="__________MMM24" localSheetId="1">#REF!</definedName>
    <definedName name="__________MMM24">#REF!</definedName>
    <definedName name="__________MMM25" localSheetId="1">#REF!</definedName>
    <definedName name="__________MMM25">#REF!</definedName>
    <definedName name="__________MMM26" localSheetId="1">#REF!</definedName>
    <definedName name="__________MMM26">#REF!</definedName>
    <definedName name="__________MMM27" localSheetId="1">#REF!</definedName>
    <definedName name="__________MMM27">#REF!</definedName>
    <definedName name="__________MMM28" localSheetId="1">#REF!</definedName>
    <definedName name="__________MMM28">#REF!</definedName>
    <definedName name="__________MMM29" localSheetId="1">#REF!</definedName>
    <definedName name="__________MMM29">#REF!</definedName>
    <definedName name="__________MMM30" localSheetId="1">#REF!</definedName>
    <definedName name="__________MMM30">#REF!</definedName>
    <definedName name="__________MMM31" localSheetId="1">#REF!</definedName>
    <definedName name="__________MMM31">#REF!</definedName>
    <definedName name="__________MMM32" localSheetId="1">#REF!</definedName>
    <definedName name="__________MMM32">#REF!</definedName>
    <definedName name="__________MMM33" localSheetId="1">#REF!</definedName>
    <definedName name="__________MMM33">#REF!</definedName>
    <definedName name="__________MMM34" localSheetId="1">#REF!</definedName>
    <definedName name="__________MMM34">#REF!</definedName>
    <definedName name="__________MMM35" localSheetId="1">#REF!</definedName>
    <definedName name="__________MMM35">#REF!</definedName>
    <definedName name="__________MMM36" localSheetId="1">#REF!</definedName>
    <definedName name="__________MMM36">#REF!</definedName>
    <definedName name="__________MMM37" localSheetId="1">#REF!</definedName>
    <definedName name="__________MMM37">#REF!</definedName>
    <definedName name="__________MMM38" localSheetId="1">#REF!</definedName>
    <definedName name="__________MMM38">#REF!</definedName>
    <definedName name="__________MMM39" localSheetId="1">#REF!</definedName>
    <definedName name="__________MMM39">#REF!</definedName>
    <definedName name="__________MMM40" localSheetId="1">#REF!</definedName>
    <definedName name="__________MMM40">#REF!</definedName>
    <definedName name="__________MMM41" localSheetId="1">#REF!</definedName>
    <definedName name="__________MMM41">#REF!</definedName>
    <definedName name="__________MMM411" localSheetId="1">#REF!</definedName>
    <definedName name="__________MMM411">#REF!</definedName>
    <definedName name="__________MMM42" localSheetId="1">#REF!</definedName>
    <definedName name="__________MMM42">#REF!</definedName>
    <definedName name="__________MMM43" localSheetId="1">#REF!</definedName>
    <definedName name="__________MMM43">#REF!</definedName>
    <definedName name="__________MMM44" localSheetId="1">#REF!</definedName>
    <definedName name="__________MMM44">#REF!</definedName>
    <definedName name="__________MMM45" localSheetId="1">#REF!</definedName>
    <definedName name="__________MMM45">#REF!</definedName>
    <definedName name="__________MMM46" localSheetId="1">#REF!</definedName>
    <definedName name="__________MMM46">#REF!</definedName>
    <definedName name="__________MMM47" localSheetId="1">#REF!</definedName>
    <definedName name="__________MMM47">#REF!</definedName>
    <definedName name="__________MMM48" localSheetId="1">#REF!</definedName>
    <definedName name="__________MMM48">#REF!</definedName>
    <definedName name="__________MMM49" localSheetId="1">#REF!</definedName>
    <definedName name="__________MMM49">#REF!</definedName>
    <definedName name="__________MMM50" localSheetId="1">#REF!</definedName>
    <definedName name="__________MMM50">#REF!</definedName>
    <definedName name="__________MMM51" localSheetId="1">#REF!</definedName>
    <definedName name="__________MMM51">#REF!</definedName>
    <definedName name="__________MMM52" localSheetId="1">#REF!</definedName>
    <definedName name="__________MMM52">#REF!</definedName>
    <definedName name="__________MMM53" localSheetId="1">#REF!</definedName>
    <definedName name="__________MMM53">#REF!</definedName>
    <definedName name="__________MMM54" localSheetId="1">#REF!</definedName>
    <definedName name="__________MMM54">#REF!</definedName>
    <definedName name="_________LLL01" localSheetId="1">#REF!</definedName>
    <definedName name="_________LLL01">#REF!</definedName>
    <definedName name="_________LLL02" localSheetId="1">#REF!</definedName>
    <definedName name="_________LLL02">#REF!</definedName>
    <definedName name="_________LLL03" localSheetId="1">#REF!</definedName>
    <definedName name="_________LLL03">#REF!</definedName>
    <definedName name="_________LLL04" localSheetId="1">#REF!</definedName>
    <definedName name="_________LLL04">#REF!</definedName>
    <definedName name="_________LLL05" localSheetId="1">#REF!</definedName>
    <definedName name="_________LLL05">#REF!</definedName>
    <definedName name="_________LLL06" localSheetId="1">#REF!</definedName>
    <definedName name="_________LLL06">#REF!</definedName>
    <definedName name="_________LLL07" localSheetId="1">#REF!</definedName>
    <definedName name="_________LLL07">#REF!</definedName>
    <definedName name="_________LLL08" localSheetId="1">#REF!</definedName>
    <definedName name="_________LLL08">#REF!</definedName>
    <definedName name="_________LLL09" localSheetId="1">#REF!</definedName>
    <definedName name="_________LLL09">#REF!</definedName>
    <definedName name="_________LLL10" localSheetId="1">#REF!</definedName>
    <definedName name="_________LLL10">#REF!</definedName>
    <definedName name="_________LLL11" localSheetId="1">#REF!</definedName>
    <definedName name="_________LLL11">#REF!</definedName>
    <definedName name="_________MDE01">[2]Peralatan!$BO$27</definedName>
    <definedName name="_________MDE02">[2]Peralatan!$BO$47</definedName>
    <definedName name="_________MDE03">[2]Peralatan!$BO$67</definedName>
    <definedName name="_________MDE04">[2]Peralatan!$BO$87</definedName>
    <definedName name="_________MDE05">[2]Peralatan!$BO$107</definedName>
    <definedName name="_________MDE06">[2]Peralatan!$BO$127</definedName>
    <definedName name="_________MDE07">[2]Peralatan!$BO$147</definedName>
    <definedName name="_________MDE08">[2]Peralatan!$BO$167</definedName>
    <definedName name="_________MDE09" localSheetId="1">'[4]AN. ALAT'!#REF!</definedName>
    <definedName name="_________MDE09">'[4]AN. ALAT'!#REF!</definedName>
    <definedName name="_________MDE10" localSheetId="1">'[4]AN. ALAT'!#REF!</definedName>
    <definedName name="_________MDE10">'[4]AN. ALAT'!#REF!</definedName>
    <definedName name="_________MDE11" localSheetId="1">'[4]AN. ALAT'!#REF!</definedName>
    <definedName name="_________MDE11">'[4]AN. ALAT'!#REF!</definedName>
    <definedName name="_________MDE12">[2]Peralatan!$BO$247</definedName>
    <definedName name="_________MDE13">[2]Peralatan!$BO$267</definedName>
    <definedName name="_________MDE14">[2]Peralatan!$BO$287</definedName>
    <definedName name="_________MDE15">[2]Peralatan!$BO$307</definedName>
    <definedName name="_________MDE16">[2]Peralatan!$BO$327</definedName>
    <definedName name="_________MDE17">[2]Peralatan!$BO$347</definedName>
    <definedName name="_________MDE18">[2]Peralatan!$BO$367</definedName>
    <definedName name="_________MDE19">[2]Peralatan!$BO$387</definedName>
    <definedName name="_________MDE20">[2]Peralatan!$BO$407</definedName>
    <definedName name="_________MDE21">[2]Peralatan!$BO$427</definedName>
    <definedName name="_________MDE22">[2]Peralatan!$BO$447</definedName>
    <definedName name="_________MDE23">[2]Peralatan!$BO$467</definedName>
    <definedName name="_________MDE24">[2]Peralatan!$BO$487</definedName>
    <definedName name="_________MDE25" localSheetId="1">'[4]AN. ALAT'!#REF!</definedName>
    <definedName name="_________MDE25">'[4]AN. ALAT'!#REF!</definedName>
    <definedName name="_________MDE26">[2]Peralatan!$BO$527</definedName>
    <definedName name="_________MDE27">[2]Peralatan!$BO$547</definedName>
    <definedName name="_________MDE28">[2]Peralatan!$BO$567</definedName>
    <definedName name="_________MDE29">[2]Peralatan!$BO$587</definedName>
    <definedName name="_________MDE30">[2]Peralatan!$BO$607</definedName>
    <definedName name="_________MDE31">[2]Peralatan!$BO$627</definedName>
    <definedName name="_________MDE32">[2]Peralatan!$BO$647</definedName>
    <definedName name="_________MDE33">[2]Peralatan!$BO$667</definedName>
    <definedName name="_________MDE34">[2]Peralatan!$BO$698</definedName>
    <definedName name="_________MDE35">'[1]Peralatan (2)'!$R$27</definedName>
    <definedName name="_________ME01">[2]Peralatan!$BO$26</definedName>
    <definedName name="_________ME02">[2]Peralatan!$BO$46</definedName>
    <definedName name="_________ME03">[2]Peralatan!$BO$66</definedName>
    <definedName name="_________ME04">[2]Peralatan!$BO$86</definedName>
    <definedName name="_________ME05">[2]Peralatan!$BO$106</definedName>
    <definedName name="_________ME06">[2]Peralatan!$BO$126</definedName>
    <definedName name="_________ME07">[2]Peralatan!$BO$146</definedName>
    <definedName name="_________ME08">[2]Peralatan!$BO$166</definedName>
    <definedName name="_________ME09" localSheetId="1">'[4]AN. ALAT'!#REF!</definedName>
    <definedName name="_________ME09">'[4]AN. ALAT'!#REF!</definedName>
    <definedName name="_________ME10" localSheetId="1">'[4]AN. ALAT'!#REF!</definedName>
    <definedName name="_________ME10">'[4]AN. ALAT'!#REF!</definedName>
    <definedName name="_________ME11" localSheetId="1">'[4]AN. ALAT'!#REF!</definedName>
    <definedName name="_________ME11">'[4]AN. ALAT'!#REF!</definedName>
    <definedName name="_________ME12">[2]Peralatan!$BO$246</definedName>
    <definedName name="_________ME13">[2]Peralatan!$BO$266</definedName>
    <definedName name="_________ME14">[2]Peralatan!$BO$286</definedName>
    <definedName name="_________ME15">[2]Peralatan!$BO$306</definedName>
    <definedName name="_________ME16">[2]Peralatan!$BO$326</definedName>
    <definedName name="_________ME17">[2]Peralatan!$BO$346</definedName>
    <definedName name="_________ME18">[2]Peralatan!$BO$366</definedName>
    <definedName name="_________ME19">[2]Peralatan!$BO$386</definedName>
    <definedName name="_________ME20">[2]Peralatan!$BO$406</definedName>
    <definedName name="_________ME21">[2]Peralatan!$BO$426</definedName>
    <definedName name="_________ME22">[2]Peralatan!$BO$446</definedName>
    <definedName name="_________ME23">[2]Peralatan!$BO$466</definedName>
    <definedName name="_________ME24">[2]Peralatan!$BO$486</definedName>
    <definedName name="_________ME25" localSheetId="1">'[4]AN. ALAT'!#REF!</definedName>
    <definedName name="_________ME25">'[4]AN. ALAT'!#REF!</definedName>
    <definedName name="_________ME26">[2]Peralatan!$BO$526</definedName>
    <definedName name="_________ME27">[2]Peralatan!$BO$546</definedName>
    <definedName name="_________ME28">[2]Peralatan!$BO$566</definedName>
    <definedName name="_________ME29">[2]Peralatan!$BO$586</definedName>
    <definedName name="_________ME30">[2]Peralatan!$BO$606</definedName>
    <definedName name="_________ME31">[2]Peralatan!$BO$626</definedName>
    <definedName name="_________ME32">[2]Peralatan!$BO$646</definedName>
    <definedName name="_________ME33">[2]Peralatan!$BO$666</definedName>
    <definedName name="_________ME34">[2]Peralatan!$BO$697</definedName>
    <definedName name="_________ME35">'[1]Peralatan (2)'!$R$26</definedName>
    <definedName name="_________MMM01" localSheetId="1">#REF!</definedName>
    <definedName name="_________MMM01">#REF!</definedName>
    <definedName name="_________MMM02" localSheetId="1">#REF!</definedName>
    <definedName name="_________MMM02">#REF!</definedName>
    <definedName name="_________MMM03" localSheetId="1">#REF!</definedName>
    <definedName name="_________MMM03">#REF!</definedName>
    <definedName name="_________MMM04" localSheetId="1">#REF!</definedName>
    <definedName name="_________MMM04">#REF!</definedName>
    <definedName name="_________MMM05" localSheetId="1">#REF!</definedName>
    <definedName name="_________MMM05">#REF!</definedName>
    <definedName name="_________MMM06" localSheetId="1">#REF!</definedName>
    <definedName name="_________MMM06">#REF!</definedName>
    <definedName name="_________MMM07" localSheetId="1">#REF!</definedName>
    <definedName name="_________MMM07">#REF!</definedName>
    <definedName name="_________MMM08" localSheetId="1">#REF!</definedName>
    <definedName name="_________MMM08">#REF!</definedName>
    <definedName name="_________MMM09" localSheetId="1">#REF!</definedName>
    <definedName name="_________MMM09">#REF!</definedName>
    <definedName name="_________MMM10" localSheetId="1">#REF!</definedName>
    <definedName name="_________MMM10">#REF!</definedName>
    <definedName name="_________MMM11" localSheetId="1">#REF!</definedName>
    <definedName name="_________MMM11">#REF!</definedName>
    <definedName name="_________MMM12" localSheetId="1">#REF!</definedName>
    <definedName name="_________MMM12">#REF!</definedName>
    <definedName name="_________MMM13" localSheetId="1">#REF!</definedName>
    <definedName name="_________MMM13">#REF!</definedName>
    <definedName name="_________MMM14" localSheetId="1">#REF!</definedName>
    <definedName name="_________MMM14">#REF!</definedName>
    <definedName name="_________MMM15" localSheetId="1">#REF!</definedName>
    <definedName name="_________MMM15">#REF!</definedName>
    <definedName name="_________MMM16" localSheetId="1">#REF!</definedName>
    <definedName name="_________MMM16">#REF!</definedName>
    <definedName name="_________MMM17" localSheetId="1">#REF!</definedName>
    <definedName name="_________MMM17">#REF!</definedName>
    <definedName name="_________MMM18" localSheetId="1">#REF!</definedName>
    <definedName name="_________MMM18">#REF!</definedName>
    <definedName name="_________MMM19" localSheetId="1">#REF!</definedName>
    <definedName name="_________MMM19">#REF!</definedName>
    <definedName name="_________MMM20" localSheetId="1">#REF!</definedName>
    <definedName name="_________MMM20">#REF!</definedName>
    <definedName name="_________MMM21" localSheetId="1">#REF!</definedName>
    <definedName name="_________MMM21">#REF!</definedName>
    <definedName name="_________MMM22" localSheetId="1">#REF!</definedName>
    <definedName name="_________MMM22">#REF!</definedName>
    <definedName name="_________MMM23" localSheetId="1">#REF!</definedName>
    <definedName name="_________MMM23">#REF!</definedName>
    <definedName name="_________MMM24" localSheetId="1">#REF!</definedName>
    <definedName name="_________MMM24">#REF!</definedName>
    <definedName name="_________MMM25" localSheetId="1">#REF!</definedName>
    <definedName name="_________MMM25">#REF!</definedName>
    <definedName name="_________MMM26" localSheetId="1">#REF!</definedName>
    <definedName name="_________MMM26">#REF!</definedName>
    <definedName name="_________MMM27" localSheetId="1">#REF!</definedName>
    <definedName name="_________MMM27">#REF!</definedName>
    <definedName name="_________MMM28" localSheetId="1">#REF!</definedName>
    <definedName name="_________MMM28">#REF!</definedName>
    <definedName name="_________MMM29" localSheetId="1">#REF!</definedName>
    <definedName name="_________MMM29">#REF!</definedName>
    <definedName name="_________MMM30" localSheetId="1">#REF!</definedName>
    <definedName name="_________MMM30">#REF!</definedName>
    <definedName name="_________MMM31" localSheetId="1">#REF!</definedName>
    <definedName name="_________MMM31">#REF!</definedName>
    <definedName name="_________MMM32" localSheetId="1">#REF!</definedName>
    <definedName name="_________MMM32">#REF!</definedName>
    <definedName name="_________MMM33" localSheetId="1">#REF!</definedName>
    <definedName name="_________MMM33">#REF!</definedName>
    <definedName name="_________MMM34" localSheetId="1">#REF!</definedName>
    <definedName name="_________MMM34">#REF!</definedName>
    <definedName name="_________MMM35" localSheetId="1">#REF!</definedName>
    <definedName name="_________MMM35">#REF!</definedName>
    <definedName name="_________MMM36" localSheetId="1">#REF!</definedName>
    <definedName name="_________MMM36">#REF!</definedName>
    <definedName name="_________MMM37" localSheetId="1">#REF!</definedName>
    <definedName name="_________MMM37">#REF!</definedName>
    <definedName name="_________MMM38" localSheetId="1">#REF!</definedName>
    <definedName name="_________MMM38">#REF!</definedName>
    <definedName name="_________MMM39" localSheetId="1">#REF!</definedName>
    <definedName name="_________MMM39">#REF!</definedName>
    <definedName name="_________MMM40" localSheetId="1">#REF!</definedName>
    <definedName name="_________MMM40">#REF!</definedName>
    <definedName name="_________MMM41" localSheetId="1">#REF!</definedName>
    <definedName name="_________MMM41">#REF!</definedName>
    <definedName name="_________MMM411" localSheetId="1">#REF!</definedName>
    <definedName name="_________MMM411">#REF!</definedName>
    <definedName name="_________MMM42" localSheetId="1">#REF!</definedName>
    <definedName name="_________MMM42">#REF!</definedName>
    <definedName name="_________MMM43" localSheetId="1">#REF!</definedName>
    <definedName name="_________MMM43">#REF!</definedName>
    <definedName name="_________MMM44" localSheetId="1">#REF!</definedName>
    <definedName name="_________MMM44">#REF!</definedName>
    <definedName name="_________MMM45" localSheetId="1">#REF!</definedName>
    <definedName name="_________MMM45">#REF!</definedName>
    <definedName name="_________MMM46" localSheetId="1">#REF!</definedName>
    <definedName name="_________MMM46">#REF!</definedName>
    <definedName name="_________MMM47" localSheetId="1">#REF!</definedName>
    <definedName name="_________MMM47">#REF!</definedName>
    <definedName name="_________MMM48" localSheetId="1">#REF!</definedName>
    <definedName name="_________MMM48">#REF!</definedName>
    <definedName name="_________MMM49" localSheetId="1">#REF!</definedName>
    <definedName name="_________MMM49">#REF!</definedName>
    <definedName name="_________MMM50" localSheetId="1">#REF!</definedName>
    <definedName name="_________MMM50">#REF!</definedName>
    <definedName name="_________MMM51" localSheetId="1">#REF!</definedName>
    <definedName name="_________MMM51">#REF!</definedName>
    <definedName name="_________MMM52" localSheetId="1">#REF!</definedName>
    <definedName name="_________MMM52">#REF!</definedName>
    <definedName name="_________MMM53" localSheetId="1">#REF!</definedName>
    <definedName name="_________MMM53">#REF!</definedName>
    <definedName name="_________MMM54" localSheetId="1">#REF!</definedName>
    <definedName name="_________MMM54">#REF!</definedName>
    <definedName name="________LLL01" localSheetId="1">#REF!</definedName>
    <definedName name="________LLL01">#REF!</definedName>
    <definedName name="________LLL02" localSheetId="1">#REF!</definedName>
    <definedName name="________LLL02">#REF!</definedName>
    <definedName name="________LLL03" localSheetId="1">#REF!</definedName>
    <definedName name="________LLL03">#REF!</definedName>
    <definedName name="________LLL04" localSheetId="1">#REF!</definedName>
    <definedName name="________LLL04">#REF!</definedName>
    <definedName name="________LLL05" localSheetId="1">#REF!</definedName>
    <definedName name="________LLL05">#REF!</definedName>
    <definedName name="________LLL06" localSheetId="1">#REF!</definedName>
    <definedName name="________LLL06">#REF!</definedName>
    <definedName name="________LLL07" localSheetId="1">#REF!</definedName>
    <definedName name="________LLL07">#REF!</definedName>
    <definedName name="________LLL08" localSheetId="1">#REF!</definedName>
    <definedName name="________LLL08">#REF!</definedName>
    <definedName name="________LLL09" localSheetId="1">#REF!</definedName>
    <definedName name="________LLL09">#REF!</definedName>
    <definedName name="________LLL10" localSheetId="1">#REF!</definedName>
    <definedName name="________LLL10">#REF!</definedName>
    <definedName name="________LLL11" localSheetId="1">#REF!</definedName>
    <definedName name="________LLL11">#REF!</definedName>
    <definedName name="________MDE01">[2]Peralatan!$BO$27</definedName>
    <definedName name="________MDE02">[3]Peralatan!$BO$47</definedName>
    <definedName name="________MDE03">[3]Peralatan!$BO$67</definedName>
    <definedName name="________MDE04">[3]Peralatan!$BO$87</definedName>
    <definedName name="________MDE05">[3]Peralatan!$BO$107</definedName>
    <definedName name="________MDE06">[3]Peralatan!$BO$127</definedName>
    <definedName name="________MDE07">[3]Peralatan!$BO$147</definedName>
    <definedName name="________MDE08">[3]Peralatan!$BO$167</definedName>
    <definedName name="________MDE09">[2]Peralatan!$BO$187</definedName>
    <definedName name="________MDE10">[2]Peralatan!$BO$207</definedName>
    <definedName name="________MDE11">[2]Peralatan!$BO$227</definedName>
    <definedName name="________MDE12">[2]Peralatan!$BO$247</definedName>
    <definedName name="________MDE13">[3]Peralatan!$BO$267</definedName>
    <definedName name="________MDE14">[3]Peralatan!$BO$287</definedName>
    <definedName name="________MDE15">[3]Peralatan!$BO$307</definedName>
    <definedName name="________MDE16">[3]Peralatan!$BO$327</definedName>
    <definedName name="________MDE17">[3]Peralatan!$BO$347</definedName>
    <definedName name="________MDE18">[3]Peralatan!$BO$367</definedName>
    <definedName name="________MDE19">[3]Peralatan!$BO$387</definedName>
    <definedName name="________MDE20">[3]Peralatan!$BO$407</definedName>
    <definedName name="________MDE21">[3]Peralatan!$BO$427</definedName>
    <definedName name="________MDE22">[3]Peralatan!$BO$447</definedName>
    <definedName name="________MDE23">[3]Peralatan!$BO$467</definedName>
    <definedName name="________MDE24">[3]Peralatan!$BO$487</definedName>
    <definedName name="________MDE25">[2]Peralatan!$BO$507</definedName>
    <definedName name="________MDE26">[1]Peralatan!$BO$527</definedName>
    <definedName name="________MDE27">[3]Peralatan!$BO$547</definedName>
    <definedName name="________MDE28">[3]Peralatan!$BO$567</definedName>
    <definedName name="________MDE29">[3]Peralatan!$BO$587</definedName>
    <definedName name="________MDE30">[3]Peralatan!$BO$607</definedName>
    <definedName name="________MDE31">[3]Peralatan!$BO$627</definedName>
    <definedName name="________MDE32">[3]Peralatan!$BO$647</definedName>
    <definedName name="________MDE33">[3]Peralatan!$BO$667</definedName>
    <definedName name="________MDE34">[3]Peralatan!$BO$698</definedName>
    <definedName name="________MDE35">'[1]Peralatan (2)'!$R$27</definedName>
    <definedName name="________ME01">[3]Peralatan!$BO$26</definedName>
    <definedName name="________ME02">[3]Peralatan!$BO$46</definedName>
    <definedName name="________ME03">[3]Peralatan!$BO$66</definedName>
    <definedName name="________ME04">[3]Peralatan!$BO$86</definedName>
    <definedName name="________ME05">[3]Peralatan!$BO$106</definedName>
    <definedName name="________ME06">[3]Peralatan!$BO$126</definedName>
    <definedName name="________ME07">[3]Peralatan!$BO$146</definedName>
    <definedName name="________ME08">[3]Peralatan!$BO$166</definedName>
    <definedName name="________ME09">[2]Peralatan!$BO$186</definedName>
    <definedName name="________ME10">[2]Peralatan!$BO$206</definedName>
    <definedName name="________ME11">[2]Peralatan!$BO$226</definedName>
    <definedName name="________ME12">[2]Peralatan!$BO$246</definedName>
    <definedName name="________ME13">[3]Peralatan!$BO$266</definedName>
    <definedName name="________ME14">[3]Peralatan!$BO$286</definedName>
    <definedName name="________ME15">[3]Peralatan!$BO$306</definedName>
    <definedName name="________ME16">[3]Peralatan!$BO$326</definedName>
    <definedName name="________ME17">[3]Peralatan!$BO$346</definedName>
    <definedName name="________ME18">[3]Peralatan!$BO$366</definedName>
    <definedName name="________ME19">[3]Peralatan!$BO$386</definedName>
    <definedName name="________ME20">[3]Peralatan!$BO$406</definedName>
    <definedName name="________ME21">[3]Peralatan!$BO$426</definedName>
    <definedName name="________ME22">[3]Peralatan!$BO$446</definedName>
    <definedName name="________ME23">[3]Peralatan!$BO$466</definedName>
    <definedName name="________ME24">[3]Peralatan!$BO$486</definedName>
    <definedName name="________ME25">[2]Peralatan!$BO$506</definedName>
    <definedName name="________ME26">[1]Peralatan!$BO$526</definedName>
    <definedName name="________ME27">[3]Peralatan!$BO$546</definedName>
    <definedName name="________ME28">[3]Peralatan!$BO$566</definedName>
    <definedName name="________ME29">[3]Peralatan!$BO$586</definedName>
    <definedName name="________ME30">[3]Peralatan!$BO$606</definedName>
    <definedName name="________ME31">[3]Peralatan!$BO$626</definedName>
    <definedName name="________ME32">[3]Peralatan!$BO$646</definedName>
    <definedName name="________ME33">[3]Peralatan!$BO$666</definedName>
    <definedName name="________ME34">[3]Peralatan!$BO$697</definedName>
    <definedName name="________ME35">'[1]Peralatan (2)'!$R$26</definedName>
    <definedName name="________MMM01" localSheetId="1">#REF!</definedName>
    <definedName name="________MMM01">#REF!</definedName>
    <definedName name="________MMM02" localSheetId="1">#REF!</definedName>
    <definedName name="________MMM02">#REF!</definedName>
    <definedName name="________MMM03" localSheetId="1">#REF!</definedName>
    <definedName name="________MMM03">#REF!</definedName>
    <definedName name="________MMM04" localSheetId="1">#REF!</definedName>
    <definedName name="________MMM04">#REF!</definedName>
    <definedName name="________MMM05" localSheetId="1">#REF!</definedName>
    <definedName name="________MMM05">#REF!</definedName>
    <definedName name="________MMM06" localSheetId="1">#REF!</definedName>
    <definedName name="________MMM06">#REF!</definedName>
    <definedName name="________MMM07" localSheetId="1">#REF!</definedName>
    <definedName name="________MMM07">#REF!</definedName>
    <definedName name="________MMM08" localSheetId="1">#REF!</definedName>
    <definedName name="________MMM08">#REF!</definedName>
    <definedName name="________MMM09" localSheetId="1">#REF!</definedName>
    <definedName name="________MMM09">#REF!</definedName>
    <definedName name="________MMM10" localSheetId="1">#REF!</definedName>
    <definedName name="________MMM10">#REF!</definedName>
    <definedName name="________MMM11" localSheetId="1">#REF!</definedName>
    <definedName name="________MMM11">#REF!</definedName>
    <definedName name="________MMM12" localSheetId="1">#REF!</definedName>
    <definedName name="________MMM12">#REF!</definedName>
    <definedName name="________MMM13" localSheetId="1">#REF!</definedName>
    <definedName name="________MMM13">#REF!</definedName>
    <definedName name="________MMM14" localSheetId="1">#REF!</definedName>
    <definedName name="________MMM14">#REF!</definedName>
    <definedName name="________MMM15" localSheetId="1">#REF!</definedName>
    <definedName name="________MMM15">#REF!</definedName>
    <definedName name="________MMM16" localSheetId="1">#REF!</definedName>
    <definedName name="________MMM16">#REF!</definedName>
    <definedName name="________MMM17" localSheetId="1">#REF!</definedName>
    <definedName name="________MMM17">#REF!</definedName>
    <definedName name="________MMM18" localSheetId="1">#REF!</definedName>
    <definedName name="________MMM18">#REF!</definedName>
    <definedName name="________MMM19" localSheetId="1">#REF!</definedName>
    <definedName name="________MMM19">#REF!</definedName>
    <definedName name="________MMM20" localSheetId="1">#REF!</definedName>
    <definedName name="________MMM20">#REF!</definedName>
    <definedName name="________MMM21" localSheetId="1">#REF!</definedName>
    <definedName name="________MMM21">#REF!</definedName>
    <definedName name="________MMM22" localSheetId="1">#REF!</definedName>
    <definedName name="________MMM22">#REF!</definedName>
    <definedName name="________MMM23" localSheetId="1">#REF!</definedName>
    <definedName name="________MMM23">#REF!</definedName>
    <definedName name="________MMM24" localSheetId="1">#REF!</definedName>
    <definedName name="________MMM24">#REF!</definedName>
    <definedName name="________MMM25" localSheetId="1">#REF!</definedName>
    <definedName name="________MMM25">#REF!</definedName>
    <definedName name="________MMM26" localSheetId="1">#REF!</definedName>
    <definedName name="________MMM26">#REF!</definedName>
    <definedName name="________MMM27" localSheetId="1">#REF!</definedName>
    <definedName name="________MMM27">#REF!</definedName>
    <definedName name="________MMM28" localSheetId="1">#REF!</definedName>
    <definedName name="________MMM28">#REF!</definedName>
    <definedName name="________MMM29" localSheetId="1">#REF!</definedName>
    <definedName name="________MMM29">#REF!</definedName>
    <definedName name="________MMM30" localSheetId="1">#REF!</definedName>
    <definedName name="________MMM30">#REF!</definedName>
    <definedName name="________MMM31" localSheetId="1">#REF!</definedName>
    <definedName name="________MMM31">#REF!</definedName>
    <definedName name="________MMM32" localSheetId="1">#REF!</definedName>
    <definedName name="________MMM32">#REF!</definedName>
    <definedName name="________MMM33" localSheetId="1">#REF!</definedName>
    <definedName name="________MMM33">#REF!</definedName>
    <definedName name="________MMM34" localSheetId="1">#REF!</definedName>
    <definedName name="________MMM34">#REF!</definedName>
    <definedName name="________MMM35" localSheetId="1">#REF!</definedName>
    <definedName name="________MMM35">#REF!</definedName>
    <definedName name="________MMM36" localSheetId="1">#REF!</definedName>
    <definedName name="________MMM36">#REF!</definedName>
    <definedName name="________MMM37" localSheetId="1">#REF!</definedName>
    <definedName name="________MMM37">#REF!</definedName>
    <definedName name="________MMM38" localSheetId="1">#REF!</definedName>
    <definedName name="________MMM38">#REF!</definedName>
    <definedName name="________MMM39" localSheetId="1">#REF!</definedName>
    <definedName name="________MMM39">#REF!</definedName>
    <definedName name="________MMM40" localSheetId="1">#REF!</definedName>
    <definedName name="________MMM40">#REF!</definedName>
    <definedName name="________MMM41" localSheetId="1">#REF!</definedName>
    <definedName name="________MMM41">#REF!</definedName>
    <definedName name="________MMM411" localSheetId="1">#REF!</definedName>
    <definedName name="________MMM411">#REF!</definedName>
    <definedName name="________MMM42" localSheetId="1">#REF!</definedName>
    <definedName name="________MMM42">#REF!</definedName>
    <definedName name="________MMM43" localSheetId="1">#REF!</definedName>
    <definedName name="________MMM43">#REF!</definedName>
    <definedName name="________MMM44" localSheetId="1">#REF!</definedName>
    <definedName name="________MMM44">#REF!</definedName>
    <definedName name="________MMM45" localSheetId="1">#REF!</definedName>
    <definedName name="________MMM45">#REF!</definedName>
    <definedName name="________MMM46" localSheetId="1">#REF!</definedName>
    <definedName name="________MMM46">#REF!</definedName>
    <definedName name="________MMM47" localSheetId="1">#REF!</definedName>
    <definedName name="________MMM47">#REF!</definedName>
    <definedName name="________MMM48" localSheetId="1">#REF!</definedName>
    <definedName name="________MMM48">#REF!</definedName>
    <definedName name="________MMM49" localSheetId="1">#REF!</definedName>
    <definedName name="________MMM49">#REF!</definedName>
    <definedName name="________MMM50" localSheetId="1">#REF!</definedName>
    <definedName name="________MMM50">#REF!</definedName>
    <definedName name="________MMM51" localSheetId="1">#REF!</definedName>
    <definedName name="________MMM51">#REF!</definedName>
    <definedName name="________MMM52" localSheetId="1">#REF!</definedName>
    <definedName name="________MMM52">#REF!</definedName>
    <definedName name="________MMM53" localSheetId="1">#REF!</definedName>
    <definedName name="________MMM53">#REF!</definedName>
    <definedName name="________MMM54" localSheetId="1">#REF!</definedName>
    <definedName name="________MMM54">#REF!</definedName>
    <definedName name="________xlnm.Print_Area">"#ref!"</definedName>
    <definedName name="_______LLL01" localSheetId="1">#REF!</definedName>
    <definedName name="_______LLL01">#REF!</definedName>
    <definedName name="_______LLL02" localSheetId="1">#REF!</definedName>
    <definedName name="_______LLL02">#REF!</definedName>
    <definedName name="_______LLL03" localSheetId="1">#REF!</definedName>
    <definedName name="_______LLL03">#REF!</definedName>
    <definedName name="_______LLL04" localSheetId="1">#REF!</definedName>
    <definedName name="_______LLL04">#REF!</definedName>
    <definedName name="_______LLL05" localSheetId="1">#REF!</definedName>
    <definedName name="_______LLL05">#REF!</definedName>
    <definedName name="_______LLL06" localSheetId="1">#REF!</definedName>
    <definedName name="_______LLL06">#REF!</definedName>
    <definedName name="_______LLL07" localSheetId="1">#REF!</definedName>
    <definedName name="_______LLL07">#REF!</definedName>
    <definedName name="_______LLL08" localSheetId="1">#REF!</definedName>
    <definedName name="_______LLL08">#REF!</definedName>
    <definedName name="_______LLL09" localSheetId="1">#REF!</definedName>
    <definedName name="_______LLL09">#REF!</definedName>
    <definedName name="_______LLL10" localSheetId="1">#REF!</definedName>
    <definedName name="_______LLL10">#REF!</definedName>
    <definedName name="_______LLL11" localSheetId="1">#REF!</definedName>
    <definedName name="_______LLL11">#REF!</definedName>
    <definedName name="_______MDE01">[3]Peralatan!$BO$27</definedName>
    <definedName name="_______MDE02">[5]Peralatan!$BO$47</definedName>
    <definedName name="_______MDE03">[5]Peralatan!$BO$67</definedName>
    <definedName name="_______MDE04">[5]Peralatan!$BO$87</definedName>
    <definedName name="_______MDE05">[5]Peralatan!$BO$107</definedName>
    <definedName name="_______MDE06">[5]Peralatan!$BO$127</definedName>
    <definedName name="_______MDE07">[5]Peralatan!$BO$147</definedName>
    <definedName name="_______MDE08">[5]Peralatan!$BO$167</definedName>
    <definedName name="_______MDE09" localSheetId="1">'[4]AN. ALAT'!#REF!</definedName>
    <definedName name="_______MDE09">'[4]AN. ALAT'!#REF!</definedName>
    <definedName name="_______MDE10" localSheetId="1">'[4]AN. ALAT'!#REF!</definedName>
    <definedName name="_______MDE10">'[4]AN. ALAT'!#REF!</definedName>
    <definedName name="_______MDE11" localSheetId="1">'[4]AN. ALAT'!#REF!</definedName>
    <definedName name="_______MDE11">'[4]AN. ALAT'!#REF!</definedName>
    <definedName name="_______MDE12">[5]Peralatan!$BO$247</definedName>
    <definedName name="_______MDE13">[5]Peralatan!$BO$267</definedName>
    <definedName name="_______MDE14">[5]Peralatan!$BO$287</definedName>
    <definedName name="_______MDE15">[5]Peralatan!$BO$307</definedName>
    <definedName name="_______MDE16">[5]Peralatan!$BO$327</definedName>
    <definedName name="_______MDE17">[5]Peralatan!$BO$347</definedName>
    <definedName name="_______MDE18">[5]Peralatan!$BO$367</definedName>
    <definedName name="_______MDE19">[5]Peralatan!$BO$387</definedName>
    <definedName name="_______MDE20">[5]Peralatan!$BO$407</definedName>
    <definedName name="_______MDE21">[5]Peralatan!$BO$427</definedName>
    <definedName name="_______MDE22">[5]Peralatan!$BO$447</definedName>
    <definedName name="_______MDE23">[5]Peralatan!$BO$467</definedName>
    <definedName name="_______MDE24">[5]Peralatan!$BO$487</definedName>
    <definedName name="_______MDE25" localSheetId="1">'[4]AN. ALAT'!#REF!</definedName>
    <definedName name="_______MDE25">'[4]AN. ALAT'!#REF!</definedName>
    <definedName name="_______MDE26">[1]Peralatan!$BO$527</definedName>
    <definedName name="_______MDE27">[5]Peralatan!$BO$547</definedName>
    <definedName name="_______MDE28">[5]Peralatan!$BO$567</definedName>
    <definedName name="_______MDE29">[5]Peralatan!$BO$587</definedName>
    <definedName name="_______MDE30">[5]Peralatan!$BO$607</definedName>
    <definedName name="_______MDE31">[5]Peralatan!$BO$627</definedName>
    <definedName name="_______MDE32">[5]Peralatan!$BO$647</definedName>
    <definedName name="_______MDE33">[5]Peralatan!$BO$667</definedName>
    <definedName name="_______MDE34">[5]Peralatan!$BO$698</definedName>
    <definedName name="_______MDE35">'[1]Peralatan (2)'!$R$27</definedName>
    <definedName name="_______ME01">[5]Peralatan!$BO$26</definedName>
    <definedName name="_______ME02">[5]Peralatan!$BO$46</definedName>
    <definedName name="_______ME03">[5]Peralatan!$BO$66</definedName>
    <definedName name="_______ME04">[5]Peralatan!$BO$86</definedName>
    <definedName name="_______ME05">[5]Peralatan!$BO$106</definedName>
    <definedName name="_______ME06">[5]Peralatan!$BO$126</definedName>
    <definedName name="_______ME07">[5]Peralatan!$BO$146</definedName>
    <definedName name="_______ME08">[5]Peralatan!$BO$166</definedName>
    <definedName name="_______ME09" localSheetId="1">'[4]AN. ALAT'!#REF!</definedName>
    <definedName name="_______ME09">'[4]AN. ALAT'!#REF!</definedName>
    <definedName name="_______ME10" localSheetId="1">'[4]AN. ALAT'!#REF!</definedName>
    <definedName name="_______ME10">'[4]AN. ALAT'!#REF!</definedName>
    <definedName name="_______ME11" localSheetId="1">'[4]AN. ALAT'!#REF!</definedName>
    <definedName name="_______ME11">'[4]AN. ALAT'!#REF!</definedName>
    <definedName name="_______ME12">[5]Peralatan!$BO$246</definedName>
    <definedName name="_______ME13">[5]Peralatan!$BO$266</definedName>
    <definedName name="_______ME14">[5]Peralatan!$BO$286</definedName>
    <definedName name="_______ME15">[5]Peralatan!$BO$306</definedName>
    <definedName name="_______ME16">[5]Peralatan!$BO$326</definedName>
    <definedName name="_______ME17">[5]Peralatan!$BO$346</definedName>
    <definedName name="_______ME18">[5]Peralatan!$BO$366</definedName>
    <definedName name="_______ME19">[5]Peralatan!$BO$386</definedName>
    <definedName name="_______ME20">[5]Peralatan!$BO$406</definedName>
    <definedName name="_______ME21">[5]Peralatan!$BO$426</definedName>
    <definedName name="_______ME22">[5]Peralatan!$BO$446</definedName>
    <definedName name="_______ME23">[5]Peralatan!$BO$466</definedName>
    <definedName name="_______ME24">[5]Peralatan!$BO$486</definedName>
    <definedName name="_______ME25" localSheetId="1">'[4]AN. ALAT'!#REF!</definedName>
    <definedName name="_______ME25">'[4]AN. ALAT'!#REF!</definedName>
    <definedName name="_______ME26">[1]Peralatan!$BO$526</definedName>
    <definedName name="_______ME27">[5]Peralatan!$BO$546</definedName>
    <definedName name="_______ME28">[5]Peralatan!$BO$566</definedName>
    <definedName name="_______ME29">[5]Peralatan!$BO$586</definedName>
    <definedName name="_______ME30">[5]Peralatan!$BO$606</definedName>
    <definedName name="_______ME31">[5]Peralatan!$BO$626</definedName>
    <definedName name="_______ME32">[5]Peralatan!$BO$646</definedName>
    <definedName name="_______ME33">[5]Peralatan!$BO$666</definedName>
    <definedName name="_______ME34">[5]Peralatan!$BO$697</definedName>
    <definedName name="_______ME35">'[1]Peralatan (2)'!$R$26</definedName>
    <definedName name="_______MMM01" localSheetId="1">#REF!</definedName>
    <definedName name="_______MMM01">#REF!</definedName>
    <definedName name="_______MMM02" localSheetId="1">#REF!</definedName>
    <definedName name="_______MMM02">#REF!</definedName>
    <definedName name="_______MMM03" localSheetId="1">#REF!</definedName>
    <definedName name="_______MMM03">#REF!</definedName>
    <definedName name="_______MMM04" localSheetId="1">#REF!</definedName>
    <definedName name="_______MMM04">#REF!</definedName>
    <definedName name="_______MMM05" localSheetId="1">#REF!</definedName>
    <definedName name="_______MMM05">#REF!</definedName>
    <definedName name="_______MMM06" localSheetId="1">#REF!</definedName>
    <definedName name="_______MMM06">#REF!</definedName>
    <definedName name="_______MMM07" localSheetId="1">#REF!</definedName>
    <definedName name="_______MMM07">#REF!</definedName>
    <definedName name="_______MMM08" localSheetId="1">#REF!</definedName>
    <definedName name="_______MMM08">#REF!</definedName>
    <definedName name="_______MMM09" localSheetId="1">#REF!</definedName>
    <definedName name="_______MMM09">#REF!</definedName>
    <definedName name="_______MMM10" localSheetId="1">#REF!</definedName>
    <definedName name="_______MMM10">#REF!</definedName>
    <definedName name="_______MMM11" localSheetId="1">#REF!</definedName>
    <definedName name="_______MMM11">#REF!</definedName>
    <definedName name="_______MMM12" localSheetId="1">#REF!</definedName>
    <definedName name="_______MMM12">#REF!</definedName>
    <definedName name="_______MMM13" localSheetId="1">#REF!</definedName>
    <definedName name="_______MMM13">#REF!</definedName>
    <definedName name="_______MMM14" localSheetId="1">#REF!</definedName>
    <definedName name="_______MMM14">#REF!</definedName>
    <definedName name="_______MMM15" localSheetId="1">#REF!</definedName>
    <definedName name="_______MMM15">#REF!</definedName>
    <definedName name="_______MMM16" localSheetId="1">#REF!</definedName>
    <definedName name="_______MMM16">#REF!</definedName>
    <definedName name="_______MMM17" localSheetId="1">#REF!</definedName>
    <definedName name="_______MMM17">#REF!</definedName>
    <definedName name="_______MMM18" localSheetId="1">#REF!</definedName>
    <definedName name="_______MMM18">#REF!</definedName>
    <definedName name="_______MMM19" localSheetId="1">#REF!</definedName>
    <definedName name="_______MMM19">#REF!</definedName>
    <definedName name="_______MMM20" localSheetId="1">#REF!</definedName>
    <definedName name="_______MMM20">#REF!</definedName>
    <definedName name="_______MMM21" localSheetId="1">#REF!</definedName>
    <definedName name="_______MMM21">#REF!</definedName>
    <definedName name="_______MMM22" localSheetId="1">#REF!</definedName>
    <definedName name="_______MMM22">#REF!</definedName>
    <definedName name="_______MMM23" localSheetId="1">#REF!</definedName>
    <definedName name="_______MMM23">#REF!</definedName>
    <definedName name="_______MMM24" localSheetId="1">#REF!</definedName>
    <definedName name="_______MMM24">#REF!</definedName>
    <definedName name="_______MMM25" localSheetId="1">#REF!</definedName>
    <definedName name="_______MMM25">#REF!</definedName>
    <definedName name="_______MMM26" localSheetId="1">#REF!</definedName>
    <definedName name="_______MMM26">#REF!</definedName>
    <definedName name="_______MMM27" localSheetId="1">#REF!</definedName>
    <definedName name="_______MMM27">#REF!</definedName>
    <definedName name="_______MMM28" localSheetId="1">#REF!</definedName>
    <definedName name="_______MMM28">#REF!</definedName>
    <definedName name="_______MMM29" localSheetId="1">#REF!</definedName>
    <definedName name="_______MMM29">#REF!</definedName>
    <definedName name="_______MMM30" localSheetId="1">#REF!</definedName>
    <definedName name="_______MMM30">#REF!</definedName>
    <definedName name="_______MMM31" localSheetId="1">#REF!</definedName>
    <definedName name="_______MMM31">#REF!</definedName>
    <definedName name="_______MMM32" localSheetId="1">#REF!</definedName>
    <definedName name="_______MMM32">#REF!</definedName>
    <definedName name="_______MMM33" localSheetId="1">#REF!</definedName>
    <definedName name="_______MMM33">#REF!</definedName>
    <definedName name="_______MMM34" localSheetId="1">#REF!</definedName>
    <definedName name="_______MMM34">#REF!</definedName>
    <definedName name="_______MMM35" localSheetId="1">#REF!</definedName>
    <definedName name="_______MMM35">#REF!</definedName>
    <definedName name="_______MMM36" localSheetId="1">#REF!</definedName>
    <definedName name="_______MMM36">#REF!</definedName>
    <definedName name="_______MMM37" localSheetId="1">#REF!</definedName>
    <definedName name="_______MMM37">#REF!</definedName>
    <definedName name="_______MMM38" localSheetId="1">#REF!</definedName>
    <definedName name="_______MMM38">#REF!</definedName>
    <definedName name="_______MMM39" localSheetId="1">#REF!</definedName>
    <definedName name="_______MMM39">#REF!</definedName>
    <definedName name="_______MMM40" localSheetId="1">#REF!</definedName>
    <definedName name="_______MMM40">#REF!</definedName>
    <definedName name="_______MMM41" localSheetId="1">#REF!</definedName>
    <definedName name="_______MMM41">#REF!</definedName>
    <definedName name="_______MMM411" localSheetId="1">#REF!</definedName>
    <definedName name="_______MMM411">#REF!</definedName>
    <definedName name="_______MMM42" localSheetId="1">#REF!</definedName>
    <definedName name="_______MMM42">#REF!</definedName>
    <definedName name="_______MMM43" localSheetId="1">#REF!</definedName>
    <definedName name="_______MMM43">#REF!</definedName>
    <definedName name="_______MMM44" localSheetId="1">#REF!</definedName>
    <definedName name="_______MMM44">#REF!</definedName>
    <definedName name="_______MMM45" localSheetId="1">#REF!</definedName>
    <definedName name="_______MMM45">#REF!</definedName>
    <definedName name="_______MMM46" localSheetId="1">#REF!</definedName>
    <definedName name="_______MMM46">#REF!</definedName>
    <definedName name="_______MMM47" localSheetId="1">#REF!</definedName>
    <definedName name="_______MMM47">#REF!</definedName>
    <definedName name="_______MMM48" localSheetId="1">#REF!</definedName>
    <definedName name="_______MMM48">#REF!</definedName>
    <definedName name="_______MMM49" localSheetId="1">#REF!</definedName>
    <definedName name="_______MMM49">#REF!</definedName>
    <definedName name="_______MMM50" localSheetId="1">#REF!</definedName>
    <definedName name="_______MMM50">#REF!</definedName>
    <definedName name="_______MMM51" localSheetId="1">#REF!</definedName>
    <definedName name="_______MMM51">#REF!</definedName>
    <definedName name="_______MMM52" localSheetId="1">#REF!</definedName>
    <definedName name="_______MMM52">#REF!</definedName>
    <definedName name="_______MMM53" localSheetId="1">#REF!</definedName>
    <definedName name="_______MMM53">#REF!</definedName>
    <definedName name="_______MMM54" localSheetId="1">#REF!</definedName>
    <definedName name="_______MMM54">#REF!</definedName>
    <definedName name="______HAL2" localSheetId="1">[4]Mobilisasi!#REF!</definedName>
    <definedName name="______HAL2">[4]Mobilisasi!#REF!</definedName>
    <definedName name="______LLL01" localSheetId="1">#REF!</definedName>
    <definedName name="______LLL01">#REF!</definedName>
    <definedName name="______LLL02" localSheetId="1">#REF!</definedName>
    <definedName name="______LLL02">#REF!</definedName>
    <definedName name="______LLL03" localSheetId="1">#REF!</definedName>
    <definedName name="______LLL03">#REF!</definedName>
    <definedName name="______LLL04" localSheetId="1">#REF!</definedName>
    <definedName name="______LLL04">#REF!</definedName>
    <definedName name="______LLL05" localSheetId="1">#REF!</definedName>
    <definedName name="______LLL05">#REF!</definedName>
    <definedName name="______LLL06" localSheetId="1">#REF!</definedName>
    <definedName name="______LLL06">#REF!</definedName>
    <definedName name="______LLL07" localSheetId="1">#REF!</definedName>
    <definedName name="______LLL07">#REF!</definedName>
    <definedName name="______LLL08" localSheetId="1">#REF!</definedName>
    <definedName name="______LLL08">#REF!</definedName>
    <definedName name="______LLL09" localSheetId="1">#REF!</definedName>
    <definedName name="______LLL09">#REF!</definedName>
    <definedName name="______LLL10" localSheetId="1">#REF!</definedName>
    <definedName name="______LLL10">#REF!</definedName>
    <definedName name="______LLL11" localSheetId="1">#REF!</definedName>
    <definedName name="______LLL11">#REF!</definedName>
    <definedName name="______MDE01">[5]Peralatan!$BO$27</definedName>
    <definedName name="______MDE02">[5]Peralatan!$BO$47</definedName>
    <definedName name="______MDE03">[5]Peralatan!$BO$67</definedName>
    <definedName name="______MDE04">[5]Peralatan!$BO$87</definedName>
    <definedName name="______MDE05">[5]Peralatan!$BO$107</definedName>
    <definedName name="______MDE06">[5]Peralatan!$BO$127</definedName>
    <definedName name="______MDE07">[5]Peralatan!$BO$147</definedName>
    <definedName name="______MDE08">[5]Peralatan!$BO$167</definedName>
    <definedName name="______MDE09">[2]Peralatan!$BO$187</definedName>
    <definedName name="______MDE10">[2]Peralatan!$BO$207</definedName>
    <definedName name="______MDE11">[2]Peralatan!$BO$227</definedName>
    <definedName name="______MDE12">[5]Peralatan!$BO$247</definedName>
    <definedName name="______MDE13">[5]Peralatan!$BO$267</definedName>
    <definedName name="______MDE14">[5]Peralatan!$BO$287</definedName>
    <definedName name="______MDE15">[5]Peralatan!$BO$307</definedName>
    <definedName name="______MDE16">[5]Peralatan!$BO$327</definedName>
    <definedName name="______MDE17">[5]Peralatan!$BO$347</definedName>
    <definedName name="______MDE18">[5]Peralatan!$BO$367</definedName>
    <definedName name="______MDE19">[5]Peralatan!$BO$387</definedName>
    <definedName name="______MDE20">[5]Peralatan!$BO$407</definedName>
    <definedName name="______MDE21">[5]Peralatan!$BO$427</definedName>
    <definedName name="______MDE22">[5]Peralatan!$BO$447</definedName>
    <definedName name="______MDE23">[5]Peralatan!$BO$467</definedName>
    <definedName name="______MDE24">[5]Peralatan!$BO$487</definedName>
    <definedName name="______MDE25">[2]Peralatan!$BO$507</definedName>
    <definedName name="______MDE26">[1]Peralatan!$BO$527</definedName>
    <definedName name="______MDE27">[5]Peralatan!$BO$547</definedName>
    <definedName name="______MDE28">[5]Peralatan!$BO$567</definedName>
    <definedName name="______MDE29">[5]Peralatan!$BO$587</definedName>
    <definedName name="______MDE30">[5]Peralatan!$BO$607</definedName>
    <definedName name="______MDE31">[5]Peralatan!$BO$627</definedName>
    <definedName name="______MDE32">[5]Peralatan!$BO$647</definedName>
    <definedName name="______MDE33">[5]Peralatan!$BO$667</definedName>
    <definedName name="______MDE34">[5]Peralatan!$BO$698</definedName>
    <definedName name="______MDE35">'[1]Peralatan (2)'!$R$27</definedName>
    <definedName name="______ME01">[5]Peralatan!$BO$26</definedName>
    <definedName name="______ME02">[5]Peralatan!$BO$46</definedName>
    <definedName name="______ME03">[5]Peralatan!$BO$66</definedName>
    <definedName name="______ME04">[5]Peralatan!$BO$86</definedName>
    <definedName name="______ME05">[5]Peralatan!$BO$106</definedName>
    <definedName name="______ME06">[5]Peralatan!$BO$126</definedName>
    <definedName name="______ME07">[5]Peralatan!$BO$146</definedName>
    <definedName name="______ME08">[5]Peralatan!$BO$166</definedName>
    <definedName name="______ME09">[2]Peralatan!$BO$186</definedName>
    <definedName name="______ME10">[2]Peralatan!$BO$206</definedName>
    <definedName name="______ME11">[2]Peralatan!$BO$226</definedName>
    <definedName name="______ME12">[5]Peralatan!$BO$246</definedName>
    <definedName name="______ME13">[5]Peralatan!$BO$266</definedName>
    <definedName name="______ME14">[5]Peralatan!$BO$286</definedName>
    <definedName name="______ME15">[5]Peralatan!$BO$306</definedName>
    <definedName name="______ME16">[5]Peralatan!$BO$326</definedName>
    <definedName name="______ME17">[5]Peralatan!$BO$346</definedName>
    <definedName name="______ME18">[5]Peralatan!$BO$366</definedName>
    <definedName name="______ME19">[5]Peralatan!$BO$386</definedName>
    <definedName name="______ME20">[5]Peralatan!$BO$406</definedName>
    <definedName name="______ME21">[5]Peralatan!$BO$426</definedName>
    <definedName name="______ME22">[5]Peralatan!$BO$446</definedName>
    <definedName name="______ME23">[5]Peralatan!$BO$466</definedName>
    <definedName name="______ME24">[5]Peralatan!$BO$486</definedName>
    <definedName name="______ME25">[2]Peralatan!$BO$506</definedName>
    <definedName name="______ME26">[1]Peralatan!$BO$526</definedName>
    <definedName name="______ME27">[5]Peralatan!$BO$546</definedName>
    <definedName name="______ME28">[5]Peralatan!$BO$566</definedName>
    <definedName name="______ME29">[5]Peralatan!$BO$586</definedName>
    <definedName name="______ME30">[5]Peralatan!$BO$606</definedName>
    <definedName name="______ME31">[5]Peralatan!$BO$626</definedName>
    <definedName name="______ME32">[5]Peralatan!$BO$646</definedName>
    <definedName name="______ME33">[5]Peralatan!$BO$666</definedName>
    <definedName name="______ME34">[5]Peralatan!$BO$697</definedName>
    <definedName name="______ME35">'[1]Peralatan (2)'!$R$26</definedName>
    <definedName name="______MMM01" localSheetId="1">#REF!</definedName>
    <definedName name="______MMM01">#REF!</definedName>
    <definedName name="______MMM02" localSheetId="1">#REF!</definedName>
    <definedName name="______MMM02">#REF!</definedName>
    <definedName name="______MMM03" localSheetId="1">#REF!</definedName>
    <definedName name="______MMM03">#REF!</definedName>
    <definedName name="______MMM04" localSheetId="1">#REF!</definedName>
    <definedName name="______MMM04">#REF!</definedName>
    <definedName name="______MMM05" localSheetId="1">#REF!</definedName>
    <definedName name="______MMM05">#REF!</definedName>
    <definedName name="______MMM06" localSheetId="1">#REF!</definedName>
    <definedName name="______MMM06">#REF!</definedName>
    <definedName name="______MMM07" localSheetId="1">#REF!</definedName>
    <definedName name="______MMM07">#REF!</definedName>
    <definedName name="______MMM08" localSheetId="1">#REF!</definedName>
    <definedName name="______MMM08">#REF!</definedName>
    <definedName name="______MMM09" localSheetId="1">#REF!</definedName>
    <definedName name="______MMM09">#REF!</definedName>
    <definedName name="______MMM10" localSheetId="1">#REF!</definedName>
    <definedName name="______MMM10">#REF!</definedName>
    <definedName name="______MMM11" localSheetId="1">#REF!</definedName>
    <definedName name="______MMM11">#REF!</definedName>
    <definedName name="______MMM12" localSheetId="1">#REF!</definedName>
    <definedName name="______MMM12">#REF!</definedName>
    <definedName name="______MMM13" localSheetId="1">#REF!</definedName>
    <definedName name="______MMM13">#REF!</definedName>
    <definedName name="______MMM14" localSheetId="1">#REF!</definedName>
    <definedName name="______MMM14">#REF!</definedName>
    <definedName name="______MMM15" localSheetId="1">#REF!</definedName>
    <definedName name="______MMM15">#REF!</definedName>
    <definedName name="______MMM16" localSheetId="1">#REF!</definedName>
    <definedName name="______MMM16">#REF!</definedName>
    <definedName name="______MMM17" localSheetId="1">#REF!</definedName>
    <definedName name="______MMM17">#REF!</definedName>
    <definedName name="______MMM18" localSheetId="1">#REF!</definedName>
    <definedName name="______MMM18">#REF!</definedName>
    <definedName name="______MMM19" localSheetId="1">#REF!</definedName>
    <definedName name="______MMM19">#REF!</definedName>
    <definedName name="______MMM20" localSheetId="1">#REF!</definedName>
    <definedName name="______MMM20">#REF!</definedName>
    <definedName name="______MMM21" localSheetId="1">#REF!</definedName>
    <definedName name="______MMM21">#REF!</definedName>
    <definedName name="______MMM22" localSheetId="1">#REF!</definedName>
    <definedName name="______MMM22">#REF!</definedName>
    <definedName name="______MMM23" localSheetId="1">#REF!</definedName>
    <definedName name="______MMM23">#REF!</definedName>
    <definedName name="______MMM24" localSheetId="1">#REF!</definedName>
    <definedName name="______MMM24">#REF!</definedName>
    <definedName name="______MMM25" localSheetId="1">#REF!</definedName>
    <definedName name="______MMM25">#REF!</definedName>
    <definedName name="______MMM26" localSheetId="1">#REF!</definedName>
    <definedName name="______MMM26">#REF!</definedName>
    <definedName name="______MMM27" localSheetId="1">#REF!</definedName>
    <definedName name="______MMM27">#REF!</definedName>
    <definedName name="______MMM28" localSheetId="1">#REF!</definedName>
    <definedName name="______MMM28">#REF!</definedName>
    <definedName name="______MMM29" localSheetId="1">#REF!</definedName>
    <definedName name="______MMM29">#REF!</definedName>
    <definedName name="______MMM30" localSheetId="1">#REF!</definedName>
    <definedName name="______MMM30">#REF!</definedName>
    <definedName name="______MMM31" localSheetId="1">#REF!</definedName>
    <definedName name="______MMM31">#REF!</definedName>
    <definedName name="______MMM32" localSheetId="1">#REF!</definedName>
    <definedName name="______MMM32">#REF!</definedName>
    <definedName name="______MMM33" localSheetId="1">#REF!</definedName>
    <definedName name="______MMM33">#REF!</definedName>
    <definedName name="______MMM34" localSheetId="1">#REF!</definedName>
    <definedName name="______MMM34">#REF!</definedName>
    <definedName name="______MMM35" localSheetId="1">#REF!</definedName>
    <definedName name="______MMM35">#REF!</definedName>
    <definedName name="______MMM36" localSheetId="1">#REF!</definedName>
    <definedName name="______MMM36">#REF!</definedName>
    <definedName name="______MMM37" localSheetId="1">#REF!</definedName>
    <definedName name="______MMM37">#REF!</definedName>
    <definedName name="______MMM38" localSheetId="1">#REF!</definedName>
    <definedName name="______MMM38">#REF!</definedName>
    <definedName name="______MMM39" localSheetId="1">#REF!</definedName>
    <definedName name="______MMM39">#REF!</definedName>
    <definedName name="______MMM40" localSheetId="1">#REF!</definedName>
    <definedName name="______MMM40">#REF!</definedName>
    <definedName name="______MMM41" localSheetId="1">#REF!</definedName>
    <definedName name="______MMM41">#REF!</definedName>
    <definedName name="______MMM411" localSheetId="1">#REF!</definedName>
    <definedName name="______MMM411">#REF!</definedName>
    <definedName name="______MMM42" localSheetId="1">#REF!</definedName>
    <definedName name="______MMM42">#REF!</definedName>
    <definedName name="______MMM43" localSheetId="1">#REF!</definedName>
    <definedName name="______MMM43">#REF!</definedName>
    <definedName name="______MMM44" localSheetId="1">#REF!</definedName>
    <definedName name="______MMM44">#REF!</definedName>
    <definedName name="______MMM45" localSheetId="1">#REF!</definedName>
    <definedName name="______MMM45">#REF!</definedName>
    <definedName name="______MMM46" localSheetId="1">#REF!</definedName>
    <definedName name="______MMM46">#REF!</definedName>
    <definedName name="______MMM47" localSheetId="1">#REF!</definedName>
    <definedName name="______MMM47">#REF!</definedName>
    <definedName name="______MMM48" localSheetId="1">#REF!</definedName>
    <definedName name="______MMM48">#REF!</definedName>
    <definedName name="______MMM49" localSheetId="1">#REF!</definedName>
    <definedName name="______MMM49">#REF!</definedName>
    <definedName name="______MMM50" localSheetId="1">#REF!</definedName>
    <definedName name="______MMM50">#REF!</definedName>
    <definedName name="______MMM51" localSheetId="1">#REF!</definedName>
    <definedName name="______MMM51">#REF!</definedName>
    <definedName name="______MMM52" localSheetId="1">#REF!</definedName>
    <definedName name="______MMM52">#REF!</definedName>
    <definedName name="______MMM53" localSheetId="1">#REF!</definedName>
    <definedName name="______MMM53">#REF!</definedName>
    <definedName name="______MMM54" localSheetId="1">#REF!</definedName>
    <definedName name="______MMM54">#REF!</definedName>
    <definedName name="______xlnm.Print_Area">"#ref!"</definedName>
    <definedName name="_____LLL01" localSheetId="1">#REF!</definedName>
    <definedName name="_____LLL01">#REF!</definedName>
    <definedName name="_____LLL02" localSheetId="1">#REF!</definedName>
    <definedName name="_____LLL02">#REF!</definedName>
    <definedName name="_____LLL03" localSheetId="1">#REF!</definedName>
    <definedName name="_____LLL03">#REF!</definedName>
    <definedName name="_____LLL04" localSheetId="1">#REF!</definedName>
    <definedName name="_____LLL04">#REF!</definedName>
    <definedName name="_____LLL05" localSheetId="1">#REF!</definedName>
    <definedName name="_____LLL05">#REF!</definedName>
    <definedName name="_____LLL06" localSheetId="1">#REF!</definedName>
    <definedName name="_____LLL06">#REF!</definedName>
    <definedName name="_____LLL07" localSheetId="1">#REF!</definedName>
    <definedName name="_____LLL07">#REF!</definedName>
    <definedName name="_____LLL08" localSheetId="1">#REF!</definedName>
    <definedName name="_____LLL08">#REF!</definedName>
    <definedName name="_____LLL09" localSheetId="1">#REF!</definedName>
    <definedName name="_____LLL09">#REF!</definedName>
    <definedName name="_____LLL10" localSheetId="1">#REF!</definedName>
    <definedName name="_____LLL10">#REF!</definedName>
    <definedName name="_____LLL11" localSheetId="1">#REF!</definedName>
    <definedName name="_____LLL11">#REF!</definedName>
    <definedName name="_____MDE01">[1]Peralatan!$BO$27</definedName>
    <definedName name="_____MDE02">[1]Peralatan!$BO$47</definedName>
    <definedName name="_____MDE03">[1]Peralatan!$BO$67</definedName>
    <definedName name="_____MDE04">[1]Peralatan!$BO$87</definedName>
    <definedName name="_____MDE05">[1]Peralatan!$BO$107</definedName>
    <definedName name="_____MDE06">[1]Peralatan!$BO$127</definedName>
    <definedName name="_____MDE07">[1]Peralatan!$BO$147</definedName>
    <definedName name="_____MDE08">[1]Peralatan!$BO$167</definedName>
    <definedName name="_____MDE09">[1]Peralatan!$BO$187</definedName>
    <definedName name="_____MDE10">[1]Peralatan!$BO$207</definedName>
    <definedName name="_____MDE11">[1]Peralatan!$BO$227</definedName>
    <definedName name="_____MDE12">[1]Peralatan!$BO$247</definedName>
    <definedName name="_____MDE13">[1]Peralatan!$BO$267</definedName>
    <definedName name="_____MDE14">[1]Peralatan!$BO$287</definedName>
    <definedName name="_____MDE15">[1]Peralatan!$BO$307</definedName>
    <definedName name="_____MDE16">[1]Peralatan!$BO$327</definedName>
    <definedName name="_____MDE17">[1]Peralatan!$BO$347</definedName>
    <definedName name="_____MDE18">[1]Peralatan!$BO$367</definedName>
    <definedName name="_____MDE19">[1]Peralatan!$BO$387</definedName>
    <definedName name="_____MDE20">[1]Peralatan!$BO$407</definedName>
    <definedName name="_____MDE21">[1]Peralatan!$BO$427</definedName>
    <definedName name="_____MDE22">[1]Peralatan!$BO$447</definedName>
    <definedName name="_____MDE23">[1]Peralatan!$BO$467</definedName>
    <definedName name="_____MDE24">[1]Peralatan!$BO$487</definedName>
    <definedName name="_____MDE25">[1]Peralatan!$BO$507</definedName>
    <definedName name="_____MDE26">[1]Peralatan!$BO$527</definedName>
    <definedName name="_____MDE27">[1]Peralatan!$BO$547</definedName>
    <definedName name="_____MDE28">[1]Peralatan!$BO$567</definedName>
    <definedName name="_____MDE29">[1]Peralatan!$BO$587</definedName>
    <definedName name="_____MDE30">[1]Peralatan!$BO$607</definedName>
    <definedName name="_____MDE31">[1]Peralatan!$BO$627</definedName>
    <definedName name="_____MDE32">[1]Peralatan!$BO$647</definedName>
    <definedName name="_____MDE33">[1]Peralatan!$BO$667</definedName>
    <definedName name="_____MDE34">[1]Peralatan!$BO$698</definedName>
    <definedName name="_____MDE35">'[1]Peralatan (2)'!$R$27</definedName>
    <definedName name="_____ME01">[1]Peralatan!$BO$26</definedName>
    <definedName name="_____ME02">[1]Peralatan!$BO$46</definedName>
    <definedName name="_____ME03">[1]Peralatan!$BO$66</definedName>
    <definedName name="_____ME04">[1]Peralatan!$BO$86</definedName>
    <definedName name="_____ME05">[1]Peralatan!$BO$106</definedName>
    <definedName name="_____ME06">[1]Peralatan!$BO$126</definedName>
    <definedName name="_____ME07">[1]Peralatan!$BO$146</definedName>
    <definedName name="_____ME08">[1]Peralatan!$BO$166</definedName>
    <definedName name="_____ME09">[1]Peralatan!$BO$186</definedName>
    <definedName name="_____ME10">[1]Peralatan!$BO$206</definedName>
    <definedName name="_____ME11">[1]Peralatan!$BO$226</definedName>
    <definedName name="_____ME12">[1]Peralatan!$BO$246</definedName>
    <definedName name="_____ME13">[1]Peralatan!$BO$266</definedName>
    <definedName name="_____ME14">[1]Peralatan!$BO$286</definedName>
    <definedName name="_____ME15">[1]Peralatan!$BO$306</definedName>
    <definedName name="_____ME16">[1]Peralatan!$BO$326</definedName>
    <definedName name="_____ME17">[1]Peralatan!$BO$346</definedName>
    <definedName name="_____ME18">[1]Peralatan!$BO$366</definedName>
    <definedName name="_____ME19">[1]Peralatan!$BO$386</definedName>
    <definedName name="_____ME20">[1]Peralatan!$BO$406</definedName>
    <definedName name="_____ME21">[1]Peralatan!$BO$426</definedName>
    <definedName name="_____ME22">[1]Peralatan!$BO$446</definedName>
    <definedName name="_____ME23">[1]Peralatan!$BO$466</definedName>
    <definedName name="_____ME24">[1]Peralatan!$BO$486</definedName>
    <definedName name="_____ME25">[1]Peralatan!$BO$506</definedName>
    <definedName name="_____ME26">[1]Peralatan!$BO$526</definedName>
    <definedName name="_____ME27">[1]Peralatan!$BO$546</definedName>
    <definedName name="_____ME28">[1]Peralatan!$BO$566</definedName>
    <definedName name="_____ME29">[1]Peralatan!$BO$586</definedName>
    <definedName name="_____ME30">[1]Peralatan!$BO$606</definedName>
    <definedName name="_____ME31">[1]Peralatan!$BO$626</definedName>
    <definedName name="_____ME32">[1]Peralatan!$BO$646</definedName>
    <definedName name="_____ME33">[1]Peralatan!$BO$666</definedName>
    <definedName name="_____ME34">[1]Peralatan!$BO$697</definedName>
    <definedName name="_____ME35">'[1]Peralatan (2)'!$R$26</definedName>
    <definedName name="_____MMM01" localSheetId="1">#REF!</definedName>
    <definedName name="_____MMM01">#REF!</definedName>
    <definedName name="_____MMM02" localSheetId="1">#REF!</definedName>
    <definedName name="_____MMM02">#REF!</definedName>
    <definedName name="_____MMM03" localSheetId="1">#REF!</definedName>
    <definedName name="_____MMM03">#REF!</definedName>
    <definedName name="_____MMM04" localSheetId="1">#REF!</definedName>
    <definedName name="_____MMM04">#REF!</definedName>
    <definedName name="_____MMM05" localSheetId="1">#REF!</definedName>
    <definedName name="_____MMM05">#REF!</definedName>
    <definedName name="_____MMM06" localSheetId="1">#REF!</definedName>
    <definedName name="_____MMM06">#REF!</definedName>
    <definedName name="_____MMM07" localSheetId="1">#REF!</definedName>
    <definedName name="_____MMM07">#REF!</definedName>
    <definedName name="_____MMM08" localSheetId="1">#REF!</definedName>
    <definedName name="_____MMM08">#REF!</definedName>
    <definedName name="_____MMM09" localSheetId="1">#REF!</definedName>
    <definedName name="_____MMM09">#REF!</definedName>
    <definedName name="_____MMM10" localSheetId="1">#REF!</definedName>
    <definedName name="_____MMM10">#REF!</definedName>
    <definedName name="_____MMM11" localSheetId="1">#REF!</definedName>
    <definedName name="_____MMM11">#REF!</definedName>
    <definedName name="_____MMM12" localSheetId="1">#REF!</definedName>
    <definedName name="_____MMM12">#REF!</definedName>
    <definedName name="_____MMM13" localSheetId="1">#REF!</definedName>
    <definedName name="_____MMM13">#REF!</definedName>
    <definedName name="_____MMM14" localSheetId="1">#REF!</definedName>
    <definedName name="_____MMM14">#REF!</definedName>
    <definedName name="_____MMM15" localSheetId="1">#REF!</definedName>
    <definedName name="_____MMM15">#REF!</definedName>
    <definedName name="_____MMM16" localSheetId="1">#REF!</definedName>
    <definedName name="_____MMM16">#REF!</definedName>
    <definedName name="_____MMM17" localSheetId="1">#REF!</definedName>
    <definedName name="_____MMM17">#REF!</definedName>
    <definedName name="_____MMM18" localSheetId="1">#REF!</definedName>
    <definedName name="_____MMM18">#REF!</definedName>
    <definedName name="_____MMM19" localSheetId="1">#REF!</definedName>
    <definedName name="_____MMM19">#REF!</definedName>
    <definedName name="_____MMM20" localSheetId="1">#REF!</definedName>
    <definedName name="_____MMM20">#REF!</definedName>
    <definedName name="_____MMM21" localSheetId="1">#REF!</definedName>
    <definedName name="_____MMM21">#REF!</definedName>
    <definedName name="_____MMM22" localSheetId="1">#REF!</definedName>
    <definedName name="_____MMM22">#REF!</definedName>
    <definedName name="_____MMM23" localSheetId="1">#REF!</definedName>
    <definedName name="_____MMM23">#REF!</definedName>
    <definedName name="_____MMM24" localSheetId="1">#REF!</definedName>
    <definedName name="_____MMM24">#REF!</definedName>
    <definedName name="_____MMM25" localSheetId="1">#REF!</definedName>
    <definedName name="_____MMM25">#REF!</definedName>
    <definedName name="_____MMM26" localSheetId="1">#REF!</definedName>
    <definedName name="_____MMM26">#REF!</definedName>
    <definedName name="_____MMM27" localSheetId="1">#REF!</definedName>
    <definedName name="_____MMM27">#REF!</definedName>
    <definedName name="_____MMM28" localSheetId="1">#REF!</definedName>
    <definedName name="_____MMM28">#REF!</definedName>
    <definedName name="_____MMM29" localSheetId="1">#REF!</definedName>
    <definedName name="_____MMM29">#REF!</definedName>
    <definedName name="_____MMM30" localSheetId="1">#REF!</definedName>
    <definedName name="_____MMM30">#REF!</definedName>
    <definedName name="_____MMM31" localSheetId="1">#REF!</definedName>
    <definedName name="_____MMM31">#REF!</definedName>
    <definedName name="_____MMM32" localSheetId="1">#REF!</definedName>
    <definedName name="_____MMM32">#REF!</definedName>
    <definedName name="_____MMM33" localSheetId="1">#REF!</definedName>
    <definedName name="_____MMM33">#REF!</definedName>
    <definedName name="_____MMM34" localSheetId="1">#REF!</definedName>
    <definedName name="_____MMM34">#REF!</definedName>
    <definedName name="_____MMM35" localSheetId="1">#REF!</definedName>
    <definedName name="_____MMM35">#REF!</definedName>
    <definedName name="_____MMM36" localSheetId="1">#REF!</definedName>
    <definedName name="_____MMM36">#REF!</definedName>
    <definedName name="_____MMM37" localSheetId="1">#REF!</definedName>
    <definedName name="_____MMM37">#REF!</definedName>
    <definedName name="_____MMM38" localSheetId="1">#REF!</definedName>
    <definedName name="_____MMM38">#REF!</definedName>
    <definedName name="_____MMM39" localSheetId="1">#REF!</definedName>
    <definedName name="_____MMM39">#REF!</definedName>
    <definedName name="_____MMM40" localSheetId="1">#REF!</definedName>
    <definedName name="_____MMM40">#REF!</definedName>
    <definedName name="_____MMM41" localSheetId="1">#REF!</definedName>
    <definedName name="_____MMM41">#REF!</definedName>
    <definedName name="_____MMM411" localSheetId="1">#REF!</definedName>
    <definedName name="_____MMM411">#REF!</definedName>
    <definedName name="_____MMM42" localSheetId="1">#REF!</definedName>
    <definedName name="_____MMM42">#REF!</definedName>
    <definedName name="_____MMM43" localSheetId="1">#REF!</definedName>
    <definedName name="_____MMM43">#REF!</definedName>
    <definedName name="_____MMM44" localSheetId="1">#REF!</definedName>
    <definedName name="_____MMM44">#REF!</definedName>
    <definedName name="_____MMM45" localSheetId="1">#REF!</definedName>
    <definedName name="_____MMM45">#REF!</definedName>
    <definedName name="_____MMM46" localSheetId="1">#REF!</definedName>
    <definedName name="_____MMM46">#REF!</definedName>
    <definedName name="_____MMM47" localSheetId="1">#REF!</definedName>
    <definedName name="_____MMM47">#REF!</definedName>
    <definedName name="_____MMM48" localSheetId="1">#REF!</definedName>
    <definedName name="_____MMM48">#REF!</definedName>
    <definedName name="_____MMM49" localSheetId="1">#REF!</definedName>
    <definedName name="_____MMM49">#REF!</definedName>
    <definedName name="_____MMM50" localSheetId="1">#REF!</definedName>
    <definedName name="_____MMM50">#REF!</definedName>
    <definedName name="_____MMM51" localSheetId="1">#REF!</definedName>
    <definedName name="_____MMM51">#REF!</definedName>
    <definedName name="_____MMM52" localSheetId="1">#REF!</definedName>
    <definedName name="_____MMM52">#REF!</definedName>
    <definedName name="_____MMM53" localSheetId="1">#REF!</definedName>
    <definedName name="_____MMM53">#REF!</definedName>
    <definedName name="_____MMM54" localSheetId="1">#REF!</definedName>
    <definedName name="_____MMM54">#REF!</definedName>
    <definedName name="_____xlnm.Print_Area">"#ref!"</definedName>
    <definedName name="____DIV4" hidden="1">[6]Div2!$I$12:$I$20</definedName>
    <definedName name="____DIV5" hidden="1">[6]Div2!$H$12:$H$20</definedName>
    <definedName name="____HAL2" localSheetId="1">[4]Mobilisasi!#REF!</definedName>
    <definedName name="____HAL2">[4]Mobilisasi!#REF!</definedName>
    <definedName name="____LLL01" localSheetId="1">#REF!</definedName>
    <definedName name="____LLL01">#REF!</definedName>
    <definedName name="____LLL02" localSheetId="1">#REF!</definedName>
    <definedName name="____LLL02">#REF!</definedName>
    <definedName name="____LLL03" localSheetId="1">#REF!</definedName>
    <definedName name="____LLL03">#REF!</definedName>
    <definedName name="____LLL04" localSheetId="1">#REF!</definedName>
    <definedName name="____LLL04">#REF!</definedName>
    <definedName name="____LLL05" localSheetId="1">#REF!</definedName>
    <definedName name="____LLL05">#REF!</definedName>
    <definedName name="____LLL06" localSheetId="1">#REF!</definedName>
    <definedName name="____LLL06">#REF!</definedName>
    <definedName name="____LLL07" localSheetId="1">#REF!</definedName>
    <definedName name="____LLL07">#REF!</definedName>
    <definedName name="____LLL08" localSheetId="1">#REF!</definedName>
    <definedName name="____LLL08">#REF!</definedName>
    <definedName name="____LLL09" localSheetId="1">#REF!</definedName>
    <definedName name="____LLL09">#REF!</definedName>
    <definedName name="____LLL10" localSheetId="1">#REF!</definedName>
    <definedName name="____LLL10">#REF!</definedName>
    <definedName name="____LLL11" localSheetId="1">#REF!</definedName>
    <definedName name="____LLL11">#REF!</definedName>
    <definedName name="____MDE01">[1]Peralatan!$BO$27</definedName>
    <definedName name="____MDE02">[1]Peralatan!$BO$47</definedName>
    <definedName name="____MDE03">[1]Peralatan!$BO$67</definedName>
    <definedName name="____MDE04">[1]Peralatan!$BO$87</definedName>
    <definedName name="____MDE05">[1]Peralatan!$BO$107</definedName>
    <definedName name="____MDE06">[1]Peralatan!$BO$127</definedName>
    <definedName name="____MDE07">[1]Peralatan!$BO$147</definedName>
    <definedName name="____MDE08">[1]Peralatan!$BO$167</definedName>
    <definedName name="____MDE09">[1]Peralatan!$BO$187</definedName>
    <definedName name="____MDE10">[1]Peralatan!$BO$207</definedName>
    <definedName name="____MDE11">[1]Peralatan!$BO$227</definedName>
    <definedName name="____MDE12">[1]Peralatan!$BO$247</definedName>
    <definedName name="____MDE13">[1]Peralatan!$BO$267</definedName>
    <definedName name="____MDE14">[1]Peralatan!$BO$287</definedName>
    <definedName name="____MDE15">[1]Peralatan!$BO$307</definedName>
    <definedName name="____MDE16">[1]Peralatan!$BO$327</definedName>
    <definedName name="____MDE17">[1]Peralatan!$BO$347</definedName>
    <definedName name="____MDE18">[1]Peralatan!$BO$367</definedName>
    <definedName name="____MDE19">[1]Peralatan!$BO$387</definedName>
    <definedName name="____MDE20">[1]Peralatan!$BO$407</definedName>
    <definedName name="____MDE21">[1]Peralatan!$BO$427</definedName>
    <definedName name="____MDE22">[1]Peralatan!$BO$447</definedName>
    <definedName name="____MDE23">[1]Peralatan!$BO$467</definedName>
    <definedName name="____MDE24">[1]Peralatan!$BO$487</definedName>
    <definedName name="____MDE25">[1]Peralatan!$BO$507</definedName>
    <definedName name="____MDE26">[1]Peralatan!$BO$527</definedName>
    <definedName name="____MDE27">[1]Peralatan!$BO$547</definedName>
    <definedName name="____MDE28">[1]Peralatan!$BO$567</definedName>
    <definedName name="____MDE29">[1]Peralatan!$BO$587</definedName>
    <definedName name="____MDE30">[1]Peralatan!$BO$607</definedName>
    <definedName name="____MDE31">[1]Peralatan!$BO$627</definedName>
    <definedName name="____MDE32">[1]Peralatan!$BO$647</definedName>
    <definedName name="____MDE33">[1]Peralatan!$BO$667</definedName>
    <definedName name="____MDE34">[1]Peralatan!$BO$698</definedName>
    <definedName name="____MDE35">'[1]Peralatan (2)'!$R$27</definedName>
    <definedName name="____ME01">[1]Peralatan!$BO$26</definedName>
    <definedName name="____ME02">[1]Peralatan!$BO$46</definedName>
    <definedName name="____ME03">[1]Peralatan!$BO$66</definedName>
    <definedName name="____ME04">[1]Peralatan!$BO$86</definedName>
    <definedName name="____ME05">[1]Peralatan!$BO$106</definedName>
    <definedName name="____ME06">[1]Peralatan!$BO$126</definedName>
    <definedName name="____ME07">[1]Peralatan!$BO$146</definedName>
    <definedName name="____ME08">[1]Peralatan!$BO$166</definedName>
    <definedName name="____ME09">[1]Peralatan!$BO$186</definedName>
    <definedName name="____ME10">[1]Peralatan!$BO$206</definedName>
    <definedName name="____ME11">[1]Peralatan!$BO$226</definedName>
    <definedName name="____ME12">[1]Peralatan!$BO$246</definedName>
    <definedName name="____ME13">[1]Peralatan!$BO$266</definedName>
    <definedName name="____ME14">[1]Peralatan!$BO$286</definedName>
    <definedName name="____ME15">[1]Peralatan!$BO$306</definedName>
    <definedName name="____ME16">[1]Peralatan!$BO$326</definedName>
    <definedName name="____ME17">[1]Peralatan!$BO$346</definedName>
    <definedName name="____ME18">[1]Peralatan!$BO$366</definedName>
    <definedName name="____ME19">[1]Peralatan!$BO$386</definedName>
    <definedName name="____ME20">[1]Peralatan!$BO$406</definedName>
    <definedName name="____ME21">[1]Peralatan!$BO$426</definedName>
    <definedName name="____ME22">[1]Peralatan!$BO$446</definedName>
    <definedName name="____ME23">[1]Peralatan!$BO$466</definedName>
    <definedName name="____ME24">[1]Peralatan!$BO$486</definedName>
    <definedName name="____ME25">[1]Peralatan!$BO$506</definedName>
    <definedName name="____ME26">[1]Peralatan!$BO$526</definedName>
    <definedName name="____ME27">[1]Peralatan!$BO$546</definedName>
    <definedName name="____ME28">[1]Peralatan!$BO$566</definedName>
    <definedName name="____ME29">[1]Peralatan!$BO$586</definedName>
    <definedName name="____ME30">[1]Peralatan!$BO$606</definedName>
    <definedName name="____ME31">[1]Peralatan!$BO$626</definedName>
    <definedName name="____ME32">[1]Peralatan!$BO$646</definedName>
    <definedName name="____ME33">[1]Peralatan!$BO$666</definedName>
    <definedName name="____ME34">[1]Peralatan!$BO$697</definedName>
    <definedName name="____ME35">'[1]Peralatan (2)'!$R$26</definedName>
    <definedName name="____MMM01" localSheetId="1">#REF!</definedName>
    <definedName name="____MMM01">#REF!</definedName>
    <definedName name="____MMM02" localSheetId="1">#REF!</definedName>
    <definedName name="____MMM02">#REF!</definedName>
    <definedName name="____MMM03" localSheetId="1">#REF!</definedName>
    <definedName name="____MMM03">#REF!</definedName>
    <definedName name="____MMM04" localSheetId="1">#REF!</definedName>
    <definedName name="____MMM04">#REF!</definedName>
    <definedName name="____MMM05" localSheetId="1">#REF!</definedName>
    <definedName name="____MMM05">#REF!</definedName>
    <definedName name="____MMM06" localSheetId="1">#REF!</definedName>
    <definedName name="____MMM06">#REF!</definedName>
    <definedName name="____MMM07" localSheetId="1">#REF!</definedName>
    <definedName name="____MMM07">#REF!</definedName>
    <definedName name="____MMM08" localSheetId="1">#REF!</definedName>
    <definedName name="____MMM08">#REF!</definedName>
    <definedName name="____MMM09" localSheetId="1">#REF!</definedName>
    <definedName name="____MMM09">#REF!</definedName>
    <definedName name="____MMM10" localSheetId="1">#REF!</definedName>
    <definedName name="____MMM10">#REF!</definedName>
    <definedName name="____MMM11" localSheetId="1">#REF!</definedName>
    <definedName name="____MMM11">#REF!</definedName>
    <definedName name="____MMM12" localSheetId="1">#REF!</definedName>
    <definedName name="____MMM12">#REF!</definedName>
    <definedName name="____MMM13" localSheetId="1">#REF!</definedName>
    <definedName name="____MMM13">#REF!</definedName>
    <definedName name="____MMM14" localSheetId="1">#REF!</definedName>
    <definedName name="____MMM14">#REF!</definedName>
    <definedName name="____MMM15" localSheetId="1">#REF!</definedName>
    <definedName name="____MMM15">#REF!</definedName>
    <definedName name="____MMM16" localSheetId="1">#REF!</definedName>
    <definedName name="____MMM16">#REF!</definedName>
    <definedName name="____MMM17" localSheetId="1">#REF!</definedName>
    <definedName name="____MMM17">#REF!</definedName>
    <definedName name="____MMM18" localSheetId="1">#REF!</definedName>
    <definedName name="____MMM18">#REF!</definedName>
    <definedName name="____MMM19" localSheetId="1">#REF!</definedName>
    <definedName name="____MMM19">#REF!</definedName>
    <definedName name="____MMM20" localSheetId="1">#REF!</definedName>
    <definedName name="____MMM20">#REF!</definedName>
    <definedName name="____MMM21" localSheetId="1">#REF!</definedName>
    <definedName name="____MMM21">#REF!</definedName>
    <definedName name="____MMM22" localSheetId="1">#REF!</definedName>
    <definedName name="____MMM22">#REF!</definedName>
    <definedName name="____MMM23" localSheetId="1">#REF!</definedName>
    <definedName name="____MMM23">#REF!</definedName>
    <definedName name="____MMM24" localSheetId="1">#REF!</definedName>
    <definedName name="____MMM24">#REF!</definedName>
    <definedName name="____MMM25" localSheetId="1">#REF!</definedName>
    <definedName name="____MMM25">#REF!</definedName>
    <definedName name="____MMM26" localSheetId="1">#REF!</definedName>
    <definedName name="____MMM26">#REF!</definedName>
    <definedName name="____MMM27" localSheetId="1">#REF!</definedName>
    <definedName name="____MMM27">#REF!</definedName>
    <definedName name="____MMM28" localSheetId="1">#REF!</definedName>
    <definedName name="____MMM28">#REF!</definedName>
    <definedName name="____MMM29" localSheetId="1">#REF!</definedName>
    <definedName name="____MMM29">#REF!</definedName>
    <definedName name="____MMM30" localSheetId="1">#REF!</definedName>
    <definedName name="____MMM30">#REF!</definedName>
    <definedName name="____MMM31" localSheetId="1">#REF!</definedName>
    <definedName name="____MMM31">#REF!</definedName>
    <definedName name="____MMM32" localSheetId="1">#REF!</definedName>
    <definedName name="____MMM32">#REF!</definedName>
    <definedName name="____MMM33" localSheetId="1">#REF!</definedName>
    <definedName name="____MMM33">#REF!</definedName>
    <definedName name="____MMM34" localSheetId="1">#REF!</definedName>
    <definedName name="____MMM34">#REF!</definedName>
    <definedName name="____MMM35" localSheetId="1">#REF!</definedName>
    <definedName name="____MMM35">#REF!</definedName>
    <definedName name="____MMM36" localSheetId="1">#REF!</definedName>
    <definedName name="____MMM36">#REF!</definedName>
    <definedName name="____MMM37" localSheetId="1">#REF!</definedName>
    <definedName name="____MMM37">#REF!</definedName>
    <definedName name="____MMM38" localSheetId="1">#REF!</definedName>
    <definedName name="____MMM38">#REF!</definedName>
    <definedName name="____MMM39" localSheetId="1">#REF!</definedName>
    <definedName name="____MMM39">#REF!</definedName>
    <definedName name="____MMM40" localSheetId="1">#REF!</definedName>
    <definedName name="____MMM40">#REF!</definedName>
    <definedName name="____MMM41" localSheetId="1">#REF!</definedName>
    <definedName name="____MMM41">#REF!</definedName>
    <definedName name="____MMM411" localSheetId="1">#REF!</definedName>
    <definedName name="____MMM411">#REF!</definedName>
    <definedName name="____MMM42" localSheetId="1">#REF!</definedName>
    <definedName name="____MMM42">#REF!</definedName>
    <definedName name="____MMM43" localSheetId="1">#REF!</definedName>
    <definedName name="____MMM43">#REF!</definedName>
    <definedName name="____MMM44" localSheetId="1">#REF!</definedName>
    <definedName name="____MMM44">#REF!</definedName>
    <definedName name="____MMM45" localSheetId="1">#REF!</definedName>
    <definedName name="____MMM45">#REF!</definedName>
    <definedName name="____MMM46" localSheetId="1">#REF!</definedName>
    <definedName name="____MMM46">#REF!</definedName>
    <definedName name="____MMM47" localSheetId="1">#REF!</definedName>
    <definedName name="____MMM47">#REF!</definedName>
    <definedName name="____MMM48" localSheetId="1">#REF!</definedName>
    <definedName name="____MMM48">#REF!</definedName>
    <definedName name="____MMM49" localSheetId="1">#REF!</definedName>
    <definedName name="____MMM49">#REF!</definedName>
    <definedName name="____MMM50" localSheetId="1">#REF!</definedName>
    <definedName name="____MMM50">#REF!</definedName>
    <definedName name="____MMM51" localSheetId="1">#REF!</definedName>
    <definedName name="____MMM51">#REF!</definedName>
    <definedName name="____MMM52" localSheetId="1">#REF!</definedName>
    <definedName name="____MMM52">#REF!</definedName>
    <definedName name="____MMM53" localSheetId="1">#REF!</definedName>
    <definedName name="____MMM53">#REF!</definedName>
    <definedName name="____MMM54" localSheetId="1">#REF!</definedName>
    <definedName name="____MMM54">#REF!</definedName>
    <definedName name="____xlnm.Print_Area">"#ref!"</definedName>
    <definedName name="____xlnm_Print_Area">"#ref!"</definedName>
    <definedName name="___HAL2" localSheetId="1">[4]Mobilisasi!#REF!</definedName>
    <definedName name="___HAL2">[4]Mobilisasi!#REF!</definedName>
    <definedName name="___LLL01">#N/A</definedName>
    <definedName name="___LLL02">#N/A</definedName>
    <definedName name="___LLL03">#N/A</definedName>
    <definedName name="___LLL04">#N/A</definedName>
    <definedName name="___LLL05">#N/A</definedName>
    <definedName name="___LLL06">#N/A</definedName>
    <definedName name="___LLL07">#N/A</definedName>
    <definedName name="___LLL08">#N/A</definedName>
    <definedName name="___LLL09">#N/A</definedName>
    <definedName name="___LLL10">#N/A</definedName>
    <definedName name="___LLL11">#N/A</definedName>
    <definedName name="___MDE01">[1]Peralatan!$BO$27</definedName>
    <definedName name="___MDE02">[1]Peralatan!$BO$47</definedName>
    <definedName name="___MDE03">[1]Peralatan!$BO$67</definedName>
    <definedName name="___MDE04">[1]Peralatan!$BO$87</definedName>
    <definedName name="___MDE05">[1]Peralatan!$BO$107</definedName>
    <definedName name="___MDE06">[1]Peralatan!$BO$127</definedName>
    <definedName name="___MDE07">[1]Peralatan!$BO$147</definedName>
    <definedName name="___MDE08">[1]Peralatan!$BO$167</definedName>
    <definedName name="___MDE09">[1]Peralatan!$BO$187</definedName>
    <definedName name="___MDE10">[1]Peralatan!$BO$207</definedName>
    <definedName name="___MDE11">[1]Peralatan!$BO$227</definedName>
    <definedName name="___MDE12">[1]Peralatan!$BO$247</definedName>
    <definedName name="___MDE13">[1]Peralatan!$BO$267</definedName>
    <definedName name="___MDE14">[1]Peralatan!$BO$287</definedName>
    <definedName name="___MDE15">[1]Peralatan!$BO$307</definedName>
    <definedName name="___MDE16">[1]Peralatan!$BO$327</definedName>
    <definedName name="___MDE17">[1]Peralatan!$BO$347</definedName>
    <definedName name="___MDE18">[1]Peralatan!$BO$367</definedName>
    <definedName name="___MDE19">[1]Peralatan!$BO$387</definedName>
    <definedName name="___MDE20">[1]Peralatan!$BO$407</definedName>
    <definedName name="___MDE21">[1]Peralatan!$BO$427</definedName>
    <definedName name="___MDE22">[1]Peralatan!$BO$447</definedName>
    <definedName name="___MDE23">[1]Peralatan!$BO$467</definedName>
    <definedName name="___MDE24">[1]Peralatan!$BO$487</definedName>
    <definedName name="___MDE25">[1]Peralatan!$BO$507</definedName>
    <definedName name="___MDE26" localSheetId="1">#REF!</definedName>
    <definedName name="___MDE26">#REF!</definedName>
    <definedName name="___MDE27">[1]Peralatan!$BO$547</definedName>
    <definedName name="___MDE28">[1]Peralatan!$BO$567</definedName>
    <definedName name="___MDE29">[1]Peralatan!$BO$587</definedName>
    <definedName name="___MDE30">[1]Peralatan!$BO$607</definedName>
    <definedName name="___MDE31">[1]Peralatan!$BO$627</definedName>
    <definedName name="___MDE32">[1]Peralatan!$BO$647</definedName>
    <definedName name="___MDE33">[1]Peralatan!$BO$667</definedName>
    <definedName name="___MDE34">[1]Peralatan!$BO$698</definedName>
    <definedName name="___MDE35">'[1]Peralatan (2)'!$R$27</definedName>
    <definedName name="___ME01">[1]Peralatan!$BO$26</definedName>
    <definedName name="___ME02">[1]Peralatan!$BO$46</definedName>
    <definedName name="___ME03">[1]Peralatan!$BO$66</definedName>
    <definedName name="___ME04">[1]Peralatan!$BO$86</definedName>
    <definedName name="___ME05">[1]Peralatan!$BO$106</definedName>
    <definedName name="___ME06">[1]Peralatan!$BO$126</definedName>
    <definedName name="___ME07">[1]Peralatan!$BO$146</definedName>
    <definedName name="___ME08">[1]Peralatan!$BO$166</definedName>
    <definedName name="___ME09">[1]Peralatan!$BO$186</definedName>
    <definedName name="___ME10">[1]Peralatan!$BO$206</definedName>
    <definedName name="___ME11">[1]Peralatan!$BO$226</definedName>
    <definedName name="___ME12">[1]Peralatan!$BO$246</definedName>
    <definedName name="___ME13">[1]Peralatan!$BO$266</definedName>
    <definedName name="___ME14">[1]Peralatan!$BO$286</definedName>
    <definedName name="___ME15">[1]Peralatan!$BO$306</definedName>
    <definedName name="___ME16">[1]Peralatan!$BO$326</definedName>
    <definedName name="___ME17">[1]Peralatan!$BO$346</definedName>
    <definedName name="___ME18">[1]Peralatan!$BO$366</definedName>
    <definedName name="___ME19">[1]Peralatan!$BO$386</definedName>
    <definedName name="___ME20">[1]Peralatan!$BO$406</definedName>
    <definedName name="___ME21">[1]Peralatan!$BO$426</definedName>
    <definedName name="___ME22">[1]Peralatan!$BO$446</definedName>
    <definedName name="___ME23">[1]Peralatan!$BO$466</definedName>
    <definedName name="___ME24">[1]Peralatan!$BO$486</definedName>
    <definedName name="___ME25">[1]Peralatan!$BO$506</definedName>
    <definedName name="___ME26" localSheetId="1">#REF!</definedName>
    <definedName name="___ME26">#REF!</definedName>
    <definedName name="___ME27">[1]Peralatan!$BO$546</definedName>
    <definedName name="___ME28">[1]Peralatan!$BO$566</definedName>
    <definedName name="___ME29">[1]Peralatan!$BO$586</definedName>
    <definedName name="___ME30">[1]Peralatan!$BO$606</definedName>
    <definedName name="___ME31">[1]Peralatan!$BO$626</definedName>
    <definedName name="___ME32">[1]Peralatan!$BO$646</definedName>
    <definedName name="___ME33">[1]Peralatan!$BO$666</definedName>
    <definedName name="___ME34">[1]Peralatan!$BO$697</definedName>
    <definedName name="___ME35">'[1]Peralatan (2)'!$R$26</definedName>
    <definedName name="___MMM01">#N/A</definedName>
    <definedName name="___MMM02">#N/A</definedName>
    <definedName name="___MMM03">#N/A</definedName>
    <definedName name="___MMM04">#N/A</definedName>
    <definedName name="___MMM05">#N/A</definedName>
    <definedName name="___MMM06">#N/A</definedName>
    <definedName name="___MMM07">#N/A</definedName>
    <definedName name="___MMM08">#N/A</definedName>
    <definedName name="___MMM09">#N/A</definedName>
    <definedName name="___MMM10">#N/A</definedName>
    <definedName name="___MMM11">#N/A</definedName>
    <definedName name="___MMM12">#N/A</definedName>
    <definedName name="___MMM13">#N/A</definedName>
    <definedName name="___MMM14">#N/A</definedName>
    <definedName name="___MMM15">#N/A</definedName>
    <definedName name="___MMM16">#N/A</definedName>
    <definedName name="___MMM17">#N/A</definedName>
    <definedName name="___MMM18">#N/A</definedName>
    <definedName name="___MMM19">#N/A</definedName>
    <definedName name="___MMM20">#N/A</definedName>
    <definedName name="___MMM21">#N/A</definedName>
    <definedName name="___MMM22">#N/A</definedName>
    <definedName name="___MMM23">#N/A</definedName>
    <definedName name="___MMM24">#N/A</definedName>
    <definedName name="___MMM25">#N/A</definedName>
    <definedName name="___MMM26">#N/A</definedName>
    <definedName name="___MMM27">#N/A</definedName>
    <definedName name="___MMM28">#N/A</definedName>
    <definedName name="___MMM29">#N/A</definedName>
    <definedName name="___MMM30">#N/A</definedName>
    <definedName name="___MMM31">#N/A</definedName>
    <definedName name="___MMM32">#N/A</definedName>
    <definedName name="___MMM33">#N/A</definedName>
    <definedName name="___MMM34">#N/A</definedName>
    <definedName name="___MMM35">#N/A</definedName>
    <definedName name="___MMM36">#N/A</definedName>
    <definedName name="___MMM37">#N/A</definedName>
    <definedName name="___MMM38">#N/A</definedName>
    <definedName name="___MMM39">#N/A</definedName>
    <definedName name="___MMM40">#N/A</definedName>
    <definedName name="___MMM41">#N/A</definedName>
    <definedName name="___MMM411">#N/A</definedName>
    <definedName name="___MMM42">#N/A</definedName>
    <definedName name="___MMM43">#N/A</definedName>
    <definedName name="___MMM44">#N/A</definedName>
    <definedName name="___MMM45">#N/A</definedName>
    <definedName name="___MMM46">#N/A</definedName>
    <definedName name="___MMM47">#N/A</definedName>
    <definedName name="___MMM48">#N/A</definedName>
    <definedName name="___MMM49">#N/A</definedName>
    <definedName name="___MMM50">#N/A</definedName>
    <definedName name="___MMM51">#N/A</definedName>
    <definedName name="___MMM52">#N/A</definedName>
    <definedName name="___MMM53">#N/A</definedName>
    <definedName name="___MMM54">#N/A</definedName>
    <definedName name="___xlnm.Print_Area">"#ref!"</definedName>
    <definedName name="__123Graph_A" hidden="1">[7]S_Suramadu!$H$72:$CD$72</definedName>
    <definedName name="__123Graph_B" hidden="1">[7]S_Suramadu!$H$74:$CD$74</definedName>
    <definedName name="__123Graph_X" hidden="1">'[8]JAD-PEL'!$L$173:$BF$173</definedName>
    <definedName name="__DIV1">[9]RAB!$J$29</definedName>
    <definedName name="__DIV10" localSheetId="1">'[10]Kuantitas &amp; Harga'!#REF!</definedName>
    <definedName name="__DIV10">'[10]Kuantitas &amp; Harga'!#REF!</definedName>
    <definedName name="__DIV11" localSheetId="1">'[10]Kuantitas &amp; Harga'!#REF!</definedName>
    <definedName name="__DIV11">'[10]Kuantitas &amp; Harga'!#REF!</definedName>
    <definedName name="__div2" localSheetId="1">'[10]Rekap Biaya'!#REF!</definedName>
    <definedName name="__div2">'[10]Rekap Biaya'!#REF!</definedName>
    <definedName name="__DIV3">[9]RAB!$J$85</definedName>
    <definedName name="__DIV4" localSheetId="1">'[10]Kuantitas &amp; Harga'!#REF!</definedName>
    <definedName name="__DIV4">'[10]Kuantitas &amp; Harga'!#REF!</definedName>
    <definedName name="__DIV5" localSheetId="1">'[10]Kuantitas &amp; Harga'!#REF!</definedName>
    <definedName name="__DIV5">'[10]Kuantitas &amp; Harga'!#REF!</definedName>
    <definedName name="__DIV6" localSheetId="1">'[10]Kuantitas &amp; Harga'!#REF!</definedName>
    <definedName name="__DIV6">'[10]Kuantitas &amp; Harga'!#REF!</definedName>
    <definedName name="__DIV7" localSheetId="1">'[10]Kuantitas &amp; Harga'!#REF!</definedName>
    <definedName name="__DIV7">'[10]Kuantitas &amp; Harga'!#REF!</definedName>
    <definedName name="__DIV8" localSheetId="1">'[10]Kuantitas &amp; Harga'!#REF!</definedName>
    <definedName name="__DIV8">'[10]Kuantitas &amp; Harga'!#REF!</definedName>
    <definedName name="__DIV9" localSheetId="1">'[10]Kuantitas &amp; Harga'!#REF!</definedName>
    <definedName name="__DIV9">'[10]Kuantitas &amp; Harga'!#REF!</definedName>
    <definedName name="__EEE02">'[11]5-Alt(1)'!$AW$9</definedName>
    <definedName name="__EEE05">'[11]5-Alt(1)'!$AW$12</definedName>
    <definedName name="__EEE06">'[11]5-Alt(1)'!$AW$13</definedName>
    <definedName name="__EEE07">'[11]5-Alt(1)'!$AW$14</definedName>
    <definedName name="__EEE08">'[11]5-Alt(1)'!$AW$15</definedName>
    <definedName name="__EEE09">'[11]5-Alt(1)'!$AW$16</definedName>
    <definedName name="__EEE10">'[11]5-Alt(1)'!$AW$17</definedName>
    <definedName name="__EEE11">'[11]5-Alt(1)'!$AW$18</definedName>
    <definedName name="__EEE13">'[11]5-Alt(1)'!$AW$20</definedName>
    <definedName name="__EEE16">'[11]5-Alt(1)'!$AW$23</definedName>
    <definedName name="__EEE17">'[11]5-Alt(1)'!$AW$24</definedName>
    <definedName name="__EEE23">'[11]5-Alt(1)'!$AW$30</definedName>
    <definedName name="__EEE27">'[11]5-Alt(1)'!$AW$34</definedName>
    <definedName name="__EEE29">'[11]5-Alt(1)'!$AW$36</definedName>
    <definedName name="__EEE31">'[11]5-Alt(1)'!$AW$38</definedName>
    <definedName name="__HAL1" localSheetId="1">#REF!</definedName>
    <definedName name="__HAL1">#REF!</definedName>
    <definedName name="__HAL2" localSheetId="1">'[10]Kuantitas &amp; Harga'!#REF!</definedName>
    <definedName name="__HAL2">'[10]Kuantitas &amp; Harga'!#REF!</definedName>
    <definedName name="__HAL3" localSheetId="1">'[10]Kuantitas &amp; Harga'!#REF!</definedName>
    <definedName name="__HAL3">'[10]Kuantitas &amp; Harga'!#REF!</definedName>
    <definedName name="__HAL4" localSheetId="1">'[10]Kuantitas &amp; Harga'!#REF!</definedName>
    <definedName name="__HAL4">'[10]Kuantitas &amp; Harga'!#REF!</definedName>
    <definedName name="__HAL5" localSheetId="1">'[10]Kuantitas &amp; Harga'!#REF!</definedName>
    <definedName name="__HAL5">'[10]Kuantitas &amp; Harga'!#REF!</definedName>
    <definedName name="__HAL6" localSheetId="1">'[10]Kuantitas &amp; Harga'!#REF!</definedName>
    <definedName name="__HAL6">'[10]Kuantitas &amp; Harga'!#REF!</definedName>
    <definedName name="__HAL7" localSheetId="1">'[10]Kuantitas &amp; Harga'!#REF!</definedName>
    <definedName name="__HAL7">'[10]Kuantitas &amp; Harga'!#REF!</definedName>
    <definedName name="__HAL8" localSheetId="1">'[10]Kuantitas &amp; Harga'!#REF!</definedName>
    <definedName name="__HAL8">'[10]Kuantitas &amp; Harga'!#REF!</definedName>
    <definedName name="__LLL01">"#ref!"</definedName>
    <definedName name="__LLL02">"#ref!"</definedName>
    <definedName name="__LLL03">"#ref!"</definedName>
    <definedName name="__LLL04">"#ref!"</definedName>
    <definedName name="__LLL05">"#ref!"</definedName>
    <definedName name="__LLL06">"#ref!"</definedName>
    <definedName name="__LLL07">"#ref!"</definedName>
    <definedName name="__LLL08">"#ref!"</definedName>
    <definedName name="__LLL09">"#ref!"</definedName>
    <definedName name="__LLL10">"#ref!"</definedName>
    <definedName name="__LLL11">"#ref!"</definedName>
    <definedName name="__MDE01">[1]Peralatan!$BO$27</definedName>
    <definedName name="__MDE02">[1]Peralatan!$BO$47</definedName>
    <definedName name="__MDE03">[1]Peralatan!$BO$67</definedName>
    <definedName name="__MDE04">[1]Peralatan!$BO$87</definedName>
    <definedName name="__MDE05">[1]Peralatan!$BO$107</definedName>
    <definedName name="__MDE06">[1]Peralatan!$BO$127</definedName>
    <definedName name="__MDE07">[1]Peralatan!$BO$147</definedName>
    <definedName name="__MDE08">[1]Peralatan!$BO$167</definedName>
    <definedName name="__MDE09">[1]Peralatan!$BO$187</definedName>
    <definedName name="__MDE10">[1]Peralatan!$BO$207</definedName>
    <definedName name="__MDE11">[1]Peralatan!$BO$227</definedName>
    <definedName name="__MDE12">[1]Peralatan!$BO$247</definedName>
    <definedName name="__MDE13">[1]Peralatan!$BO$267</definedName>
    <definedName name="__MDE14">[1]Peralatan!$BO$287</definedName>
    <definedName name="__MDE15">[1]Peralatan!$BO$307</definedName>
    <definedName name="__MDE16">[1]Peralatan!$BO$327</definedName>
    <definedName name="__MDE17">[1]Peralatan!$BO$347</definedName>
    <definedName name="__MDE18">[1]Peralatan!$BO$367</definedName>
    <definedName name="__MDE19">[1]Peralatan!$BO$387</definedName>
    <definedName name="__MDE20">[1]Peralatan!$BO$407</definedName>
    <definedName name="__MDE21">[1]Peralatan!$BO$427</definedName>
    <definedName name="__MDE22">[1]Peralatan!$BO$447</definedName>
    <definedName name="__MDE23">[1]Peralatan!$BO$467</definedName>
    <definedName name="__MDE24">[1]Peralatan!$BO$487</definedName>
    <definedName name="__MDE25">[1]Peralatan!$BO$507</definedName>
    <definedName name="__MDE26" localSheetId="1">#REF!</definedName>
    <definedName name="__MDE26">#REF!</definedName>
    <definedName name="__MDE27">[1]Peralatan!$BO$547</definedName>
    <definedName name="__MDE28">[1]Peralatan!$BO$567</definedName>
    <definedName name="__MDE29">[1]Peralatan!$BO$587</definedName>
    <definedName name="__MDE30">[1]Peralatan!$BO$607</definedName>
    <definedName name="__MDE31">[1]Peralatan!$BO$627</definedName>
    <definedName name="__MDE32">[1]Peralatan!$BO$647</definedName>
    <definedName name="__MDE33">[1]Peralatan!$BO$667</definedName>
    <definedName name="__MDE34">[1]Peralatan!$BO$698</definedName>
    <definedName name="__MDE35">'[1]Peralatan (2)'!$R$27</definedName>
    <definedName name="__ME01">[1]Peralatan!$BO$26</definedName>
    <definedName name="__ME02">[1]Peralatan!$BO$46</definedName>
    <definedName name="__ME03">[1]Peralatan!$BO$66</definedName>
    <definedName name="__ME04">[1]Peralatan!$BO$86</definedName>
    <definedName name="__ME05">[1]Peralatan!$BO$106</definedName>
    <definedName name="__ME06">[1]Peralatan!$BO$126</definedName>
    <definedName name="__ME07">[1]Peralatan!$BO$146</definedName>
    <definedName name="__ME08">[1]Peralatan!$BO$166</definedName>
    <definedName name="__ME09">[1]Peralatan!$BO$186</definedName>
    <definedName name="__ME10">[1]Peralatan!$BO$206</definedName>
    <definedName name="__ME11">[1]Peralatan!$BO$226</definedName>
    <definedName name="__ME12">[1]Peralatan!$BO$246</definedName>
    <definedName name="__ME13">[1]Peralatan!$BO$266</definedName>
    <definedName name="__ME14">[1]Peralatan!$BO$286</definedName>
    <definedName name="__ME15">[1]Peralatan!$BO$306</definedName>
    <definedName name="__ME16">[1]Peralatan!$BO$326</definedName>
    <definedName name="__ME17">[1]Peralatan!$BO$346</definedName>
    <definedName name="__ME18">[1]Peralatan!$BO$366</definedName>
    <definedName name="__ME19">[1]Peralatan!$BO$386</definedName>
    <definedName name="__ME20">[1]Peralatan!$BO$406</definedName>
    <definedName name="__ME21">[1]Peralatan!$BO$426</definedName>
    <definedName name="__ME22">[1]Peralatan!$BO$446</definedName>
    <definedName name="__ME23">[1]Peralatan!$BO$466</definedName>
    <definedName name="__ME24">[1]Peralatan!$BO$486</definedName>
    <definedName name="__ME25">[1]Peralatan!$BO$506</definedName>
    <definedName name="__ME26" localSheetId="1">#REF!</definedName>
    <definedName name="__ME26">#REF!</definedName>
    <definedName name="__ME27">[1]Peralatan!$BO$546</definedName>
    <definedName name="__ME28">[1]Peralatan!$BO$566</definedName>
    <definedName name="__ME29">[1]Peralatan!$BO$586</definedName>
    <definedName name="__ME30">[1]Peralatan!$BO$606</definedName>
    <definedName name="__ME31">[1]Peralatan!$BO$626</definedName>
    <definedName name="__ME32">[1]Peralatan!$BO$646</definedName>
    <definedName name="__ME33">[1]Peralatan!$BO$666</definedName>
    <definedName name="__ME34">[1]Peralatan!$BO$697</definedName>
    <definedName name="__ME35">'[1]Peralatan (2)'!$R$26</definedName>
    <definedName name="__MMM01">"#ref!"</definedName>
    <definedName name="__MMM02">"#ref!"</definedName>
    <definedName name="__MMM03">"#ref!"</definedName>
    <definedName name="__MMM04">"#ref!"</definedName>
    <definedName name="__MMM05">"#ref!"</definedName>
    <definedName name="__MMM06">"#ref!"</definedName>
    <definedName name="__MMM07">"#ref!"</definedName>
    <definedName name="__MMM08">"#ref!"</definedName>
    <definedName name="__MMM09">"#ref!"</definedName>
    <definedName name="__MMM10">"#ref!"</definedName>
    <definedName name="__MMM11">"#ref!"</definedName>
    <definedName name="__MMM12">"#ref!"</definedName>
    <definedName name="__MMM13">"#ref!"</definedName>
    <definedName name="__MMM14">"#ref!"</definedName>
    <definedName name="__MMM15">"#ref!"</definedName>
    <definedName name="__MMM16">"#ref!"</definedName>
    <definedName name="__MMM17">"#ref!"</definedName>
    <definedName name="__MMM18">"#ref!"</definedName>
    <definedName name="__MMM19">"#ref!"</definedName>
    <definedName name="__MMM20">"#ref!"</definedName>
    <definedName name="__MMM21">"#ref!"</definedName>
    <definedName name="__MMM22">"#ref!"</definedName>
    <definedName name="__MMM23">"#ref!"</definedName>
    <definedName name="__MMM24">"#ref!"</definedName>
    <definedName name="__MMM25">"#ref!"</definedName>
    <definedName name="__MMM26">"#ref!"</definedName>
    <definedName name="__MMM27">"#ref!"</definedName>
    <definedName name="__MMM28">"#ref!"</definedName>
    <definedName name="__MMM29">"#ref!"</definedName>
    <definedName name="__MMM30">"#ref!"</definedName>
    <definedName name="__MMM31">"#ref!"</definedName>
    <definedName name="__MMM32">"#ref!"</definedName>
    <definedName name="__MMM33">"#ref!"</definedName>
    <definedName name="__MMM34">"#ref!"</definedName>
    <definedName name="__MMM35">"#ref!"</definedName>
    <definedName name="__MMM36">"#ref!"</definedName>
    <definedName name="__MMM37">"#ref!"</definedName>
    <definedName name="__MMM38">"#ref!"</definedName>
    <definedName name="__MMM39">"#ref!"</definedName>
    <definedName name="__MMM40">"#ref!"</definedName>
    <definedName name="__MMM41">"#ref!"</definedName>
    <definedName name="__MMM411">"#ref!"</definedName>
    <definedName name="__MMM42">"#ref!"</definedName>
    <definedName name="__MMM43">"#ref!"</definedName>
    <definedName name="__MMM44">"#ref!"</definedName>
    <definedName name="__MMM45">"#ref!"</definedName>
    <definedName name="__MMM46">"#ref!"</definedName>
    <definedName name="__MMM47">"#ref!"</definedName>
    <definedName name="__MMM48">"#ref!"</definedName>
    <definedName name="__MMM49">"#ref!"</definedName>
    <definedName name="__MMM50">"#ref!"</definedName>
    <definedName name="__MMM51">"#ref!"</definedName>
    <definedName name="__MMM52">"#ref!"</definedName>
    <definedName name="__MMM53">"#ref!"</definedName>
    <definedName name="__MMM54">"#ref!"</definedName>
    <definedName name="__shared_12_0_0">"d1"*"a1"</definedName>
    <definedName name="__shared_12_1_0">"e1"*"a1"</definedName>
    <definedName name="__shared_12_10_0">"d1"*"a1"</definedName>
    <definedName name="__shared_12_100_0">"d1"*"a1"</definedName>
    <definedName name="__shared_12_101_0">"d1"*"a1"</definedName>
    <definedName name="__shared_12_102_0">"d1"*"a1"</definedName>
    <definedName name="__shared_12_103_0">"d1"*"a1"</definedName>
    <definedName name="__shared_12_104_0">"d1"*"a1"</definedName>
    <definedName name="__shared_12_105_0">"d1"*"a1"</definedName>
    <definedName name="__shared_12_106_0">"d1"*"a1"</definedName>
    <definedName name="__shared_12_107_0">"d1"*"a1"</definedName>
    <definedName name="__shared_12_108_0">"d1"*"a1"</definedName>
    <definedName name="__shared_12_109_0">"d1"*"a1"</definedName>
    <definedName name="__shared_12_11_0">"d1"*"a1"</definedName>
    <definedName name="__shared_12_110_0">"d1"*"a1"</definedName>
    <definedName name="__shared_12_111_0">"d1"*"a1"</definedName>
    <definedName name="__shared_12_112_0">"a1"</definedName>
    <definedName name="__shared_12_113_0">"d1"*"a1"</definedName>
    <definedName name="__shared_12_114_0">"d1"*"a1"</definedName>
    <definedName name="__shared_12_115_0">"d1"*"a1"</definedName>
    <definedName name="__shared_12_116_0">"d1"*"a1"</definedName>
    <definedName name="__shared_12_117_0">"d1"*"a1"</definedName>
    <definedName name="__shared_12_118_0">"d1"*"a1"</definedName>
    <definedName name="__shared_12_119_0">"d1"*"a1"</definedName>
    <definedName name="__shared_12_12_0">"a1"</definedName>
    <definedName name="__shared_12_120_0">"d1"*"a1"</definedName>
    <definedName name="__shared_12_121_0">"d1"*"a1"</definedName>
    <definedName name="__shared_12_122_0">"d1"*"a1"</definedName>
    <definedName name="__shared_12_123_0">"d1"*"a1"</definedName>
    <definedName name="__shared_12_124_0">"d1"*"a1"</definedName>
    <definedName name="__shared_12_125_0">"d1"*"a1"</definedName>
    <definedName name="__shared_12_126_0">"d1"*"a1"</definedName>
    <definedName name="__shared_12_127_0">"d1"*"a1"</definedName>
    <definedName name="__shared_12_128_0">"d1"*"a1"</definedName>
    <definedName name="__shared_12_129_0">"d1"*"a1"</definedName>
    <definedName name="__shared_12_13_0">"d1"*"a1"</definedName>
    <definedName name="__shared_12_130_0">"d1"*"a1"</definedName>
    <definedName name="__shared_12_131_0">"d1"*"a1"</definedName>
    <definedName name="__shared_12_132_0">"d1"*"a1"</definedName>
    <definedName name="__shared_12_133_0">"d1"*"a1"</definedName>
    <definedName name="__shared_12_134_0">"a1"</definedName>
    <definedName name="__shared_12_135_0">"d1"*"a1"</definedName>
    <definedName name="__shared_12_136_0">"a1"</definedName>
    <definedName name="__shared_12_137_0">"d1"*"a1"</definedName>
    <definedName name="__shared_12_138_0">"a1"</definedName>
    <definedName name="__shared_12_139_0">"d1"*"a1"</definedName>
    <definedName name="__shared_12_14_0">"d1"*"a1"</definedName>
    <definedName name="__shared_12_140_0">"a1"</definedName>
    <definedName name="__shared_12_141_0">"d1"*"a1"</definedName>
    <definedName name="__shared_12_142_0">"a1"</definedName>
    <definedName name="__shared_12_143_0">"d1"*"a1"</definedName>
    <definedName name="__shared_12_144_0">"d1"*"a1"</definedName>
    <definedName name="__shared_12_145_0">"d1"*"a1"</definedName>
    <definedName name="__shared_12_146_0">"d1"*"a1"</definedName>
    <definedName name="__shared_12_147_0">"a1"</definedName>
    <definedName name="__shared_12_148_0">"d1"*"a1"</definedName>
    <definedName name="__shared_12_149_0">"a1"</definedName>
    <definedName name="__shared_12_15_0">"e1"*"a1"</definedName>
    <definedName name="__shared_12_150_0">"d1"*"a1"</definedName>
    <definedName name="__shared_12_151_0">"d1"*"a1"</definedName>
    <definedName name="__shared_12_152_0">"d1"*"a1"</definedName>
    <definedName name="__shared_12_153_0">"d1"*"a1"</definedName>
    <definedName name="__shared_12_154_0">"d1"*"a1"</definedName>
    <definedName name="__shared_12_155_0">"d1"*"a1"</definedName>
    <definedName name="__shared_12_156_0">"d1"*"a1"</definedName>
    <definedName name="__shared_12_157_0">"d1"*"a1"</definedName>
    <definedName name="__shared_12_158_0">"d1"*"a1"</definedName>
    <definedName name="__shared_12_159_0">"d1"*"a1"</definedName>
    <definedName name="__shared_12_16_0">"d1"*"a1"</definedName>
    <definedName name="__shared_12_160_0">"d1"*"a1"</definedName>
    <definedName name="__shared_12_161_0">"d1"*"a1"</definedName>
    <definedName name="__shared_12_162_0">"d1"*"a1"</definedName>
    <definedName name="__shared_12_163_0">"d1"*"a1"</definedName>
    <definedName name="__shared_12_164_0">"d1"*"a1"</definedName>
    <definedName name="__shared_12_165_0">"a1"</definedName>
    <definedName name="__shared_12_166_0">"d1"*"a1"</definedName>
    <definedName name="__shared_12_167_0">"a1"</definedName>
    <definedName name="__shared_12_168_0">"d1"*"a1"</definedName>
    <definedName name="__shared_12_169_0">"d1"*"a1"</definedName>
    <definedName name="__shared_12_17_0">"d1"*"a1"</definedName>
    <definedName name="__shared_12_170_0">"d1"*"a1"</definedName>
    <definedName name="__shared_12_171_0">"d1"*"a1"</definedName>
    <definedName name="__shared_12_172_0">"d1"*"a1"</definedName>
    <definedName name="__shared_12_173_0">"d1"*"a1"</definedName>
    <definedName name="__shared_12_174_0">"d1"*"a1"</definedName>
    <definedName name="__shared_12_175_0">"d1"*"a1"</definedName>
    <definedName name="__shared_12_176_0">"d1"*"a1"</definedName>
    <definedName name="__shared_12_177_0">"d1"*"a1"</definedName>
    <definedName name="__shared_12_178_0">"d1"*"a1"</definedName>
    <definedName name="__shared_12_179_0">"a1"</definedName>
    <definedName name="__shared_12_18_0">"a1"</definedName>
    <definedName name="__shared_12_180_0">"d1"*"a1"</definedName>
    <definedName name="__shared_12_181_0">"d1"*"a1"</definedName>
    <definedName name="__shared_12_182_0">"d1"*"a1"</definedName>
    <definedName name="__shared_12_183_0">"d1"*"a1"</definedName>
    <definedName name="__shared_12_184_0">"d1"*"a1"</definedName>
    <definedName name="__shared_12_185_0">"d1"*"a1"</definedName>
    <definedName name="__shared_12_19_0">"d1"*"a1"</definedName>
    <definedName name="__shared_12_2_0">"e1"*"a1"</definedName>
    <definedName name="__shared_12_20_0">"a1"</definedName>
    <definedName name="__shared_12_21_0">"d1"*"a1"</definedName>
    <definedName name="__shared_12_22_0">"a1"</definedName>
    <definedName name="__shared_12_23_0">"d1"*"a1"</definedName>
    <definedName name="__shared_12_24_0">"d1"*"a1"</definedName>
    <definedName name="__shared_12_25_0">"d1"*"a1"</definedName>
    <definedName name="__shared_12_26_0">"a1"</definedName>
    <definedName name="__shared_12_27_0">"d1"*"a1"</definedName>
    <definedName name="__shared_12_28_0">"a1"</definedName>
    <definedName name="__shared_12_29_0">"d1"*"a1"</definedName>
    <definedName name="__shared_12_3_0">"e1"*"a1"</definedName>
    <definedName name="__shared_12_30_0">"a1"</definedName>
    <definedName name="__shared_12_31_0">"d1"*"a1"</definedName>
    <definedName name="__shared_12_32_0">"d1"*"a1"</definedName>
    <definedName name="__shared_12_33_0">"d1"*"a1"</definedName>
    <definedName name="__shared_12_34_0">"d1"*"a1"</definedName>
    <definedName name="__shared_12_35_0">50/20*"a1"</definedName>
    <definedName name="__shared_12_36_0">"a1"</definedName>
    <definedName name="__shared_12_37_0">"d1"*"a1"</definedName>
    <definedName name="__shared_12_38_0">"a1"</definedName>
    <definedName name="__shared_12_39_0">"d1"*"a1"</definedName>
    <definedName name="__shared_12_4_0">"e1"*"a1"</definedName>
    <definedName name="__shared_12_40_0">"a1"</definedName>
    <definedName name="__shared_12_41_0">"d1"*"a1"</definedName>
    <definedName name="__shared_12_42_0">"b1"*"a1"</definedName>
    <definedName name="__shared_12_43_0">"d1"*"a1"</definedName>
    <definedName name="__shared_12_44_0">"a1"</definedName>
    <definedName name="__shared_12_45_0">"d1"*"a1"</definedName>
    <definedName name="__shared_12_46_0">"d1"*"a1"</definedName>
    <definedName name="__shared_12_47_0">"d1"*"a1"</definedName>
    <definedName name="__shared_12_48_0">"a1"</definedName>
    <definedName name="__shared_12_49_0">"d1"*"a1"</definedName>
    <definedName name="__shared_12_5_0">"d1"*"a1"</definedName>
    <definedName name="__shared_12_50_0">"d1"*"a1"</definedName>
    <definedName name="__shared_12_51_0">"a1"</definedName>
    <definedName name="__shared_12_52_0">"d1"*"a1"</definedName>
    <definedName name="__shared_12_53_0">"a1"</definedName>
    <definedName name="__shared_12_54_0">"d1"*"a1"</definedName>
    <definedName name="__shared_12_55_0">"a1"</definedName>
    <definedName name="__shared_12_56_0">"d1"*"a1"</definedName>
    <definedName name="__shared_12_57_0">"d1"*"a1"</definedName>
    <definedName name="__shared_12_58_0">"d1"*"a1"</definedName>
    <definedName name="__shared_12_59_0">"a1"</definedName>
    <definedName name="__shared_12_6_0">"d1"*"a1"</definedName>
    <definedName name="__shared_12_60_0">"d1"*"a1"</definedName>
    <definedName name="__shared_12_61_0">"a1"</definedName>
    <definedName name="__shared_12_62_0">"d1"*"a1"</definedName>
    <definedName name="__shared_12_63_0">"d1"*"a1"</definedName>
    <definedName name="__shared_12_64_0">"d1"*"a1"</definedName>
    <definedName name="__shared_12_65_0">"a1"</definedName>
    <definedName name="__shared_12_66_0">"d1"*"a1"</definedName>
    <definedName name="__shared_12_67_0">"a1"</definedName>
    <definedName name="__shared_12_68_0">"a1"</definedName>
    <definedName name="__shared_12_69_0">"d1"*"a1"</definedName>
    <definedName name="__shared_12_7_0">"e1"*"a1"</definedName>
    <definedName name="__shared_12_70_0">"d1"*"a1"</definedName>
    <definedName name="__shared_12_71_0">"d1"*"a1"</definedName>
    <definedName name="__shared_12_72_0">"d1"*"a1"</definedName>
    <definedName name="__shared_12_73_0">"d1"*"a1"</definedName>
    <definedName name="__shared_12_74_0">"d1"*"a1"</definedName>
    <definedName name="__shared_12_75_0">"d1"*"a1"</definedName>
    <definedName name="__shared_12_76_0">"d1"*"a1"</definedName>
    <definedName name="__shared_12_77_0">"d1"*"a1"</definedName>
    <definedName name="__shared_12_78_0">"d1"*"a1"</definedName>
    <definedName name="__shared_12_79_0">"d1"*"a1"</definedName>
    <definedName name="__shared_12_8_0">"d1"*"a1"</definedName>
    <definedName name="__shared_12_80_0">"a1"</definedName>
    <definedName name="__shared_12_81_0">"d1"*"a1"</definedName>
    <definedName name="__shared_12_82_0">"d1"*"a1"</definedName>
    <definedName name="__shared_12_83_0">"d1"*"a1"</definedName>
    <definedName name="__shared_12_84_0">"d1"*"a1"</definedName>
    <definedName name="__shared_12_85_0">"d1"*"a1"</definedName>
    <definedName name="__shared_12_86_0">"d1"*"a1"</definedName>
    <definedName name="__shared_12_87_0">"d1"*"a1"</definedName>
    <definedName name="__shared_12_88_0">"a1"</definedName>
    <definedName name="__shared_12_89_0">"d1"*"a1"</definedName>
    <definedName name="__shared_12_9_0">"a1"</definedName>
    <definedName name="__shared_12_90_0">"a1"*50/100</definedName>
    <definedName name="__shared_12_91_0">"d1"*"a1"</definedName>
    <definedName name="__shared_12_92_0">"d1"*"a1"</definedName>
    <definedName name="__shared_12_93_0">"d1"*"a1"</definedName>
    <definedName name="__shared_12_94_0">"d1"*"a1"</definedName>
    <definedName name="__shared_12_95_0">"d1"*"a1"</definedName>
    <definedName name="__shared_12_96_0">"d1"*"a1"</definedName>
    <definedName name="__shared_12_97_0">"d1"*"a1"</definedName>
    <definedName name="__shared_12_98_0">"d1"*"a1"</definedName>
    <definedName name="__shared_12_99_0">"d1"*"a1"</definedName>
    <definedName name="__shared_13_0_0" localSheetId="3">SUM("a1"*"c1")</definedName>
    <definedName name="__shared_13_0_0" localSheetId="9">SUM("a1"*"c1")</definedName>
    <definedName name="__shared_13_0_0">SUM("a1"*"c1")</definedName>
    <definedName name="__shared_13_1_0" localSheetId="3">SUM("a1"*"c1")</definedName>
    <definedName name="__shared_13_1_0" localSheetId="9">SUM("a1"*"c1")</definedName>
    <definedName name="__shared_13_1_0">SUM("a1"*"c1")</definedName>
    <definedName name="__shared_15_0_0" localSheetId="3">SUM("a1"*"c1")</definedName>
    <definedName name="__shared_15_0_0" localSheetId="9">SUM("a1"*"c1")</definedName>
    <definedName name="__shared_15_0_0">SUM("a1"*"c1")</definedName>
    <definedName name="__shared_15_1_0" localSheetId="3">SUM("a1"*"c1")</definedName>
    <definedName name="__shared_15_1_0" localSheetId="9">SUM("a1"*"c1")</definedName>
    <definedName name="__shared_15_1_0">SUM("a1"*"c1")</definedName>
    <definedName name="__shared_15_2_0" localSheetId="3">SUM("a1"*"c1")</definedName>
    <definedName name="__shared_15_2_0" localSheetId="9">SUM("a1"*"c1")</definedName>
    <definedName name="__shared_15_2_0">SUM("a1"*"c1")</definedName>
    <definedName name="__shared_15_3_0" localSheetId="3">SUM("a1"*"c1")</definedName>
    <definedName name="__shared_15_3_0" localSheetId="9">SUM("a1"*"c1")</definedName>
    <definedName name="__shared_15_3_0">SUM("a1"*"c1")</definedName>
    <definedName name="__shared_15_4_0" localSheetId="3">SUM("a1"*"c1")</definedName>
    <definedName name="__shared_15_4_0" localSheetId="9">SUM("a1"*"c1")</definedName>
    <definedName name="__shared_15_4_0">SUM("a1"*"c1")</definedName>
    <definedName name="__shared_15_5_0" localSheetId="3">SUM("a1"*"c1")</definedName>
    <definedName name="__shared_15_5_0" localSheetId="9">SUM("a1"*"c1")</definedName>
    <definedName name="__shared_15_5_0">SUM("a1"*"c1")</definedName>
    <definedName name="__shared_17_0_0" localSheetId="3">SUM("a1"*"c1")</definedName>
    <definedName name="__shared_17_0_0" localSheetId="9">SUM("a1"*"c1")</definedName>
    <definedName name="__shared_17_0_0">SUM("a1"*"c1")</definedName>
    <definedName name="__shared_17_1_0" localSheetId="3">SUM("a1"*"c1")</definedName>
    <definedName name="__shared_17_1_0" localSheetId="9">SUM("a1"*"c1")</definedName>
    <definedName name="__shared_17_1_0">SUM("a1"*"c1")</definedName>
    <definedName name="__shared_17_10_0" localSheetId="3">SUM("a1"*"c1")</definedName>
    <definedName name="__shared_17_10_0" localSheetId="9">SUM("a1"*"c1")</definedName>
    <definedName name="__shared_17_10_0">SUM("a1"*"c1")</definedName>
    <definedName name="__shared_17_11_0" localSheetId="3">SUM("a1"*"c1")</definedName>
    <definedName name="__shared_17_11_0" localSheetId="9">SUM("a1"*"c1")</definedName>
    <definedName name="__shared_17_11_0">SUM("a1"*"c1")</definedName>
    <definedName name="__shared_17_12_0" localSheetId="3">SUM("a1"*"c1")</definedName>
    <definedName name="__shared_17_12_0" localSheetId="9">SUM("a1"*"c1")</definedName>
    <definedName name="__shared_17_12_0">SUM("a1"*"c1")</definedName>
    <definedName name="__shared_17_13_0" localSheetId="3">SUM("a1"*"c1")</definedName>
    <definedName name="__shared_17_13_0" localSheetId="9">SUM("a1"*"c1")</definedName>
    <definedName name="__shared_17_13_0">SUM("a1"*"c1")</definedName>
    <definedName name="__shared_17_2_0" localSheetId="3">SUM("a1"*"c1")</definedName>
    <definedName name="__shared_17_2_0" localSheetId="9">SUM("a1"*"c1")</definedName>
    <definedName name="__shared_17_2_0">SUM("a1"*"c1")</definedName>
    <definedName name="__shared_17_3_0" localSheetId="3">SUM("a1"*"c1")</definedName>
    <definedName name="__shared_17_3_0" localSheetId="9">SUM("a1"*"c1")</definedName>
    <definedName name="__shared_17_3_0">SUM("a1"*"c1")</definedName>
    <definedName name="__shared_17_4_0" localSheetId="3">SUM("a1"*"c1")</definedName>
    <definedName name="__shared_17_4_0" localSheetId="9">SUM("a1"*"c1")</definedName>
    <definedName name="__shared_17_4_0">SUM("a1"*"c1")</definedName>
    <definedName name="__shared_17_5_0" localSheetId="3">SUM("a1"*"c1")</definedName>
    <definedName name="__shared_17_5_0" localSheetId="9">SUM("a1"*"c1")</definedName>
    <definedName name="__shared_17_5_0">SUM("a1"*"c1")</definedName>
    <definedName name="__shared_17_6_0" localSheetId="3">SUM("a1"*"c1")</definedName>
    <definedName name="__shared_17_6_0" localSheetId="9">SUM("a1"*"c1")</definedName>
    <definedName name="__shared_17_6_0">SUM("a1"*"c1")</definedName>
    <definedName name="__shared_17_7_0" localSheetId="3">SUM("a1"*"c1")</definedName>
    <definedName name="__shared_17_7_0" localSheetId="9">SUM("a1"*"c1")</definedName>
    <definedName name="__shared_17_7_0">SUM("a1"*"c1")</definedName>
    <definedName name="__shared_17_8_0" localSheetId="3">SUM("a1"*"c1")</definedName>
    <definedName name="__shared_17_8_0" localSheetId="9">SUM("a1"*"c1")</definedName>
    <definedName name="__shared_17_8_0">SUM("a1"*"c1")</definedName>
    <definedName name="__shared_17_9_0" localSheetId="3">SUM("a1"*"c1")</definedName>
    <definedName name="__shared_17_9_0" localSheetId="9">SUM("a1"*"c1")</definedName>
    <definedName name="__shared_17_9_0">SUM("a1"*"c1")</definedName>
    <definedName name="__shared_19_0_0" localSheetId="3">SUM("a1"*"c1")</definedName>
    <definedName name="__shared_19_0_0" localSheetId="9">SUM("a1"*"c1")</definedName>
    <definedName name="__shared_19_0_0">SUM("a1"*"c1")</definedName>
    <definedName name="__shared_19_1_0" localSheetId="3">SUM("a1"*"c1")</definedName>
    <definedName name="__shared_19_1_0" localSheetId="9">SUM("a1"*"c1")</definedName>
    <definedName name="__shared_19_1_0">SUM("a1"*"c1")</definedName>
    <definedName name="__shared_19_2_0" localSheetId="3">SUM("a1"*"c1")</definedName>
    <definedName name="__shared_19_2_0" localSheetId="9">SUM("a1"*"c1")</definedName>
    <definedName name="__shared_19_2_0">SUM("a1"*"c1")</definedName>
    <definedName name="__shared_21_0_0" localSheetId="3">SUM("a1"*"c1")</definedName>
    <definedName name="__shared_21_0_0" localSheetId="9">SUM("a1"*"c1")</definedName>
    <definedName name="__shared_21_0_0">SUM("a1"*"c1")</definedName>
    <definedName name="__shared_21_1_0" localSheetId="3">SUM("a1"*"c1")</definedName>
    <definedName name="__shared_21_1_0" localSheetId="9">SUM("a1"*"c1")</definedName>
    <definedName name="__shared_21_1_0">SUM("a1"*"c1")</definedName>
    <definedName name="__shared_21_2_0" localSheetId="3">SUM("a1"*"c1")</definedName>
    <definedName name="__shared_21_2_0" localSheetId="9">SUM("a1"*"c1")</definedName>
    <definedName name="__shared_21_2_0">SUM("a1"*"c1")</definedName>
    <definedName name="__shared_22_0_0" localSheetId="3">SUM("a1"*"c1")</definedName>
    <definedName name="__shared_22_0_0" localSheetId="9">SUM("a1"*"c1")</definedName>
    <definedName name="__shared_22_0_0">SUM("a1"*"c1")</definedName>
    <definedName name="__shared_22_1_0" localSheetId="3">SUM("a1"*"c1")</definedName>
    <definedName name="__shared_22_1_0" localSheetId="9">SUM("a1"*"c1")</definedName>
    <definedName name="__shared_22_1_0">SUM("a1"*"c1")</definedName>
    <definedName name="__shared_22_10_0" localSheetId="3">SUM("a1"*"c1")</definedName>
    <definedName name="__shared_22_10_0" localSheetId="9">SUM("a1"*"c1")</definedName>
    <definedName name="__shared_22_10_0">SUM("a1"*"c1")</definedName>
    <definedName name="__shared_22_11_0" localSheetId="3">SUM("a1"*"c1")</definedName>
    <definedName name="__shared_22_11_0" localSheetId="9">SUM("a1"*"c1")</definedName>
    <definedName name="__shared_22_11_0">SUM("a1"*"c1")</definedName>
    <definedName name="__shared_22_2_0" localSheetId="3">SUM("a1"*"c1")</definedName>
    <definedName name="__shared_22_2_0" localSheetId="9">SUM("a1"*"c1")</definedName>
    <definedName name="__shared_22_2_0">SUM("a1"*"c1")</definedName>
    <definedName name="__shared_22_3_0" localSheetId="3">SUM("a1"*"c1")</definedName>
    <definedName name="__shared_22_3_0" localSheetId="9">SUM("a1"*"c1")</definedName>
    <definedName name="__shared_22_3_0">SUM("a1"*"c1")</definedName>
    <definedName name="__shared_22_4_0" localSheetId="3">SUM("a1"*"c1")</definedName>
    <definedName name="__shared_22_4_0" localSheetId="9">SUM("a1"*"c1")</definedName>
    <definedName name="__shared_22_4_0">SUM("a1"*"c1")</definedName>
    <definedName name="__shared_22_5_0" localSheetId="3">SUM("a1"*"c1")</definedName>
    <definedName name="__shared_22_5_0" localSheetId="9">SUM("a1"*"c1")</definedName>
    <definedName name="__shared_22_5_0">SUM("a1"*"c1")</definedName>
    <definedName name="__shared_22_6_0" localSheetId="3">SUM("a1"*"c1")</definedName>
    <definedName name="__shared_22_6_0" localSheetId="9">SUM("a1"*"c1")</definedName>
    <definedName name="__shared_22_6_0">SUM("a1"*"c1")</definedName>
    <definedName name="__shared_22_7_0" localSheetId="3">SUM("a1"*"c1")</definedName>
    <definedName name="__shared_22_7_0" localSheetId="9">SUM("a1"*"c1")</definedName>
    <definedName name="__shared_22_7_0">SUM("a1"*"c1")</definedName>
    <definedName name="__shared_22_8_0" localSheetId="3">SUM("a1"*"c1")</definedName>
    <definedName name="__shared_22_8_0" localSheetId="9">SUM("a1"*"c1")</definedName>
    <definedName name="__shared_22_8_0">SUM("a1"*"c1")</definedName>
    <definedName name="__shared_22_9_0" localSheetId="3">SUM("a1"*"c1")</definedName>
    <definedName name="__shared_22_9_0" localSheetId="9">SUM("a1"*"c1")</definedName>
    <definedName name="__shared_22_9_0">SUM("a1"*"c1")</definedName>
    <definedName name="__shared_24_0_0" localSheetId="3">SUM("a1"*"c1")</definedName>
    <definedName name="__shared_24_0_0" localSheetId="9">SUM("a1"*"c1")</definedName>
    <definedName name="__shared_24_0_0">SUM("a1"*"c1")</definedName>
    <definedName name="__shared_24_1_0" localSheetId="3">SUM("a1"*"c1")</definedName>
    <definedName name="__shared_24_1_0" localSheetId="9">SUM("a1"*"c1")</definedName>
    <definedName name="__shared_24_1_0">SUM("a1"*"c1")</definedName>
    <definedName name="__shared_24_10_0" localSheetId="3">SUM("a1"*"c1")</definedName>
    <definedName name="__shared_24_10_0" localSheetId="9">SUM("a1"*"c1")</definedName>
    <definedName name="__shared_24_10_0">SUM("a1"*"c1")</definedName>
    <definedName name="__shared_24_11_0" localSheetId="3">SUM("a1"*"c1")</definedName>
    <definedName name="__shared_24_11_0" localSheetId="9">SUM("a1"*"c1")</definedName>
    <definedName name="__shared_24_11_0">SUM("a1"*"c1")</definedName>
    <definedName name="__shared_24_2_0" localSheetId="3">SUM("a1"*"c1")</definedName>
    <definedName name="__shared_24_2_0" localSheetId="9">SUM("a1"*"c1")</definedName>
    <definedName name="__shared_24_2_0">SUM("a1"*"c1")</definedName>
    <definedName name="__shared_24_3_0" localSheetId="3">SUM("a1"*"c1")</definedName>
    <definedName name="__shared_24_3_0" localSheetId="9">SUM("a1"*"c1")</definedName>
    <definedName name="__shared_24_3_0">SUM("a1"*"c1")</definedName>
    <definedName name="__shared_24_4_0" localSheetId="3">SUM("a1"*"c1")</definedName>
    <definedName name="__shared_24_4_0" localSheetId="9">SUM("a1"*"c1")</definedName>
    <definedName name="__shared_24_4_0">SUM("a1"*"c1")</definedName>
    <definedName name="__shared_24_5_0" localSheetId="3">SUM("a1"*"c1")</definedName>
    <definedName name="__shared_24_5_0" localSheetId="9">SUM("a1"*"c1")</definedName>
    <definedName name="__shared_24_5_0">SUM("a1"*"c1")</definedName>
    <definedName name="__shared_24_6_0" localSheetId="3">SUM("a1"*"c1")</definedName>
    <definedName name="__shared_24_6_0" localSheetId="9">SUM("a1"*"c1")</definedName>
    <definedName name="__shared_24_6_0">SUM("a1"*"c1")</definedName>
    <definedName name="__shared_24_7_0" localSheetId="3">SUM("a1"*"c1")</definedName>
    <definedName name="__shared_24_7_0" localSheetId="9">SUM("a1"*"c1")</definedName>
    <definedName name="__shared_24_7_0">SUM("a1"*"c1")</definedName>
    <definedName name="__shared_24_8_0" localSheetId="3">SUM("a1"*"c1")</definedName>
    <definedName name="__shared_24_8_0" localSheetId="9">SUM("a1"*"c1")</definedName>
    <definedName name="__shared_24_8_0">SUM("a1"*"c1")</definedName>
    <definedName name="__shared_24_9_0" localSheetId="3">SUM("a1"*"c1")</definedName>
    <definedName name="__shared_24_9_0" localSheetId="9">SUM("a1"*"c1")</definedName>
    <definedName name="__shared_24_9_0">SUM("a1"*"c1")</definedName>
    <definedName name="__shared_26_0_0" localSheetId="3">SUM("a1"*"c1")</definedName>
    <definedName name="__shared_26_0_0" localSheetId="9">SUM("a1"*"c1")</definedName>
    <definedName name="__shared_26_0_0">SUM("a1"*"c1")</definedName>
    <definedName name="__shared_26_1_0" localSheetId="3">SUM("a1"*"c1")</definedName>
    <definedName name="__shared_26_1_0" localSheetId="9">SUM("a1"*"c1")</definedName>
    <definedName name="__shared_26_1_0">SUM("a1"*"c1")</definedName>
    <definedName name="__shared_26_10_0" localSheetId="3">SUM("a1"*"c1")</definedName>
    <definedName name="__shared_26_10_0" localSheetId="9">SUM("a1"*"c1")</definedName>
    <definedName name="__shared_26_10_0">SUM("a1"*"c1")</definedName>
    <definedName name="__shared_26_11_0" localSheetId="3">SUM("a1"*"c1")</definedName>
    <definedName name="__shared_26_11_0" localSheetId="9">SUM("a1"*"c1")</definedName>
    <definedName name="__shared_26_11_0">SUM("a1"*"c1")</definedName>
    <definedName name="__shared_26_12_0" localSheetId="3">SUM("a1"*"c1")</definedName>
    <definedName name="__shared_26_12_0" localSheetId="9">SUM("a1"*"c1")</definedName>
    <definedName name="__shared_26_12_0">SUM("a1"*"c1")</definedName>
    <definedName name="__shared_26_13_0" localSheetId="3">SUM("a1"*"c1")</definedName>
    <definedName name="__shared_26_13_0" localSheetId="9">SUM("a1"*"c1")</definedName>
    <definedName name="__shared_26_13_0">SUM("a1"*"c1")</definedName>
    <definedName name="__shared_26_2_0" localSheetId="3">SUM("a1"*"c1")</definedName>
    <definedName name="__shared_26_2_0" localSheetId="9">SUM("a1"*"c1")</definedName>
    <definedName name="__shared_26_2_0">SUM("a1"*"c1")</definedName>
    <definedName name="__shared_26_3_0" localSheetId="3">SUM("a1"*"c1")</definedName>
    <definedName name="__shared_26_3_0" localSheetId="9">SUM("a1"*"c1")</definedName>
    <definedName name="__shared_26_3_0">SUM("a1"*"c1")</definedName>
    <definedName name="__shared_26_4_0" localSheetId="3">SUM("a1"*"c1")</definedName>
    <definedName name="__shared_26_4_0" localSheetId="9">SUM("a1"*"c1")</definedName>
    <definedName name="__shared_26_4_0">SUM("a1"*"c1")</definedName>
    <definedName name="__shared_26_5_0" localSheetId="3">SUM("a1"*"c1")</definedName>
    <definedName name="__shared_26_5_0" localSheetId="9">SUM("a1"*"c1")</definedName>
    <definedName name="__shared_26_5_0">SUM("a1"*"c1")</definedName>
    <definedName name="__shared_26_6_0" localSheetId="3">SUM("a1"*"c1")</definedName>
    <definedName name="__shared_26_6_0" localSheetId="9">SUM("a1"*"c1")</definedName>
    <definedName name="__shared_26_6_0">SUM("a1"*"c1")</definedName>
    <definedName name="__shared_26_7_0" localSheetId="3">SUM("a1"*"c1")</definedName>
    <definedName name="__shared_26_7_0" localSheetId="9">SUM("a1"*"c1")</definedName>
    <definedName name="__shared_26_7_0">SUM("a1"*"c1")</definedName>
    <definedName name="__shared_26_8_0" localSheetId="3">SUM("a1"*"c1")</definedName>
    <definedName name="__shared_26_8_0" localSheetId="9">SUM("a1"*"c1")</definedName>
    <definedName name="__shared_26_8_0">SUM("a1"*"c1")</definedName>
    <definedName name="__shared_26_9_0" localSheetId="3">SUM("a1"*"c1")</definedName>
    <definedName name="__shared_26_9_0" localSheetId="9">SUM("a1"*"c1")</definedName>
    <definedName name="__shared_26_9_0">SUM("a1"*"c1")</definedName>
    <definedName name="__shared_28_0_0" localSheetId="3">SUM("a1"*"c1")</definedName>
    <definedName name="__shared_28_0_0" localSheetId="9">SUM("a1"*"c1")</definedName>
    <definedName name="__shared_28_0_0">SUM("a1"*"c1")</definedName>
    <definedName name="__shared_28_1_0" localSheetId="3">SUM("a1"*"c1")</definedName>
    <definedName name="__shared_28_1_0" localSheetId="9">SUM("a1"*"c1")</definedName>
    <definedName name="__shared_28_1_0">SUM("a1"*"c1")</definedName>
    <definedName name="__shared_28_10_0" localSheetId="3">SUM("a1"*"c1")</definedName>
    <definedName name="__shared_28_10_0" localSheetId="9">SUM("a1"*"c1")</definedName>
    <definedName name="__shared_28_10_0">SUM("a1"*"c1")</definedName>
    <definedName name="__shared_28_11_0" localSheetId="3">SUM("a1"*"c1")</definedName>
    <definedName name="__shared_28_11_0" localSheetId="9">SUM("a1"*"c1")</definedName>
    <definedName name="__shared_28_11_0">SUM("a1"*"c1")</definedName>
    <definedName name="__shared_28_12_0" localSheetId="3">SUM("a1"*"c1")</definedName>
    <definedName name="__shared_28_12_0" localSheetId="9">SUM("a1"*"c1")</definedName>
    <definedName name="__shared_28_12_0">SUM("a1"*"c1")</definedName>
    <definedName name="__shared_28_2_0" localSheetId="3">SUM("a1"*"c1")</definedName>
    <definedName name="__shared_28_2_0" localSheetId="9">SUM("a1"*"c1")</definedName>
    <definedName name="__shared_28_2_0">SUM("a1"*"c1")</definedName>
    <definedName name="__shared_28_3_0" localSheetId="3">SUM("a1"*"c1")</definedName>
    <definedName name="__shared_28_3_0" localSheetId="9">SUM("a1"*"c1")</definedName>
    <definedName name="__shared_28_3_0">SUM("a1"*"c1")</definedName>
    <definedName name="__shared_28_4_0" localSheetId="3">SUM("a1"*"c1")</definedName>
    <definedName name="__shared_28_4_0" localSheetId="9">SUM("a1"*"c1")</definedName>
    <definedName name="__shared_28_4_0">SUM("a1"*"c1")</definedName>
    <definedName name="__shared_28_5_0" localSheetId="3">SUM("a1"*"c1")</definedName>
    <definedName name="__shared_28_5_0" localSheetId="9">SUM("a1"*"c1")</definedName>
    <definedName name="__shared_28_5_0">SUM("a1"*"c1")</definedName>
    <definedName name="__shared_28_6_0" localSheetId="3">SUM("a1"*"c1")</definedName>
    <definedName name="__shared_28_6_0" localSheetId="9">SUM("a1"*"c1")</definedName>
    <definedName name="__shared_28_6_0">SUM("a1"*"c1")</definedName>
    <definedName name="__shared_28_7_0" localSheetId="3">SUM("a1"*"c1")</definedName>
    <definedName name="__shared_28_7_0" localSheetId="9">SUM("a1"*"c1")</definedName>
    <definedName name="__shared_28_7_0">SUM("a1"*"c1")</definedName>
    <definedName name="__shared_28_8_0" localSheetId="3">SUM("a1"*"c1")</definedName>
    <definedName name="__shared_28_8_0" localSheetId="9">SUM("a1"*"c1")</definedName>
    <definedName name="__shared_28_8_0">SUM("a1"*"c1")</definedName>
    <definedName name="__shared_28_9_0" localSheetId="3">SUM("a1"*"c1")</definedName>
    <definedName name="__shared_28_9_0" localSheetId="9">SUM("a1"*"c1")</definedName>
    <definedName name="__shared_28_9_0">SUM("a1"*"c1")</definedName>
    <definedName name="__shared_30_0_0" localSheetId="3">SUM("a1"*"c1")</definedName>
    <definedName name="__shared_30_0_0" localSheetId="9">SUM("a1"*"c1")</definedName>
    <definedName name="__shared_30_0_0">SUM("a1"*"c1")</definedName>
    <definedName name="__shared_30_1_0" localSheetId="3">SUM("a1"*"c1")</definedName>
    <definedName name="__shared_30_1_0" localSheetId="9">SUM("a1"*"c1")</definedName>
    <definedName name="__shared_30_1_0">SUM("a1"*"c1")</definedName>
    <definedName name="__shared_30_10_0" localSheetId="3">SUM("a1"*"c1")</definedName>
    <definedName name="__shared_30_10_0" localSheetId="9">SUM("a1"*"c1")</definedName>
    <definedName name="__shared_30_10_0">SUM("a1"*"c1")</definedName>
    <definedName name="__shared_30_2_0" localSheetId="3">SUM("a1"*"c1")</definedName>
    <definedName name="__shared_30_2_0" localSheetId="9">SUM("a1"*"c1")</definedName>
    <definedName name="__shared_30_2_0">SUM("a1"*"c1")</definedName>
    <definedName name="__shared_30_3_0" localSheetId="3">SUM("a1"*"c1")</definedName>
    <definedName name="__shared_30_3_0" localSheetId="9">SUM("a1"*"c1")</definedName>
    <definedName name="__shared_30_3_0">SUM("a1"*"c1")</definedName>
    <definedName name="__shared_30_4_0" localSheetId="3">SUM("a1"*"c1")</definedName>
    <definedName name="__shared_30_4_0" localSheetId="9">SUM("a1"*"c1")</definedName>
    <definedName name="__shared_30_4_0">SUM("a1"*"c1")</definedName>
    <definedName name="__shared_30_5_0" localSheetId="3">SUM("a1"*"c1")</definedName>
    <definedName name="__shared_30_5_0" localSheetId="9">SUM("a1"*"c1")</definedName>
    <definedName name="__shared_30_5_0">SUM("a1"*"c1")</definedName>
    <definedName name="__shared_30_6_0" localSheetId="3">SUM("a1"*"c1")</definedName>
    <definedName name="__shared_30_6_0" localSheetId="9">SUM("a1"*"c1")</definedName>
    <definedName name="__shared_30_6_0">SUM("a1"*"c1")</definedName>
    <definedName name="__shared_30_7_0" localSheetId="3">SUM("a1"*"c1")</definedName>
    <definedName name="__shared_30_7_0" localSheetId="9">SUM("a1"*"c1")</definedName>
    <definedName name="__shared_30_7_0">SUM("a1"*"c1")</definedName>
    <definedName name="__shared_30_8_0" localSheetId="3">SUM("a1"*"c1")</definedName>
    <definedName name="__shared_30_8_0" localSheetId="9">SUM("a1"*"c1")</definedName>
    <definedName name="__shared_30_8_0">SUM("a1"*"c1")</definedName>
    <definedName name="__shared_30_9_0" localSheetId="3">SUM("a1"*"c1")</definedName>
    <definedName name="__shared_30_9_0" localSheetId="9">SUM("a1"*"c1")</definedName>
    <definedName name="__shared_30_9_0">SUM("a1"*"c1")</definedName>
    <definedName name="__shared_32_0_0" localSheetId="3">SUM("a1"*"c1")</definedName>
    <definedName name="__shared_32_0_0" localSheetId="9">SUM("a1"*"c1")</definedName>
    <definedName name="__shared_32_0_0">SUM("a1"*"c1")</definedName>
    <definedName name="__shared_32_1_0" localSheetId="3">SUM("a1"*"c1")</definedName>
    <definedName name="__shared_32_1_0" localSheetId="9">SUM("a1"*"c1")</definedName>
    <definedName name="__shared_32_1_0">SUM("a1"*"c1")</definedName>
    <definedName name="__shared_32_10_0" localSheetId="3">SUM("a1"*"c1")</definedName>
    <definedName name="__shared_32_10_0" localSheetId="9">SUM("a1"*"c1")</definedName>
    <definedName name="__shared_32_10_0">SUM("a1"*"c1")</definedName>
    <definedName name="__shared_32_2_0" localSheetId="3">SUM("a1"*"c1")</definedName>
    <definedName name="__shared_32_2_0" localSheetId="9">SUM("a1"*"c1")</definedName>
    <definedName name="__shared_32_2_0">SUM("a1"*"c1")</definedName>
    <definedName name="__shared_32_3_0" localSheetId="3">SUM("a1"*"c1")</definedName>
    <definedName name="__shared_32_3_0" localSheetId="9">SUM("a1"*"c1")</definedName>
    <definedName name="__shared_32_3_0">SUM("a1"*"c1")</definedName>
    <definedName name="__shared_32_4_0" localSheetId="3">SUM("a1"*"c1")</definedName>
    <definedName name="__shared_32_4_0" localSheetId="9">SUM("a1"*"c1")</definedName>
    <definedName name="__shared_32_4_0">SUM("a1"*"c1")</definedName>
    <definedName name="__shared_32_5_0" localSheetId="3">SUM("a1"*"c1")</definedName>
    <definedName name="__shared_32_5_0" localSheetId="9">SUM("a1"*"c1")</definedName>
    <definedName name="__shared_32_5_0">SUM("a1"*"c1")</definedName>
    <definedName name="__shared_32_6_0" localSheetId="3">SUM("a1"*"c1")</definedName>
    <definedName name="__shared_32_6_0" localSheetId="9">SUM("a1"*"c1")</definedName>
    <definedName name="__shared_32_6_0">SUM("a1"*"c1")</definedName>
    <definedName name="__shared_32_7_0" localSheetId="3">SUM("a1"*"c1")</definedName>
    <definedName name="__shared_32_7_0" localSheetId="9">SUM("a1"*"c1")</definedName>
    <definedName name="__shared_32_7_0">SUM("a1"*"c1")</definedName>
    <definedName name="__shared_32_8_0" localSheetId="3">SUM("a1"*"c1")</definedName>
    <definedName name="__shared_32_8_0" localSheetId="9">SUM("a1"*"c1")</definedName>
    <definedName name="__shared_32_8_0">SUM("a1"*"c1")</definedName>
    <definedName name="__shared_32_9_0" localSheetId="3">SUM("a1"*"c1")</definedName>
    <definedName name="__shared_32_9_0" localSheetId="9">SUM("a1"*"c1")</definedName>
    <definedName name="__shared_32_9_0">SUM("a1"*"c1")</definedName>
    <definedName name="__shared_34_0_0" localSheetId="3">SUM("a1"*"c1")</definedName>
    <definedName name="__shared_34_0_0" localSheetId="9">SUM("a1"*"c1")</definedName>
    <definedName name="__shared_34_0_0">SUM("a1"*"c1")</definedName>
    <definedName name="__shared_34_1_0" localSheetId="3">SUM("a1"*"c1")</definedName>
    <definedName name="__shared_34_1_0" localSheetId="9">SUM("a1"*"c1")</definedName>
    <definedName name="__shared_34_1_0">SUM("a1"*"c1")</definedName>
    <definedName name="__shared_34_2_0" localSheetId="3">SUM("a1"*"c1")</definedName>
    <definedName name="__shared_34_2_0" localSheetId="9">SUM("a1"*"c1")</definedName>
    <definedName name="__shared_34_2_0">SUM("a1"*"c1")</definedName>
    <definedName name="__shared_34_3_0" localSheetId="3">SUM("a1"*"c1")</definedName>
    <definedName name="__shared_34_3_0" localSheetId="9">SUM("a1"*"c1")</definedName>
    <definedName name="__shared_34_3_0">SUM("a1"*"c1")</definedName>
    <definedName name="__shared_34_4_0" localSheetId="3">SUM("a1"*"c1")</definedName>
    <definedName name="__shared_34_4_0" localSheetId="9">SUM("a1"*"c1")</definedName>
    <definedName name="__shared_34_4_0">SUM("a1"*"c1")</definedName>
    <definedName name="__shared_34_5_0" localSheetId="3">SUM("a1"*"c1")</definedName>
    <definedName name="__shared_34_5_0" localSheetId="9">SUM("a1"*"c1")</definedName>
    <definedName name="__shared_34_5_0">SUM("a1"*"c1")</definedName>
    <definedName name="__shared_34_6_0" localSheetId="3">SUM("a1"*"c1")</definedName>
    <definedName name="__shared_34_6_0" localSheetId="9">SUM("a1"*"c1")</definedName>
    <definedName name="__shared_34_6_0">SUM("a1"*"c1")</definedName>
    <definedName name="__shared_34_7_0" localSheetId="3">SUM("a1"*"c1")</definedName>
    <definedName name="__shared_34_7_0" localSheetId="9">SUM("a1"*"c1")</definedName>
    <definedName name="__shared_34_7_0">SUM("a1"*"c1")</definedName>
    <definedName name="__shared_34_8_0" localSheetId="3">SUM("a1"*"c1")</definedName>
    <definedName name="__shared_34_8_0" localSheetId="9">SUM("a1"*"c1")</definedName>
    <definedName name="__shared_34_8_0">SUM("a1"*"c1")</definedName>
    <definedName name="__shared_40_0_0">"a1"*"g1"</definedName>
    <definedName name="__shared_40_1_0">"a1"*"g1"</definedName>
    <definedName name="__shared_40_10_0">"a1"*"g1"</definedName>
    <definedName name="__shared_40_11_0">"a1"*"g1"</definedName>
    <definedName name="__shared_40_12_0">"a1"*"g1"</definedName>
    <definedName name="__shared_40_13_0">"a1"*"g1"</definedName>
    <definedName name="__shared_40_14_0">"a1"*"g1"</definedName>
    <definedName name="__shared_40_15_0">"a1"*"g1"</definedName>
    <definedName name="__shared_40_16_0">"a1"*"g1"</definedName>
    <definedName name="__shared_40_17_0">"a1"*"g1"</definedName>
    <definedName name="__shared_40_18_0">"a1"*"g1"</definedName>
    <definedName name="__shared_40_19_0">"a1"*"g1"</definedName>
    <definedName name="__shared_40_2_0">"a1"*"g1"</definedName>
    <definedName name="__shared_40_20_0">"a1"*"g1"</definedName>
    <definedName name="__shared_40_21_0">"a1"*"g1"</definedName>
    <definedName name="__shared_40_22_0">"a1"*"g1"</definedName>
    <definedName name="__shared_40_23_0">"a1"*"g1"</definedName>
    <definedName name="__shared_40_24_0">"a1"*"g1"</definedName>
    <definedName name="__shared_40_25_0">"a1"*"g1"</definedName>
    <definedName name="__shared_40_26_0">"a1"*"g1"</definedName>
    <definedName name="__shared_40_27_0">"a1"*"g1"</definedName>
    <definedName name="__shared_40_28_0">"a1"*"g1"</definedName>
    <definedName name="__shared_40_29_0">"a1"*"g1"</definedName>
    <definedName name="__shared_40_3_0">"a1"*"g1"</definedName>
    <definedName name="__shared_40_30_0">"a1"*"g1"</definedName>
    <definedName name="__shared_40_31_0">"a1"*"g1"</definedName>
    <definedName name="__shared_40_32_0">"a1"*"g1"</definedName>
    <definedName name="__shared_40_33_0">"a1"*"g1"</definedName>
    <definedName name="__shared_40_34_0">"a1"*"g1"</definedName>
    <definedName name="__shared_40_35_0">"a1"*"g1"</definedName>
    <definedName name="__shared_40_36_0">"a1"*"g1"</definedName>
    <definedName name="__shared_40_37_0">"a1"*"g1"</definedName>
    <definedName name="__shared_40_38_0">"a1"*"g1"</definedName>
    <definedName name="__shared_40_39_0">"a1"*"g1"</definedName>
    <definedName name="__shared_40_4_0">"a1"*"g1"</definedName>
    <definedName name="__shared_40_40_0">"a1"*"g1"</definedName>
    <definedName name="__shared_40_41_0">"a1"*"g1"</definedName>
    <definedName name="__shared_40_42_0">"a1"*"g1"</definedName>
    <definedName name="__shared_40_43_0">"a1"*"g1"</definedName>
    <definedName name="__shared_40_44_0">"a1"*"g1"</definedName>
    <definedName name="__shared_40_45_0">"a1"*"g1"</definedName>
    <definedName name="__shared_40_46_0">"a1"*"g1"</definedName>
    <definedName name="__shared_40_47_0">"a1"*"g1"</definedName>
    <definedName name="__shared_40_48_0">"a1"*"g1"</definedName>
    <definedName name="__shared_40_49_0">"a1"*"g1"</definedName>
    <definedName name="__shared_40_5_0">"a1"*"g1"</definedName>
    <definedName name="__shared_40_50_0">"a1"*"g1"</definedName>
    <definedName name="__shared_40_51_0" localSheetId="3">SUM("a1"*"g1")</definedName>
    <definedName name="__shared_40_51_0" localSheetId="9">SUM("a1"*"g1")</definedName>
    <definedName name="__shared_40_51_0">SUM("a1"*"g1")</definedName>
    <definedName name="__shared_40_52_0">"a1"*"g1"</definedName>
    <definedName name="__shared_40_53_0">"a1"*"g1"</definedName>
    <definedName name="__shared_40_54_0">"a1"*"g1"</definedName>
    <definedName name="__shared_40_55_0">"a1"*"g1"</definedName>
    <definedName name="__shared_40_56_0">"a1"</definedName>
    <definedName name="__shared_40_57_0">"a1"</definedName>
    <definedName name="__shared_40_58_0">"a1"</definedName>
    <definedName name="__shared_40_59_0" localSheetId="3">SUM("a1"*"g1")</definedName>
    <definedName name="__shared_40_59_0" localSheetId="9">SUM("a1"*"g1")</definedName>
    <definedName name="__shared_40_59_0">SUM("a1"*"g1")</definedName>
    <definedName name="__shared_40_6_0">"a1"*"g1"</definedName>
    <definedName name="__shared_40_60_0">"a1"</definedName>
    <definedName name="__shared_40_61_0" localSheetId="3">SUM("a1"*"g1")</definedName>
    <definedName name="__shared_40_61_0" localSheetId="9">SUM("a1"*"g1")</definedName>
    <definedName name="__shared_40_61_0">SUM("a1"*"g1")</definedName>
    <definedName name="__shared_40_62_0">"a1"</definedName>
    <definedName name="__shared_40_63_0" localSheetId="3">SUM("a1"*"g1")</definedName>
    <definedName name="__shared_40_63_0" localSheetId="9">SUM("a1"*"g1")</definedName>
    <definedName name="__shared_40_63_0">SUM("a1"*"g1")</definedName>
    <definedName name="__shared_40_7_0">"a1"*"g1"</definedName>
    <definedName name="__shared_40_8_0">"a1"*"g1"</definedName>
    <definedName name="__shared_40_9_0">"a1"*"g1"</definedName>
    <definedName name="__shared_41_0_0">"a1"*"g1"</definedName>
    <definedName name="__shared_41_1_0">"a1"*"g1"</definedName>
    <definedName name="__shared_41_10_0">"a1"*"g1"</definedName>
    <definedName name="__shared_41_11_0">"a1"*"g1"</definedName>
    <definedName name="__shared_41_12_0">"a1"*"g1"</definedName>
    <definedName name="__shared_41_13_0">"a1"*"g1"</definedName>
    <definedName name="__shared_41_14_0">"a1"*"g1"</definedName>
    <definedName name="__shared_41_15_0">"a1"*"g1"</definedName>
    <definedName name="__shared_41_16_0">"a1"*"g1"</definedName>
    <definedName name="__shared_41_17_0">"a1"*"g1"</definedName>
    <definedName name="__shared_41_18_0">"a1"*"g1"</definedName>
    <definedName name="__shared_41_19_0">"a1"*"g1"</definedName>
    <definedName name="__shared_41_2_0">"a1"*"g1"</definedName>
    <definedName name="__shared_41_20_0">"a1"*"g1"</definedName>
    <definedName name="__shared_41_21_0">"a1"*"g1"</definedName>
    <definedName name="__shared_41_22_0">"a1"*"g1"</definedName>
    <definedName name="__shared_41_23_0">"a1"*"g1"</definedName>
    <definedName name="__shared_41_24_0">"a1"*"g1"</definedName>
    <definedName name="__shared_41_25_0">"a1"*"g1"</definedName>
    <definedName name="__shared_41_26_0">"a1"*"g1"</definedName>
    <definedName name="__shared_41_27_0">"a1"*"g1"</definedName>
    <definedName name="__shared_41_28_0">"a1"*"g1"</definedName>
    <definedName name="__shared_41_29_0">"a1"*"g1"</definedName>
    <definedName name="__shared_41_3_0">"a1"*"g1"</definedName>
    <definedName name="__shared_41_30_0">"a1"*"g1"</definedName>
    <definedName name="__shared_41_31_0">"a1"*"g1"</definedName>
    <definedName name="__shared_41_32_0">"a1"*"g1"</definedName>
    <definedName name="__shared_41_33_0">"a1"*"g1"</definedName>
    <definedName name="__shared_41_34_0">"a1"*"g1"</definedName>
    <definedName name="__shared_41_35_0">"a1"*"g1"</definedName>
    <definedName name="__shared_41_36_0">"a1"*"g1"</definedName>
    <definedName name="__shared_41_37_0">"a1"*"g1"</definedName>
    <definedName name="__shared_41_38_0">"a1"*"g1"</definedName>
    <definedName name="__shared_41_39_0">"a1"*"g1"</definedName>
    <definedName name="__shared_41_4_0">"a1"*"g1"</definedName>
    <definedName name="__shared_41_40_0">"a1"*"g1"</definedName>
    <definedName name="__shared_41_41_0">"a1"*"g1"</definedName>
    <definedName name="__shared_41_42_0">"a1"*"g1"</definedName>
    <definedName name="__shared_41_43_0">"a1"*"g1"</definedName>
    <definedName name="__shared_41_44_0">"a1"*"g1"</definedName>
    <definedName name="__shared_41_45_0">"a1"*"g1"</definedName>
    <definedName name="__shared_41_46_0">"a1"*"g1"</definedName>
    <definedName name="__shared_41_47_0" localSheetId="3">SUM("a1"*"g1")</definedName>
    <definedName name="__shared_41_47_0" localSheetId="9">SUM("a1"*"g1")</definedName>
    <definedName name="__shared_41_47_0">SUM("a1"*"g1")</definedName>
    <definedName name="__shared_41_48_0">"a1"*"g1"</definedName>
    <definedName name="__shared_41_49_0">"a1"*"g1"</definedName>
    <definedName name="__shared_41_5_0">"a1"*"g1"</definedName>
    <definedName name="__shared_41_50_0">"a1"*"g1"</definedName>
    <definedName name="__shared_41_51_0">"a1"*"g1"</definedName>
    <definedName name="__shared_41_52_0">"a1"</definedName>
    <definedName name="__shared_41_53_0">"a1"</definedName>
    <definedName name="__shared_41_54_0">"a1"</definedName>
    <definedName name="__shared_41_55_0" localSheetId="3">SUM("a1"*"g1")</definedName>
    <definedName name="__shared_41_55_0" localSheetId="9">SUM("a1"*"g1")</definedName>
    <definedName name="__shared_41_55_0">SUM("a1"*"g1")</definedName>
    <definedName name="__shared_41_56_0">"a1"</definedName>
    <definedName name="__shared_41_57_0" localSheetId="3">SUM("a1"*"g1")</definedName>
    <definedName name="__shared_41_57_0" localSheetId="9">SUM("a1"*"g1")</definedName>
    <definedName name="__shared_41_57_0">SUM("a1"*"g1")</definedName>
    <definedName name="__shared_41_58_0">"a1"</definedName>
    <definedName name="__shared_41_59_0" localSheetId="3">SUM("a1"*"g1")</definedName>
    <definedName name="__shared_41_59_0" localSheetId="9">SUM("a1"*"g1")</definedName>
    <definedName name="__shared_41_59_0">SUM("a1"*"g1")</definedName>
    <definedName name="__shared_41_6_0">"a1"*"g1"</definedName>
    <definedName name="__shared_41_7_0">"a1"*"g1"</definedName>
    <definedName name="__shared_41_8_0">"a1"*"g1"</definedName>
    <definedName name="__shared_41_9_0">"a1"*"g1"</definedName>
    <definedName name="__shared_42_0_0" localSheetId="3">SUM("a1"*"c1")</definedName>
    <definedName name="__shared_42_0_0" localSheetId="9">SUM("a1"*"c1")</definedName>
    <definedName name="__shared_42_0_0">SUM("a1"*"c1")</definedName>
    <definedName name="__shared_42_1_0" localSheetId="3">SUM("a1"*"c1")</definedName>
    <definedName name="__shared_42_1_0" localSheetId="9">SUM("a1"*"c1")</definedName>
    <definedName name="__shared_42_1_0">SUM("a1"*"c1")</definedName>
    <definedName name="__shared_42_2_0" localSheetId="3">SUM("a1"*"c1")</definedName>
    <definedName name="__shared_42_2_0" localSheetId="9">SUM("a1"*"c1")</definedName>
    <definedName name="__shared_42_2_0">SUM("a1"*"c1")</definedName>
    <definedName name="__shared_42_3_0" localSheetId="3">SUM("a1"*"c1")</definedName>
    <definedName name="__shared_42_3_0" localSheetId="9">SUM("a1"*"c1")</definedName>
    <definedName name="__shared_42_3_0">SUM("a1"*"c1")</definedName>
    <definedName name="__shared_42_4_0" localSheetId="3">SUM("a1"*"c1")</definedName>
    <definedName name="__shared_42_4_0" localSheetId="9">SUM("a1"*"c1")</definedName>
    <definedName name="__shared_42_4_0">SUM("a1"*"c1")</definedName>
    <definedName name="__shared_42_5_0" localSheetId="3">SUM("a1"*"c1")</definedName>
    <definedName name="__shared_42_5_0" localSheetId="9">SUM("a1"*"c1")</definedName>
    <definedName name="__shared_42_5_0">SUM("a1"*"c1")</definedName>
    <definedName name="__shared_42_6_0" localSheetId="3">SUM("a1"*"c1")</definedName>
    <definedName name="__shared_42_6_0" localSheetId="9">SUM("a1"*"c1")</definedName>
    <definedName name="__shared_42_6_0">SUM("a1"*"c1")</definedName>
    <definedName name="__shared_42_7_0" localSheetId="3">SUM("a1"*"c1")</definedName>
    <definedName name="__shared_42_7_0" localSheetId="9">SUM("a1"*"c1")</definedName>
    <definedName name="__shared_42_7_0">SUM("a1"*"c1")</definedName>
    <definedName name="__shared_42_8_0" localSheetId="3">SUM("a1"*"c1")</definedName>
    <definedName name="__shared_42_8_0" localSheetId="9">SUM("a1"*"c1")</definedName>
    <definedName name="__shared_42_8_0">SUM("a1"*"c1")</definedName>
    <definedName name="__shared_44_0_0" localSheetId="3">SUM("a1"*"c1")</definedName>
    <definedName name="__shared_44_0_0" localSheetId="9">SUM("a1"*"c1")</definedName>
    <definedName name="__shared_44_0_0">SUM("a1"*"c1")</definedName>
    <definedName name="__shared_44_1_0" localSheetId="3">SUM("a1"*"c1")</definedName>
    <definedName name="__shared_44_1_0" localSheetId="9">SUM("a1"*"c1")</definedName>
    <definedName name="__shared_44_1_0">SUM("a1"*"c1")</definedName>
    <definedName name="__shared_44_2_0" localSheetId="3">SUM("a1"*"c1")</definedName>
    <definedName name="__shared_44_2_0" localSheetId="9">SUM("a1"*"c1")</definedName>
    <definedName name="__shared_44_2_0">SUM("a1"*"c1")</definedName>
    <definedName name="__shared_44_3_0" localSheetId="3">SUM("a1"*"c1")</definedName>
    <definedName name="__shared_44_3_0" localSheetId="9">SUM("a1"*"c1")</definedName>
    <definedName name="__shared_44_3_0">SUM("a1"*"c1")</definedName>
    <definedName name="__shared_44_4_0" localSheetId="3">SUM("a1"*"c1")</definedName>
    <definedName name="__shared_44_4_0" localSheetId="9">SUM("a1"*"c1")</definedName>
    <definedName name="__shared_44_4_0">SUM("a1"*"c1")</definedName>
    <definedName name="__shared_44_5_0" localSheetId="3">SUM("a1"*"c1")</definedName>
    <definedName name="__shared_44_5_0" localSheetId="9">SUM("a1"*"c1")</definedName>
    <definedName name="__shared_44_5_0">SUM("a1"*"c1")</definedName>
    <definedName name="__shared_44_6_0" localSheetId="3">SUM("a1"*"c1")</definedName>
    <definedName name="__shared_44_6_0" localSheetId="9">SUM("a1"*"c1")</definedName>
    <definedName name="__shared_44_6_0">SUM("a1"*"c1")</definedName>
    <definedName name="__shared_44_7_0" localSheetId="3">SUM("a1"*"c1")</definedName>
    <definedName name="__shared_44_7_0" localSheetId="9">SUM("a1"*"c1")</definedName>
    <definedName name="__shared_44_7_0">SUM("a1"*"c1")</definedName>
    <definedName name="__shared_44_8_0" localSheetId="3">SUM("a1"*"c1")</definedName>
    <definedName name="__shared_44_8_0" localSheetId="9">SUM("a1"*"c1")</definedName>
    <definedName name="__shared_44_8_0">SUM("a1"*"c1")</definedName>
    <definedName name="__shared_45_0_0" localSheetId="3">SUM("a1"*"c1")</definedName>
    <definedName name="__shared_45_0_0" localSheetId="9">SUM("a1"*"c1")</definedName>
    <definedName name="__shared_45_0_0">SUM("a1"*"c1")</definedName>
    <definedName name="__shared_45_1_0" localSheetId="3">SUM("a1"*"c1")</definedName>
    <definedName name="__shared_45_1_0" localSheetId="9">SUM("a1"*"c1")</definedName>
    <definedName name="__shared_45_1_0">SUM("a1"*"c1")</definedName>
    <definedName name="__shared_45_2_0" localSheetId="3">SUM("a1"*"c1")</definedName>
    <definedName name="__shared_45_2_0" localSheetId="9">SUM("a1"*"c1")</definedName>
    <definedName name="__shared_45_2_0">SUM("a1"*"c1")</definedName>
    <definedName name="__shared_45_3_0" localSheetId="3">SUM("a1"*"c1")</definedName>
    <definedName name="__shared_45_3_0" localSheetId="9">SUM("a1"*"c1")</definedName>
    <definedName name="__shared_45_3_0">SUM("a1"*"c1")</definedName>
    <definedName name="__shared_45_4_0" localSheetId="3">SUM("a1"*"c1")</definedName>
    <definedName name="__shared_45_4_0" localSheetId="9">SUM("a1"*"c1")</definedName>
    <definedName name="__shared_45_4_0">SUM("a1"*"c1")</definedName>
    <definedName name="__shared_45_5_0" localSheetId="3">SUM("a1"*"c1")</definedName>
    <definedName name="__shared_45_5_0" localSheetId="9">SUM("a1"*"c1")</definedName>
    <definedName name="__shared_45_5_0">SUM("a1"*"c1")</definedName>
    <definedName name="__shared_45_6_0" localSheetId="3">SUM("a1"*"c1")</definedName>
    <definedName name="__shared_45_6_0" localSheetId="9">SUM("a1"*"c1")</definedName>
    <definedName name="__shared_45_6_0">SUM("a1"*"c1")</definedName>
    <definedName name="__shared_45_7_0" localSheetId="3">SUM("a1"*"c1")</definedName>
    <definedName name="__shared_45_7_0" localSheetId="9">SUM("a1"*"c1")</definedName>
    <definedName name="__shared_45_7_0">SUM("a1"*"c1")</definedName>
    <definedName name="__shared_47_0_0" localSheetId="3">SUM("a1"*"c1")</definedName>
    <definedName name="__shared_47_0_0" localSheetId="9">SUM("a1"*"c1")</definedName>
    <definedName name="__shared_47_0_0">SUM("a1"*"c1")</definedName>
    <definedName name="__shared_47_1_0" localSheetId="3">SUM("a1"*"c1")</definedName>
    <definedName name="__shared_47_1_0" localSheetId="9">SUM("a1"*"c1")</definedName>
    <definedName name="__shared_47_1_0">SUM("a1"*"c1")</definedName>
    <definedName name="__shared_47_10_0" localSheetId="3">SUM("a1"*"c1")</definedName>
    <definedName name="__shared_47_10_0" localSheetId="9">SUM("a1"*"c1")</definedName>
    <definedName name="__shared_47_10_0">SUM("a1"*"c1")</definedName>
    <definedName name="__shared_47_11_0" localSheetId="3">SUM("a1"*"c1")</definedName>
    <definedName name="__shared_47_11_0" localSheetId="9">SUM("a1"*"c1")</definedName>
    <definedName name="__shared_47_11_0">SUM("a1"*"c1")</definedName>
    <definedName name="__shared_47_12_0" localSheetId="3">SUM("a1"*"c1")</definedName>
    <definedName name="__shared_47_12_0" localSheetId="9">SUM("a1"*"c1")</definedName>
    <definedName name="__shared_47_12_0">SUM("a1"*"c1")</definedName>
    <definedName name="__shared_47_13_0" localSheetId="3">SUM("a1"*"c1")</definedName>
    <definedName name="__shared_47_13_0" localSheetId="9">SUM("a1"*"c1")</definedName>
    <definedName name="__shared_47_13_0">SUM("a1"*"c1")</definedName>
    <definedName name="__shared_47_14_0" localSheetId="3">SUM("a1"*"c1")</definedName>
    <definedName name="__shared_47_14_0" localSheetId="9">SUM("a1"*"c1")</definedName>
    <definedName name="__shared_47_14_0">SUM("a1"*"c1")</definedName>
    <definedName name="__shared_47_15_0" localSheetId="3">SUM("a1"*"c1")</definedName>
    <definedName name="__shared_47_15_0" localSheetId="9">SUM("a1"*"c1")</definedName>
    <definedName name="__shared_47_15_0">SUM("a1"*"c1")</definedName>
    <definedName name="__shared_47_16_0" localSheetId="3">SUM("a1"*"c1")</definedName>
    <definedName name="__shared_47_16_0" localSheetId="9">SUM("a1"*"c1")</definedName>
    <definedName name="__shared_47_16_0">SUM("a1"*"c1")</definedName>
    <definedName name="__shared_47_17_0" localSheetId="3">SUM("a1"*"c1")</definedName>
    <definedName name="__shared_47_17_0" localSheetId="9">SUM("a1"*"c1")</definedName>
    <definedName name="__shared_47_17_0">SUM("a1"*"c1")</definedName>
    <definedName name="__shared_47_18_0" localSheetId="3">SUM("a1"*"c1")</definedName>
    <definedName name="__shared_47_18_0" localSheetId="9">SUM("a1"*"c1")</definedName>
    <definedName name="__shared_47_18_0">SUM("a1"*"c1")</definedName>
    <definedName name="__shared_47_19_0" localSheetId="3">SUM("a1"*"c1")</definedName>
    <definedName name="__shared_47_19_0" localSheetId="9">SUM("a1"*"c1")</definedName>
    <definedName name="__shared_47_19_0">SUM("a1"*"c1")</definedName>
    <definedName name="__shared_47_2_0" localSheetId="3">SUM("a1"*"c1")</definedName>
    <definedName name="__shared_47_2_0" localSheetId="9">SUM("a1"*"c1")</definedName>
    <definedName name="__shared_47_2_0">SUM("a1"*"c1")</definedName>
    <definedName name="__shared_47_20_0" localSheetId="3">SUM("a1"*"c1")</definedName>
    <definedName name="__shared_47_20_0" localSheetId="9">SUM("a1"*"c1")</definedName>
    <definedName name="__shared_47_20_0">SUM("a1"*"c1")</definedName>
    <definedName name="__shared_47_21_0" localSheetId="3">SUM("a1"*"c1")</definedName>
    <definedName name="__shared_47_21_0" localSheetId="9">SUM("a1"*"c1")</definedName>
    <definedName name="__shared_47_21_0">SUM("a1"*"c1")</definedName>
    <definedName name="__shared_47_22_0" localSheetId="3">SUM("a1"*"c1")</definedName>
    <definedName name="__shared_47_22_0" localSheetId="9">SUM("a1"*"c1")</definedName>
    <definedName name="__shared_47_22_0">SUM("a1"*"c1")</definedName>
    <definedName name="__shared_47_23_0" localSheetId="3">SUM("a1"*"c1")</definedName>
    <definedName name="__shared_47_23_0" localSheetId="9">SUM("a1"*"c1")</definedName>
    <definedName name="__shared_47_23_0">SUM("a1"*"c1")</definedName>
    <definedName name="__shared_47_24_0" localSheetId="3">SUM("a1"*"c1")</definedName>
    <definedName name="__shared_47_24_0" localSheetId="9">SUM("a1"*"c1")</definedName>
    <definedName name="__shared_47_24_0">SUM("a1"*"c1")</definedName>
    <definedName name="__shared_47_25_0" localSheetId="3">SUM("a1"*"c1")</definedName>
    <definedName name="__shared_47_25_0" localSheetId="9">SUM("a1"*"c1")</definedName>
    <definedName name="__shared_47_25_0">SUM("a1"*"c1")</definedName>
    <definedName name="__shared_47_26_0" localSheetId="3">SUM("a1"*"c1")</definedName>
    <definedName name="__shared_47_26_0" localSheetId="9">SUM("a1"*"c1")</definedName>
    <definedName name="__shared_47_26_0">SUM("a1"*"c1")</definedName>
    <definedName name="__shared_47_27_0" localSheetId="3">SUM("a1"*"c1")</definedName>
    <definedName name="__shared_47_27_0" localSheetId="9">SUM("a1"*"c1")</definedName>
    <definedName name="__shared_47_27_0">SUM("a1"*"c1")</definedName>
    <definedName name="__shared_47_3_0" localSheetId="3">SUM("a1"*"c1")</definedName>
    <definedName name="__shared_47_3_0" localSheetId="9">SUM("a1"*"c1")</definedName>
    <definedName name="__shared_47_3_0">SUM("a1"*"c1")</definedName>
    <definedName name="__shared_47_4_0" localSheetId="3">SUM("a1"*"c1")</definedName>
    <definedName name="__shared_47_4_0" localSheetId="9">SUM("a1"*"c1")</definedName>
    <definedName name="__shared_47_4_0">SUM("a1"*"c1")</definedName>
    <definedName name="__shared_47_5_0" localSheetId="3">SUM("a1"*"c1")</definedName>
    <definedName name="__shared_47_5_0" localSheetId="9">SUM("a1"*"c1")</definedName>
    <definedName name="__shared_47_5_0">SUM("a1"*"c1")</definedName>
    <definedName name="__shared_47_6_0" localSheetId="3">SUM("a1"*"c1")</definedName>
    <definedName name="__shared_47_6_0" localSheetId="9">SUM("a1"*"c1")</definedName>
    <definedName name="__shared_47_6_0">SUM("a1"*"c1")</definedName>
    <definedName name="__shared_47_7_0" localSheetId="3">SUM("a1"*"c1")</definedName>
    <definedName name="__shared_47_7_0" localSheetId="9">SUM("a1"*"c1")</definedName>
    <definedName name="__shared_47_7_0">SUM("a1"*"c1")</definedName>
    <definedName name="__shared_47_8_0" localSheetId="3">SUM("a1"*"c1")</definedName>
    <definedName name="__shared_47_8_0" localSheetId="9">SUM("a1"*"c1")</definedName>
    <definedName name="__shared_47_8_0">SUM("a1"*"c1")</definedName>
    <definedName name="__shared_47_9_0" localSheetId="3">SUM("a1"*"c1")</definedName>
    <definedName name="__shared_47_9_0" localSheetId="9">SUM("a1"*"c1")</definedName>
    <definedName name="__shared_47_9_0">SUM("a1"*"c1")</definedName>
    <definedName name="__shared_49_0_0">"c1"*"a1"</definedName>
    <definedName name="__shared_49_1_0" localSheetId="3">SUM("a1"*"c1")</definedName>
    <definedName name="__shared_49_1_0" localSheetId="9">SUM("a1"*"c1")</definedName>
    <definedName name="__shared_49_1_0">SUM("a1"*"c1")</definedName>
    <definedName name="__shared_49_10_0" localSheetId="3">SUM("a1"*"c1")</definedName>
    <definedName name="__shared_49_10_0" localSheetId="9">SUM("a1"*"c1")</definedName>
    <definedName name="__shared_49_10_0">SUM("a1"*"c1")</definedName>
    <definedName name="__shared_49_11_0" localSheetId="3">SUM("a1"*"c1")</definedName>
    <definedName name="__shared_49_11_0" localSheetId="9">SUM("a1"*"c1")</definedName>
    <definedName name="__shared_49_11_0">SUM("a1"*"c1")</definedName>
    <definedName name="__shared_49_12_0" localSheetId="3">SUM("a1"*"c1")</definedName>
    <definedName name="__shared_49_12_0" localSheetId="9">SUM("a1"*"c1")</definedName>
    <definedName name="__shared_49_12_0">SUM("a1"*"c1")</definedName>
    <definedName name="__shared_49_13_0">"c1"*"a1"</definedName>
    <definedName name="__shared_49_14_0">"c1"*"a1"</definedName>
    <definedName name="__shared_49_15_0" localSheetId="3">SUM("a1"*"c1")</definedName>
    <definedName name="__shared_49_15_0" localSheetId="9">SUM("a1"*"c1")</definedName>
    <definedName name="__shared_49_15_0">SUM("a1"*"c1")</definedName>
    <definedName name="__shared_49_16_0" localSheetId="3">SUM("a1"*"c1")</definedName>
    <definedName name="__shared_49_16_0" localSheetId="9">SUM("a1"*"c1")</definedName>
    <definedName name="__shared_49_16_0">SUM("a1"*"c1")</definedName>
    <definedName name="__shared_49_17_0" localSheetId="3">SUM("a1"*"c1")</definedName>
    <definedName name="__shared_49_17_0" localSheetId="9">SUM("a1"*"c1")</definedName>
    <definedName name="__shared_49_17_0">SUM("a1"*"c1")</definedName>
    <definedName name="__shared_49_18_0" localSheetId="3">SUM("a1"*"c1")</definedName>
    <definedName name="__shared_49_18_0" localSheetId="9">SUM("a1"*"c1")</definedName>
    <definedName name="__shared_49_18_0">SUM("a1"*"c1")</definedName>
    <definedName name="__shared_49_19_0" localSheetId="3">SUM("a1"*"c1")</definedName>
    <definedName name="__shared_49_19_0" localSheetId="9">SUM("a1"*"c1")</definedName>
    <definedName name="__shared_49_19_0">SUM("a1"*"c1")</definedName>
    <definedName name="__shared_49_2_0">"c1"*"a1"</definedName>
    <definedName name="__shared_49_20_0" localSheetId="3">SUM("a1"*"c1")</definedName>
    <definedName name="__shared_49_20_0" localSheetId="9">SUM("a1"*"c1")</definedName>
    <definedName name="__shared_49_20_0">SUM("a1"*"c1")</definedName>
    <definedName name="__shared_49_21_0" localSheetId="3">SUM("a1"*"c1")</definedName>
    <definedName name="__shared_49_21_0" localSheetId="9">SUM("a1"*"c1")</definedName>
    <definedName name="__shared_49_21_0">SUM("a1"*"c1")</definedName>
    <definedName name="__shared_49_22_0" localSheetId="3">SUM("a1"*"c1")</definedName>
    <definedName name="__shared_49_22_0" localSheetId="9">SUM("a1"*"c1")</definedName>
    <definedName name="__shared_49_22_0">SUM("a1"*"c1")</definedName>
    <definedName name="__shared_49_23_0" localSheetId="3">SUM("a1"*"c1")</definedName>
    <definedName name="__shared_49_23_0" localSheetId="9">SUM("a1"*"c1")</definedName>
    <definedName name="__shared_49_23_0">SUM("a1"*"c1")</definedName>
    <definedName name="__shared_49_24_0" localSheetId="3">SUM("a1"*"c1")</definedName>
    <definedName name="__shared_49_24_0" localSheetId="9">SUM("a1"*"c1")</definedName>
    <definedName name="__shared_49_24_0">SUM("a1"*"c1")</definedName>
    <definedName name="__shared_49_25_0">"c1"*"a1"</definedName>
    <definedName name="__shared_49_26_0">"c1"*"a1"</definedName>
    <definedName name="__shared_49_27_0" localSheetId="3">SUM("a1"*"c1")</definedName>
    <definedName name="__shared_49_27_0" localSheetId="9">SUM("a1"*"c1")</definedName>
    <definedName name="__shared_49_27_0">SUM("a1"*"c1")</definedName>
    <definedName name="__shared_49_3_0" localSheetId="3">SUM("a1"*"c1")</definedName>
    <definedName name="__shared_49_3_0" localSheetId="9">SUM("a1"*"c1")</definedName>
    <definedName name="__shared_49_3_0">SUM("a1"*"c1")</definedName>
    <definedName name="__shared_49_4_0" localSheetId="3">SUM("a1"*"c1")</definedName>
    <definedName name="__shared_49_4_0" localSheetId="9">SUM("a1"*"c1")</definedName>
    <definedName name="__shared_49_4_0">SUM("a1"*"c1")</definedName>
    <definedName name="__shared_49_5_0" localSheetId="3">SUM("a1"*"c1")</definedName>
    <definedName name="__shared_49_5_0" localSheetId="9">SUM("a1"*"c1")</definedName>
    <definedName name="__shared_49_5_0">SUM("a1"*"c1")</definedName>
    <definedName name="__shared_49_6_0" localSheetId="3">SUM("a1"*"c1")</definedName>
    <definedName name="__shared_49_6_0" localSheetId="9">SUM("a1"*"c1")</definedName>
    <definedName name="__shared_49_6_0">SUM("a1"*"c1")</definedName>
    <definedName name="__shared_49_7_0" localSheetId="3">SUM("a1"*"c1")</definedName>
    <definedName name="__shared_49_7_0" localSheetId="9">SUM("a1"*"c1")</definedName>
    <definedName name="__shared_49_7_0">SUM("a1"*"c1")</definedName>
    <definedName name="__shared_49_8_0" localSheetId="3">SUM("a1"*"c1")</definedName>
    <definedName name="__shared_49_8_0" localSheetId="9">SUM("a1"*"c1")</definedName>
    <definedName name="__shared_49_8_0">SUM("a1"*"c1")</definedName>
    <definedName name="__shared_49_9_0" localSheetId="3">SUM("a1"*"c1")</definedName>
    <definedName name="__shared_49_9_0" localSheetId="9">SUM("a1"*"c1")</definedName>
    <definedName name="__shared_49_9_0">SUM("a1"*"c1")</definedName>
    <definedName name="__shared_51_0_0">"c1"*"a1"</definedName>
    <definedName name="__shared_51_1_0">"c1"*"a1"</definedName>
    <definedName name="__shared_51_2_0" localSheetId="3">SUM("a1"*"c1")</definedName>
    <definedName name="__shared_51_2_0" localSheetId="9">SUM("a1"*"c1")</definedName>
    <definedName name="__shared_51_2_0">SUM("a1"*"c1")</definedName>
    <definedName name="__shared_51_3_0">"c1"*"a1"</definedName>
    <definedName name="__shared_51_4_0">"c1"*"a1"</definedName>
    <definedName name="__shared_51_5_0" localSheetId="3">SUM("a1"*"c1")</definedName>
    <definedName name="__shared_51_5_0" localSheetId="9">SUM("a1"*"c1")</definedName>
    <definedName name="__shared_51_5_0">SUM("a1"*"c1")</definedName>
    <definedName name="__shared_51_6_0" localSheetId="3">SUM("a1"*"c1")</definedName>
    <definedName name="__shared_51_6_0" localSheetId="9">SUM("a1"*"c1")</definedName>
    <definedName name="__shared_51_6_0">SUM("a1"*"c1")</definedName>
    <definedName name="__shared_51_7_0" localSheetId="3">SUM("a1"*"c1")</definedName>
    <definedName name="__shared_51_7_0" localSheetId="9">SUM("a1"*"c1")</definedName>
    <definedName name="__shared_51_7_0">SUM("a1"*"c1")</definedName>
    <definedName name="__shared_53_0_0" localSheetId="3">SUM("a1"*"c1")</definedName>
    <definedName name="__shared_53_0_0" localSheetId="9">SUM("a1"*"c1")</definedName>
    <definedName name="__shared_53_0_0">SUM("a1"*"c1")</definedName>
    <definedName name="__shared_53_1_0" localSheetId="3">SUM("a1"*"c1")</definedName>
    <definedName name="__shared_53_1_0" localSheetId="9">SUM("a1"*"c1")</definedName>
    <definedName name="__shared_53_1_0">SUM("a1"*"c1")</definedName>
    <definedName name="__shared_53_2_0" localSheetId="3">SUM("a1"*"c1")</definedName>
    <definedName name="__shared_53_2_0" localSheetId="9">SUM("a1"*"c1")</definedName>
    <definedName name="__shared_53_2_0">SUM("a1"*"c1")</definedName>
    <definedName name="__shared_53_3_0" localSheetId="3">SUM("a1"*"c1")</definedName>
    <definedName name="__shared_53_3_0" localSheetId="9">SUM("a1"*"c1")</definedName>
    <definedName name="__shared_53_3_0">SUM("a1"*"c1")</definedName>
    <definedName name="__shared_53_4_0" localSheetId="3">SUM("a1"*"c1")</definedName>
    <definedName name="__shared_53_4_0" localSheetId="9">SUM("a1"*"c1")</definedName>
    <definedName name="__shared_53_4_0">SUM("a1"*"c1")</definedName>
    <definedName name="__shared_53_5_0" localSheetId="3">SUM("a1"*"c1")</definedName>
    <definedName name="__shared_53_5_0" localSheetId="9">SUM("a1"*"c1")</definedName>
    <definedName name="__shared_53_5_0">SUM("a1"*"c1")</definedName>
    <definedName name="__shared_53_6_0" localSheetId="3">SUM("a1"*"c1")</definedName>
    <definedName name="__shared_53_6_0" localSheetId="9">SUM("a1"*"c1")</definedName>
    <definedName name="__shared_53_6_0">SUM("a1"*"c1")</definedName>
    <definedName name="__shared_53_7_0" localSheetId="3">SUM("a1"*"c1")</definedName>
    <definedName name="__shared_53_7_0" localSheetId="9">SUM("a1"*"c1")</definedName>
    <definedName name="__shared_53_7_0">SUM("a1"*"c1")</definedName>
    <definedName name="__shared_53_8_0" localSheetId="3">SUM("a1"*"c1")</definedName>
    <definedName name="__shared_53_8_0" localSheetId="9">SUM("a1"*"c1")</definedName>
    <definedName name="__shared_53_8_0">SUM("a1"*"c1")</definedName>
    <definedName name="__shared_55_0_0" localSheetId="3">SUM("a1"*"c1")</definedName>
    <definedName name="__shared_55_0_0" localSheetId="9">SUM("a1"*"c1")</definedName>
    <definedName name="__shared_55_0_0">SUM("a1"*"c1")</definedName>
    <definedName name="__shared_55_1_0" localSheetId="3">SUM("a1"*"c1")</definedName>
    <definedName name="__shared_55_1_0" localSheetId="9">SUM("a1"*"c1")</definedName>
    <definedName name="__shared_55_1_0">SUM("a1"*"c1")</definedName>
    <definedName name="__shared_57_0_0" localSheetId="3">SUM("a1"*"c1")</definedName>
    <definedName name="__shared_57_0_0" localSheetId="9">SUM("a1"*"c1")</definedName>
    <definedName name="__shared_57_0_0">SUM("a1"*"c1")</definedName>
    <definedName name="__shared_57_1_0" localSheetId="3">SUM("a1"*"c1")</definedName>
    <definedName name="__shared_57_1_0" localSheetId="9">SUM("a1"*"c1")</definedName>
    <definedName name="__shared_57_1_0">SUM("a1"*"c1")</definedName>
    <definedName name="__shared_57_10_0" localSheetId="3">SUM("a1"*"c1")</definedName>
    <definedName name="__shared_57_10_0" localSheetId="9">SUM("a1"*"c1")</definedName>
    <definedName name="__shared_57_10_0">SUM("a1"*"c1")</definedName>
    <definedName name="__shared_57_11_0" localSheetId="3">SUM("a1"*"c1")</definedName>
    <definedName name="__shared_57_11_0" localSheetId="9">SUM("a1"*"c1")</definedName>
    <definedName name="__shared_57_11_0">SUM("a1"*"c1")</definedName>
    <definedName name="__shared_57_12_0" localSheetId="3">SUM("a1"*"c1")</definedName>
    <definedName name="__shared_57_12_0" localSheetId="9">SUM("a1"*"c1")</definedName>
    <definedName name="__shared_57_12_0">SUM("a1"*"c1")</definedName>
    <definedName name="__shared_57_2_0" localSheetId="3">SUM("a1"*"c1")</definedName>
    <definedName name="__shared_57_2_0" localSheetId="9">SUM("a1"*"c1")</definedName>
    <definedName name="__shared_57_2_0">SUM("a1"*"c1")</definedName>
    <definedName name="__shared_57_3_0" localSheetId="3">SUM("a1"*"c1")</definedName>
    <definedName name="__shared_57_3_0" localSheetId="9">SUM("a1"*"c1")</definedName>
    <definedName name="__shared_57_3_0">SUM("a1"*"c1")</definedName>
    <definedName name="__shared_57_4_0" localSheetId="3">SUM("a1"*"c1")</definedName>
    <definedName name="__shared_57_4_0" localSheetId="9">SUM("a1"*"c1")</definedName>
    <definedName name="__shared_57_4_0">SUM("a1"*"c1")</definedName>
    <definedName name="__shared_57_5_0" localSheetId="3">SUM("a1"*"c1")</definedName>
    <definedName name="__shared_57_5_0" localSheetId="9">SUM("a1"*"c1")</definedName>
    <definedName name="__shared_57_5_0">SUM("a1"*"c1")</definedName>
    <definedName name="__shared_57_6_0" localSheetId="3">SUM("a1"*"c1")</definedName>
    <definedName name="__shared_57_6_0" localSheetId="9">SUM("a1"*"c1")</definedName>
    <definedName name="__shared_57_6_0">SUM("a1"*"c1")</definedName>
    <definedName name="__shared_57_7_0" localSheetId="3">SUM("a1"*"c1")</definedName>
    <definedName name="__shared_57_7_0" localSheetId="9">SUM("a1"*"c1")</definedName>
    <definedName name="__shared_57_7_0">SUM("a1"*"c1")</definedName>
    <definedName name="__shared_57_8_0" localSheetId="3">SUM("a1"*"c1")</definedName>
    <definedName name="__shared_57_8_0" localSheetId="9">SUM("a1"*"c1")</definedName>
    <definedName name="__shared_57_8_0">SUM("a1"*"c1")</definedName>
    <definedName name="__shared_57_9_0" localSheetId="3">SUM("a1"*"c1")</definedName>
    <definedName name="__shared_57_9_0" localSheetId="9">SUM("a1"*"c1")</definedName>
    <definedName name="__shared_57_9_0">SUM("a1"*"c1")</definedName>
    <definedName name="__shared_59_0_0" localSheetId="3">SUM("a1"*"c1")</definedName>
    <definedName name="__shared_59_0_0" localSheetId="9">SUM("a1"*"c1")</definedName>
    <definedName name="__shared_59_0_0">SUM("a1"*"c1")</definedName>
    <definedName name="__shared_59_1_0" localSheetId="3">SUM("a1"*"c1")</definedName>
    <definedName name="__shared_59_1_0" localSheetId="9">SUM("a1"*"c1")</definedName>
    <definedName name="__shared_59_1_0">SUM("a1"*"c1")</definedName>
    <definedName name="__shared_59_10_0" localSheetId="3">SUM("a1"*"c1")</definedName>
    <definedName name="__shared_59_10_0" localSheetId="9">SUM("a1"*"c1")</definedName>
    <definedName name="__shared_59_10_0">SUM("a1"*"c1")</definedName>
    <definedName name="__shared_59_11_0" localSheetId="3">SUM("a1"*"c1")</definedName>
    <definedName name="__shared_59_11_0" localSheetId="9">SUM("a1"*"c1")</definedName>
    <definedName name="__shared_59_11_0">SUM("a1"*"c1")</definedName>
    <definedName name="__shared_59_2_0" localSheetId="3">SUM("a1"*"c1")</definedName>
    <definedName name="__shared_59_2_0" localSheetId="9">SUM("a1"*"c1")</definedName>
    <definedName name="__shared_59_2_0">SUM("a1"*"c1")</definedName>
    <definedName name="__shared_59_3_0" localSheetId="3">SUM("a1"*"c1")</definedName>
    <definedName name="__shared_59_3_0" localSheetId="9">SUM("a1"*"c1")</definedName>
    <definedName name="__shared_59_3_0">SUM("a1"*"c1")</definedName>
    <definedName name="__shared_59_4_0" localSheetId="3">SUM("a1"*"c1")</definedName>
    <definedName name="__shared_59_4_0" localSheetId="9">SUM("a1"*"c1")</definedName>
    <definedName name="__shared_59_4_0">SUM("a1"*"c1")</definedName>
    <definedName name="__shared_59_5_0" localSheetId="3">SUM("a1"*"c1")</definedName>
    <definedName name="__shared_59_5_0" localSheetId="9">SUM("a1"*"c1")</definedName>
    <definedName name="__shared_59_5_0">SUM("a1"*"c1")</definedName>
    <definedName name="__shared_59_6_0" localSheetId="3">SUM("a1"*"c1")</definedName>
    <definedName name="__shared_59_6_0" localSheetId="9">SUM("a1"*"c1")</definedName>
    <definedName name="__shared_59_6_0">SUM("a1"*"c1")</definedName>
    <definedName name="__shared_59_7_0" localSheetId="3">SUM("a1"*"c1")</definedName>
    <definedName name="__shared_59_7_0" localSheetId="9">SUM("a1"*"c1")</definedName>
    <definedName name="__shared_59_7_0">SUM("a1"*"c1")</definedName>
    <definedName name="__shared_59_8_0" localSheetId="3">SUM("a1"*"c1")</definedName>
    <definedName name="__shared_59_8_0" localSheetId="9">SUM("a1"*"c1")</definedName>
    <definedName name="__shared_59_8_0">SUM("a1"*"c1")</definedName>
    <definedName name="__shared_59_9_0" localSheetId="3">SUM("a1"*"c1")</definedName>
    <definedName name="__shared_59_9_0" localSheetId="9">SUM("a1"*"c1")</definedName>
    <definedName name="__shared_59_9_0">SUM("a1"*"c1")</definedName>
    <definedName name="__shared_61_0_0" localSheetId="3">SUM("a1"*"c1")</definedName>
    <definedName name="__shared_61_0_0" localSheetId="9">SUM("a1"*"c1")</definedName>
    <definedName name="__shared_61_0_0">SUM("a1"*"c1")</definedName>
    <definedName name="__shared_61_1_0" localSheetId="3">SUM("a1"*"c1")</definedName>
    <definedName name="__shared_61_1_0" localSheetId="9">SUM("a1"*"c1")</definedName>
    <definedName name="__shared_61_1_0">SUM("a1"*"c1")</definedName>
    <definedName name="__shared_61_10_0" localSheetId="3">SUM("a1"*"c1")</definedName>
    <definedName name="__shared_61_10_0" localSheetId="9">SUM("a1"*"c1")</definedName>
    <definedName name="__shared_61_10_0">SUM("a1"*"c1")</definedName>
    <definedName name="__shared_61_2_0" localSheetId="3">SUM("a1"*"c1")</definedName>
    <definedName name="__shared_61_2_0" localSheetId="9">SUM("a1"*"c1")</definedName>
    <definedName name="__shared_61_2_0">SUM("a1"*"c1")</definedName>
    <definedName name="__shared_61_3_0" localSheetId="3">SUM("a1"*"c1")</definedName>
    <definedName name="__shared_61_3_0" localSheetId="9">SUM("a1"*"c1")</definedName>
    <definedName name="__shared_61_3_0">SUM("a1"*"c1")</definedName>
    <definedName name="__shared_61_4_0" localSheetId="3">SUM("a1"*"c1")</definedName>
    <definedName name="__shared_61_4_0" localSheetId="9">SUM("a1"*"c1")</definedName>
    <definedName name="__shared_61_4_0">SUM("a1"*"c1")</definedName>
    <definedName name="__shared_61_5_0" localSheetId="3">SUM("a1"*"c1")</definedName>
    <definedName name="__shared_61_5_0" localSheetId="9">SUM("a1"*"c1")</definedName>
    <definedName name="__shared_61_5_0">SUM("a1"*"c1")</definedName>
    <definedName name="__shared_61_6_0" localSheetId="3">SUM("a1"*"c1")</definedName>
    <definedName name="__shared_61_6_0" localSheetId="9">SUM("a1"*"c1")</definedName>
    <definedName name="__shared_61_6_0">SUM("a1"*"c1")</definedName>
    <definedName name="__shared_61_7_0" localSheetId="3">SUM("a1"*"c1")</definedName>
    <definedName name="__shared_61_7_0" localSheetId="9">SUM("a1"*"c1")</definedName>
    <definedName name="__shared_61_7_0">SUM("a1"*"c1")</definedName>
    <definedName name="__shared_61_8_0" localSheetId="3">SUM("a1"*"c1")</definedName>
    <definedName name="__shared_61_8_0" localSheetId="9">SUM("a1"*"c1")</definedName>
    <definedName name="__shared_61_8_0">SUM("a1"*"c1")</definedName>
    <definedName name="__shared_61_9_0" localSheetId="3">SUM("a1"*"c1")</definedName>
    <definedName name="__shared_61_9_0" localSheetId="9">SUM("a1"*"c1")</definedName>
    <definedName name="__shared_61_9_0">SUM("a1"*"c1")</definedName>
    <definedName name="__shared_63_0_0" localSheetId="3">SUM("a1"*"c1")</definedName>
    <definedName name="__shared_63_0_0" localSheetId="9">SUM("a1"*"c1")</definedName>
    <definedName name="__shared_63_0_0">SUM("a1"*"c1")</definedName>
    <definedName name="__shared_63_1_0" localSheetId="3">SUM("a1"*"c1")</definedName>
    <definedName name="__shared_63_1_0" localSheetId="9">SUM("a1"*"c1")</definedName>
    <definedName name="__shared_63_1_0">SUM("a1"*"c1")</definedName>
    <definedName name="__shared_63_10_0" localSheetId="3">SUM("a1"*"c1")</definedName>
    <definedName name="__shared_63_10_0" localSheetId="9">SUM("a1"*"c1")</definedName>
    <definedName name="__shared_63_10_0">SUM("a1"*"c1")</definedName>
    <definedName name="__shared_63_2_0" localSheetId="3">SUM("a1"*"c1")</definedName>
    <definedName name="__shared_63_2_0" localSheetId="9">SUM("a1"*"c1")</definedName>
    <definedName name="__shared_63_2_0">SUM("a1"*"c1")</definedName>
    <definedName name="__shared_63_3_0" localSheetId="3">SUM("a1"*"c1")</definedName>
    <definedName name="__shared_63_3_0" localSheetId="9">SUM("a1"*"c1")</definedName>
    <definedName name="__shared_63_3_0">SUM("a1"*"c1")</definedName>
    <definedName name="__shared_63_4_0" localSheetId="3">SUM("a1"*"c1")</definedName>
    <definedName name="__shared_63_4_0" localSheetId="9">SUM("a1"*"c1")</definedName>
    <definedName name="__shared_63_4_0">SUM("a1"*"c1")</definedName>
    <definedName name="__shared_63_5_0" localSheetId="3">SUM("a1"*"c1")</definedName>
    <definedName name="__shared_63_5_0" localSheetId="9">SUM("a1"*"c1")</definedName>
    <definedName name="__shared_63_5_0">SUM("a1"*"c1")</definedName>
    <definedName name="__shared_63_6_0" localSheetId="3">SUM("a1"*"c1")</definedName>
    <definedName name="__shared_63_6_0" localSheetId="9">SUM("a1"*"c1")</definedName>
    <definedName name="__shared_63_6_0">SUM("a1"*"c1")</definedName>
    <definedName name="__shared_63_7_0" localSheetId="3">SUM("a1"*"c1")</definedName>
    <definedName name="__shared_63_7_0" localSheetId="9">SUM("a1"*"c1")</definedName>
    <definedName name="__shared_63_7_0">SUM("a1"*"c1")</definedName>
    <definedName name="__shared_63_8_0" localSheetId="3">SUM("a1"*"c1")</definedName>
    <definedName name="__shared_63_8_0" localSheetId="9">SUM("a1"*"c1")</definedName>
    <definedName name="__shared_63_8_0">SUM("a1"*"c1")</definedName>
    <definedName name="__shared_63_9_0" localSheetId="3">SUM("a1"*"c1")</definedName>
    <definedName name="__shared_63_9_0" localSheetId="9">SUM("a1"*"c1")</definedName>
    <definedName name="__shared_63_9_0">SUM("a1"*"c1")</definedName>
    <definedName name="__shared_65_0_0" localSheetId="3">SUM("a1"*"c1")</definedName>
    <definedName name="__shared_65_0_0" localSheetId="9">SUM("a1"*"c1")</definedName>
    <definedName name="__shared_65_0_0">SUM("a1"*"c1")</definedName>
    <definedName name="__shared_65_1_0" localSheetId="3">SUM("a1"*"c1")</definedName>
    <definedName name="__shared_65_1_0" localSheetId="9">SUM("a1"*"c1")</definedName>
    <definedName name="__shared_65_1_0">SUM("a1"*"c1")</definedName>
    <definedName name="__shared_65_2_0" localSheetId="3">SUM("a1"*"c1")</definedName>
    <definedName name="__shared_65_2_0" localSheetId="9">SUM("a1"*"c1")</definedName>
    <definedName name="__shared_65_2_0">SUM("a1"*"c1")</definedName>
    <definedName name="__shared_65_3_0" localSheetId="3">SUM("a1"*"c1")</definedName>
    <definedName name="__shared_65_3_0" localSheetId="9">SUM("a1"*"c1")</definedName>
    <definedName name="__shared_65_3_0">SUM("a1"*"c1")</definedName>
    <definedName name="__shared_65_4_0" localSheetId="3">SUM("a1"*"c1")</definedName>
    <definedName name="__shared_65_4_0" localSheetId="9">SUM("a1"*"c1")</definedName>
    <definedName name="__shared_65_4_0">SUM("a1"*"c1")</definedName>
    <definedName name="__shared_65_5_0" localSheetId="3">SUM("a1"*"c1")</definedName>
    <definedName name="__shared_65_5_0" localSheetId="9">SUM("a1"*"c1")</definedName>
    <definedName name="__shared_65_5_0">SUM("a1"*"c1")</definedName>
    <definedName name="__shared_65_6_0" localSheetId="3">SUM("a1"*"c1")</definedName>
    <definedName name="__shared_65_6_0" localSheetId="9">SUM("a1"*"c1")</definedName>
    <definedName name="__shared_65_6_0">SUM("a1"*"c1")</definedName>
    <definedName name="__shared_65_7_0" localSheetId="3">SUM("a1"*"c1")</definedName>
    <definedName name="__shared_65_7_0" localSheetId="9">SUM("a1"*"c1")</definedName>
    <definedName name="__shared_65_7_0">SUM("a1"*"c1")</definedName>
    <definedName name="__shared_66_0_0" localSheetId="3">SUM("a1"*"c1")</definedName>
    <definedName name="__shared_66_0_0" localSheetId="9">SUM("a1"*"c1")</definedName>
    <definedName name="__shared_66_0_0">SUM("a1"*"c1")</definedName>
    <definedName name="__shared_66_1_0" localSheetId="3">SUM("a1"*"c1")</definedName>
    <definedName name="__shared_66_1_0" localSheetId="9">SUM("a1"*"c1")</definedName>
    <definedName name="__shared_66_1_0">SUM("a1"*"c1")</definedName>
    <definedName name="__shared_66_10_0" localSheetId="3">SUM("a1"*"c1")</definedName>
    <definedName name="__shared_66_10_0" localSheetId="9">SUM("a1"*"c1")</definedName>
    <definedName name="__shared_66_10_0">SUM("a1"*"c1")</definedName>
    <definedName name="__shared_66_11_0" localSheetId="3">SUM("a1"*"c1")</definedName>
    <definedName name="__shared_66_11_0" localSheetId="9">SUM("a1"*"c1")</definedName>
    <definedName name="__shared_66_11_0">SUM("a1"*"c1")</definedName>
    <definedName name="__shared_66_12_0" localSheetId="3">SUM("a1"*"c1")</definedName>
    <definedName name="__shared_66_12_0" localSheetId="9">SUM("a1"*"c1")</definedName>
    <definedName name="__shared_66_12_0">SUM("a1"*"c1")</definedName>
    <definedName name="__shared_66_13_0" localSheetId="3">SUM("a1"*"c1")</definedName>
    <definedName name="__shared_66_13_0" localSheetId="9">SUM("a1"*"c1")</definedName>
    <definedName name="__shared_66_13_0">SUM("a1"*"c1")</definedName>
    <definedName name="__shared_66_14_0" localSheetId="3">SUM("a1"*"c1")</definedName>
    <definedName name="__shared_66_14_0" localSheetId="9">SUM("a1"*"c1")</definedName>
    <definedName name="__shared_66_14_0">SUM("a1"*"c1")</definedName>
    <definedName name="__shared_66_15_0" localSheetId="3">SUM("a1"*"c1")</definedName>
    <definedName name="__shared_66_15_0" localSheetId="9">SUM("a1"*"c1")</definedName>
    <definedName name="__shared_66_15_0">SUM("a1"*"c1")</definedName>
    <definedName name="__shared_66_2_0" localSheetId="3">SUM("a1"*"c1")</definedName>
    <definedName name="__shared_66_2_0" localSheetId="9">SUM("a1"*"c1")</definedName>
    <definedName name="__shared_66_2_0">SUM("a1"*"c1")</definedName>
    <definedName name="__shared_66_3_0" localSheetId="3">SUM("a1"*"c1")</definedName>
    <definedName name="__shared_66_3_0" localSheetId="9">SUM("a1"*"c1")</definedName>
    <definedName name="__shared_66_3_0">SUM("a1"*"c1")</definedName>
    <definedName name="__shared_66_4_0" localSheetId="3">SUM("a1"*"c1")</definedName>
    <definedName name="__shared_66_4_0" localSheetId="9">SUM("a1"*"c1")</definedName>
    <definedName name="__shared_66_4_0">SUM("a1"*"c1")</definedName>
    <definedName name="__shared_66_5_0" localSheetId="3">SUM("a1"*"c1")</definedName>
    <definedName name="__shared_66_5_0" localSheetId="9">SUM("a1"*"c1")</definedName>
    <definedName name="__shared_66_5_0">SUM("a1"*"c1")</definedName>
    <definedName name="__shared_66_6_0" localSheetId="3">SUM("a1"*"c1")</definedName>
    <definedName name="__shared_66_6_0" localSheetId="9">SUM("a1"*"c1")</definedName>
    <definedName name="__shared_66_6_0">SUM("a1"*"c1")</definedName>
    <definedName name="__shared_66_7_0" localSheetId="3">SUM("a1"*"c1")</definedName>
    <definedName name="__shared_66_7_0" localSheetId="9">SUM("a1"*"c1")</definedName>
    <definedName name="__shared_66_7_0">SUM("a1"*"c1")</definedName>
    <definedName name="__shared_66_8_0" localSheetId="3">SUM("a1"*"c1")</definedName>
    <definedName name="__shared_66_8_0" localSheetId="9">SUM("a1"*"c1")</definedName>
    <definedName name="__shared_66_8_0">SUM("a1"*"c1")</definedName>
    <definedName name="__shared_66_9_0" localSheetId="3">SUM("a1"*"c1")</definedName>
    <definedName name="__shared_66_9_0" localSheetId="9">SUM("a1"*"c1")</definedName>
    <definedName name="__shared_66_9_0">SUM("a1"*"c1")</definedName>
    <definedName name="__shared_68_0_0" localSheetId="3">SUM("a1"*"c1")</definedName>
    <definedName name="__shared_68_0_0" localSheetId="9">SUM("a1"*"c1")</definedName>
    <definedName name="__shared_68_0_0">SUM("a1"*"c1")</definedName>
    <definedName name="__shared_68_1_0" localSheetId="3">SUM("a1"*"c1")</definedName>
    <definedName name="__shared_68_1_0" localSheetId="9">SUM("a1"*"c1")</definedName>
    <definedName name="__shared_68_1_0">SUM("a1"*"c1")</definedName>
    <definedName name="__shared_68_10_0" localSheetId="3">SUM("a1"*"c1")</definedName>
    <definedName name="__shared_68_10_0" localSheetId="9">SUM("a1"*"c1")</definedName>
    <definedName name="__shared_68_10_0">SUM("a1"*"c1")</definedName>
    <definedName name="__shared_68_11_0" localSheetId="3">SUM("a1"*"c1")</definedName>
    <definedName name="__shared_68_11_0" localSheetId="9">SUM("a1"*"c1")</definedName>
    <definedName name="__shared_68_11_0">SUM("a1"*"c1")</definedName>
    <definedName name="__shared_68_12_0" localSheetId="3">SUM("a1"*"c1")</definedName>
    <definedName name="__shared_68_12_0" localSheetId="9">SUM("a1"*"c1")</definedName>
    <definedName name="__shared_68_12_0">SUM("a1"*"c1")</definedName>
    <definedName name="__shared_68_13_0" localSheetId="3">SUM("a1"*"c1")</definedName>
    <definedName name="__shared_68_13_0" localSheetId="9">SUM("a1"*"c1")</definedName>
    <definedName name="__shared_68_13_0">SUM("a1"*"c1")</definedName>
    <definedName name="__shared_68_14_0" localSheetId="3">SUM("a1"*"c1")</definedName>
    <definedName name="__shared_68_14_0" localSheetId="9">SUM("a1"*"c1")</definedName>
    <definedName name="__shared_68_14_0">SUM("a1"*"c1")</definedName>
    <definedName name="__shared_68_15_0" localSheetId="3">SUM("a1"*"c1")</definedName>
    <definedName name="__shared_68_15_0" localSheetId="9">SUM("a1"*"c1")</definedName>
    <definedName name="__shared_68_15_0">SUM("a1"*"c1")</definedName>
    <definedName name="__shared_68_16_0" localSheetId="3">SUM("a1"*"c1")</definedName>
    <definedName name="__shared_68_16_0" localSheetId="9">SUM("a1"*"c1")</definedName>
    <definedName name="__shared_68_16_0">SUM("a1"*"c1")</definedName>
    <definedName name="__shared_68_2_0" localSheetId="3">SUM("a1"*"c1")</definedName>
    <definedName name="__shared_68_2_0" localSheetId="9">SUM("a1"*"c1")</definedName>
    <definedName name="__shared_68_2_0">SUM("a1"*"c1")</definedName>
    <definedName name="__shared_68_3_0" localSheetId="3">SUM("a1"*"c1")</definedName>
    <definedName name="__shared_68_3_0" localSheetId="9">SUM("a1"*"c1")</definedName>
    <definedName name="__shared_68_3_0">SUM("a1"*"c1")</definedName>
    <definedName name="__shared_68_4_0" localSheetId="3">SUM("a1"*"c1")</definedName>
    <definedName name="__shared_68_4_0" localSheetId="9">SUM("a1"*"c1")</definedName>
    <definedName name="__shared_68_4_0">SUM("a1"*"c1")</definedName>
    <definedName name="__shared_68_5_0" localSheetId="3">SUM("a1"*"c1")</definedName>
    <definedName name="__shared_68_5_0" localSheetId="9">SUM("a1"*"c1")</definedName>
    <definedName name="__shared_68_5_0">SUM("a1"*"c1")</definedName>
    <definedName name="__shared_68_6_0" localSheetId="3">SUM("a1"*"c1")</definedName>
    <definedName name="__shared_68_6_0" localSheetId="9">SUM("a1"*"c1")</definedName>
    <definedName name="__shared_68_6_0">SUM("a1"*"c1")</definedName>
    <definedName name="__shared_68_7_0" localSheetId="3">SUM("a1"*"c1")</definedName>
    <definedName name="__shared_68_7_0" localSheetId="9">SUM("a1"*"c1")</definedName>
    <definedName name="__shared_68_7_0">SUM("a1"*"c1")</definedName>
    <definedName name="__shared_68_8_0" localSheetId="3">SUM("a1"*"c1")</definedName>
    <definedName name="__shared_68_8_0" localSheetId="9">SUM("a1"*"c1")</definedName>
    <definedName name="__shared_68_8_0">SUM("a1"*"c1")</definedName>
    <definedName name="__shared_68_9_0" localSheetId="3">SUM("a1"*"c1")</definedName>
    <definedName name="__shared_68_9_0" localSheetId="9">SUM("a1"*"c1")</definedName>
    <definedName name="__shared_68_9_0">SUM("a1"*"c1")</definedName>
    <definedName name="__shared_70_0_0" localSheetId="3">SUM("a1"*"c1")</definedName>
    <definedName name="__shared_70_0_0" localSheetId="9">SUM("a1"*"c1")</definedName>
    <definedName name="__shared_70_0_0">SUM("a1"*"c1")</definedName>
    <definedName name="__shared_70_1_0" localSheetId="3">SUM("a1"*"c1")</definedName>
    <definedName name="__shared_70_1_0" localSheetId="9">SUM("a1"*"c1")</definedName>
    <definedName name="__shared_70_1_0">SUM("a1"*"c1")</definedName>
    <definedName name="__shared_70_10_0" localSheetId="3">SUM("a1"*"c1")</definedName>
    <definedName name="__shared_70_10_0" localSheetId="9">SUM("a1"*"c1")</definedName>
    <definedName name="__shared_70_10_0">SUM("a1"*"c1")</definedName>
    <definedName name="__shared_70_11_0" localSheetId="3">SUM("a1"*"c1")</definedName>
    <definedName name="__shared_70_11_0" localSheetId="9">SUM("a1"*"c1")</definedName>
    <definedName name="__shared_70_11_0">SUM("a1"*"c1")</definedName>
    <definedName name="__shared_70_12_0" localSheetId="3">SUM("a1"*"c1")</definedName>
    <definedName name="__shared_70_12_0" localSheetId="9">SUM("a1"*"c1")</definedName>
    <definedName name="__shared_70_12_0">SUM("a1"*"c1")</definedName>
    <definedName name="__shared_70_13_0" localSheetId="3">SUM("a1"*"c1")</definedName>
    <definedName name="__shared_70_13_0" localSheetId="9">SUM("a1"*"c1")</definedName>
    <definedName name="__shared_70_13_0">SUM("a1"*"c1")</definedName>
    <definedName name="__shared_70_14_0" localSheetId="3">SUM("a1"*"c1")</definedName>
    <definedName name="__shared_70_14_0" localSheetId="9">SUM("a1"*"c1")</definedName>
    <definedName name="__shared_70_14_0">SUM("a1"*"c1")</definedName>
    <definedName name="__shared_70_15_0" localSheetId="3">SUM("a1"*"c1")</definedName>
    <definedName name="__shared_70_15_0" localSheetId="9">SUM("a1"*"c1")</definedName>
    <definedName name="__shared_70_15_0">SUM("a1"*"c1")</definedName>
    <definedName name="__shared_70_16_0" localSheetId="3">SUM("a1"*"c1")</definedName>
    <definedName name="__shared_70_16_0" localSheetId="9">SUM("a1"*"c1")</definedName>
    <definedName name="__shared_70_16_0">SUM("a1"*"c1")</definedName>
    <definedName name="__shared_70_2_0" localSheetId="3">SUM("a1"*"c1")</definedName>
    <definedName name="__shared_70_2_0" localSheetId="9">SUM("a1"*"c1")</definedName>
    <definedName name="__shared_70_2_0">SUM("a1"*"c1")</definedName>
    <definedName name="__shared_70_3_0" localSheetId="3">SUM("a1"*"c1")</definedName>
    <definedName name="__shared_70_3_0" localSheetId="9">SUM("a1"*"c1")</definedName>
    <definedName name="__shared_70_3_0">SUM("a1"*"c1")</definedName>
    <definedName name="__shared_70_4_0" localSheetId="3">SUM("a1"*"c1")</definedName>
    <definedName name="__shared_70_4_0" localSheetId="9">SUM("a1"*"c1")</definedName>
    <definedName name="__shared_70_4_0">SUM("a1"*"c1")</definedName>
    <definedName name="__shared_70_5_0" localSheetId="3">SUM("a1"*"c1")</definedName>
    <definedName name="__shared_70_5_0" localSheetId="9">SUM("a1"*"c1")</definedName>
    <definedName name="__shared_70_5_0">SUM("a1"*"c1")</definedName>
    <definedName name="__shared_70_6_0" localSheetId="3">SUM("a1"*"c1")</definedName>
    <definedName name="__shared_70_6_0" localSheetId="9">SUM("a1"*"c1")</definedName>
    <definedName name="__shared_70_6_0">SUM("a1"*"c1")</definedName>
    <definedName name="__shared_70_7_0" localSheetId="3">SUM("a1"*"c1")</definedName>
    <definedName name="__shared_70_7_0" localSheetId="9">SUM("a1"*"c1")</definedName>
    <definedName name="__shared_70_7_0">SUM("a1"*"c1")</definedName>
    <definedName name="__shared_70_8_0" localSheetId="3">SUM("a1"*"c1")</definedName>
    <definedName name="__shared_70_8_0" localSheetId="9">SUM("a1"*"c1")</definedName>
    <definedName name="__shared_70_8_0">SUM("a1"*"c1")</definedName>
    <definedName name="__shared_70_9_0" localSheetId="3">SUM("a1"*"c1")</definedName>
    <definedName name="__shared_70_9_0" localSheetId="9">SUM("a1"*"c1")</definedName>
    <definedName name="__shared_70_9_0">SUM("a1"*"c1")</definedName>
    <definedName name="__shared_71_0_0" localSheetId="3">SUM("a1"*"c1")</definedName>
    <definedName name="__shared_71_0_0" localSheetId="9">SUM("a1"*"c1")</definedName>
    <definedName name="__shared_71_0_0">SUM("a1"*"c1")</definedName>
    <definedName name="__shared_71_1_0" localSheetId="3">SUM("a1"*"c1")</definedName>
    <definedName name="__shared_71_1_0" localSheetId="9">SUM("a1"*"c1")</definedName>
    <definedName name="__shared_71_1_0">SUM("a1"*"c1")</definedName>
    <definedName name="__shared_71_10_0" localSheetId="3">SUM("a1"*"c1")</definedName>
    <definedName name="__shared_71_10_0" localSheetId="9">SUM("a1"*"c1")</definedName>
    <definedName name="__shared_71_10_0">SUM("a1"*"c1")</definedName>
    <definedName name="__shared_71_11_0" localSheetId="3">SUM("a1"*"c1")</definedName>
    <definedName name="__shared_71_11_0" localSheetId="9">SUM("a1"*"c1")</definedName>
    <definedName name="__shared_71_11_0">SUM("a1"*"c1")</definedName>
    <definedName name="__shared_71_12_0" localSheetId="3">SUM("a1"*"c1")</definedName>
    <definedName name="__shared_71_12_0" localSheetId="9">SUM("a1"*"c1")</definedName>
    <definedName name="__shared_71_12_0">SUM("a1"*"c1")</definedName>
    <definedName name="__shared_71_13_0" localSheetId="3">SUM("a1"*"c1")</definedName>
    <definedName name="__shared_71_13_0" localSheetId="9">SUM("a1"*"c1")</definedName>
    <definedName name="__shared_71_13_0">SUM("a1"*"c1")</definedName>
    <definedName name="__shared_71_14_0" localSheetId="3">SUM("a1"*"c1")</definedName>
    <definedName name="__shared_71_14_0" localSheetId="9">SUM("a1"*"c1")</definedName>
    <definedName name="__shared_71_14_0">SUM("a1"*"c1")</definedName>
    <definedName name="__shared_71_15_0" localSheetId="3">SUM("a1"*"c1")</definedName>
    <definedName name="__shared_71_15_0" localSheetId="9">SUM("a1"*"c1")</definedName>
    <definedName name="__shared_71_15_0">SUM("a1"*"c1")</definedName>
    <definedName name="__shared_71_16_0" localSheetId="3">SUM("a1"*"c1")</definedName>
    <definedName name="__shared_71_16_0" localSheetId="9">SUM("a1"*"c1")</definedName>
    <definedName name="__shared_71_16_0">SUM("a1"*"c1")</definedName>
    <definedName name="__shared_71_17_0" localSheetId="3">SUM("a1"*"c1")</definedName>
    <definedName name="__shared_71_17_0" localSheetId="9">SUM("a1"*"c1")</definedName>
    <definedName name="__shared_71_17_0">SUM("a1"*"c1")</definedName>
    <definedName name="__shared_71_2_0" localSheetId="3">SUM("a1"*"c1")</definedName>
    <definedName name="__shared_71_2_0" localSheetId="9">SUM("a1"*"c1")</definedName>
    <definedName name="__shared_71_2_0">SUM("a1"*"c1")</definedName>
    <definedName name="__shared_71_3_0" localSheetId="3">SUM("a1"*"c1")</definedName>
    <definedName name="__shared_71_3_0" localSheetId="9">SUM("a1"*"c1")</definedName>
    <definedName name="__shared_71_3_0">SUM("a1"*"c1")</definedName>
    <definedName name="__shared_71_4_0" localSheetId="3">SUM("a1"*"c1")</definedName>
    <definedName name="__shared_71_4_0" localSheetId="9">SUM("a1"*"c1")</definedName>
    <definedName name="__shared_71_4_0">SUM("a1"*"c1")</definedName>
    <definedName name="__shared_71_5_0" localSheetId="3">SUM("a1"*"c1")</definedName>
    <definedName name="__shared_71_5_0" localSheetId="9">SUM("a1"*"c1")</definedName>
    <definedName name="__shared_71_5_0">SUM("a1"*"c1")</definedName>
    <definedName name="__shared_71_6_0" localSheetId="3">SUM("a1"*"c1")</definedName>
    <definedName name="__shared_71_6_0" localSheetId="9">SUM("a1"*"c1")</definedName>
    <definedName name="__shared_71_6_0">SUM("a1"*"c1")</definedName>
    <definedName name="__shared_71_7_0" localSheetId="3">SUM("a1"*"c1")</definedName>
    <definedName name="__shared_71_7_0" localSheetId="9">SUM("a1"*"c1")</definedName>
    <definedName name="__shared_71_7_0">SUM("a1"*"c1")</definedName>
    <definedName name="__shared_71_8_0" localSheetId="3">SUM("a1"*"c1")</definedName>
    <definedName name="__shared_71_8_0" localSheetId="9">SUM("a1"*"c1")</definedName>
    <definedName name="__shared_71_8_0">SUM("a1"*"c1")</definedName>
    <definedName name="__shared_71_9_0" localSheetId="3">SUM("a1"*"c1")</definedName>
    <definedName name="__shared_71_9_0" localSheetId="9">SUM("a1"*"c1")</definedName>
    <definedName name="__shared_71_9_0">SUM("a1"*"c1")</definedName>
    <definedName name="__shared_73_0_0" localSheetId="3">SUM("a1"*"c1")</definedName>
    <definedName name="__shared_73_0_0" localSheetId="9">SUM("a1"*"c1")</definedName>
    <definedName name="__shared_73_0_0">SUM("a1"*"c1")</definedName>
    <definedName name="__shared_73_1_0" localSheetId="3">SUM("a1"*"c1")</definedName>
    <definedName name="__shared_73_1_0" localSheetId="9">SUM("a1"*"c1")</definedName>
    <definedName name="__shared_73_1_0">SUM("a1"*"c1")</definedName>
    <definedName name="__shared_73_2_0" localSheetId="3">SUM("a1"*"c1")</definedName>
    <definedName name="__shared_73_2_0" localSheetId="9">SUM("a1"*"c1")</definedName>
    <definedName name="__shared_73_2_0">SUM("a1"*"c1")</definedName>
    <definedName name="__shared_73_3_0" localSheetId="3">SUM("a1"*"c1")</definedName>
    <definedName name="__shared_73_3_0" localSheetId="9">SUM("a1"*"c1")</definedName>
    <definedName name="__shared_73_3_0">SUM("a1"*"c1")</definedName>
    <definedName name="__sp606" localSheetId="1">#REF!</definedName>
    <definedName name="__sp606">#REF!</definedName>
    <definedName name="__xlnm.Print_Area">"#ref!"</definedName>
    <definedName name="__xlnm_Print_Area">"#ref!"</definedName>
    <definedName name="_110" localSheetId="1">#REF!</definedName>
    <definedName name="_110">#REF!</definedName>
    <definedName name="_210" localSheetId="1">#REF!</definedName>
    <definedName name="_210">#REF!</definedName>
    <definedName name="_224" localSheetId="1">#REF!</definedName>
    <definedName name="_224">#REF!</definedName>
    <definedName name="_225" localSheetId="1">#REF!</definedName>
    <definedName name="_225">#REF!</definedName>
    <definedName name="_310" localSheetId="1">#REF!</definedName>
    <definedName name="_310">#REF!</definedName>
    <definedName name="_410" localSheetId="1">#REF!</definedName>
    <definedName name="_410">#REF!</definedName>
    <definedName name="_424" localSheetId="1">#REF!</definedName>
    <definedName name="_424">#REF!</definedName>
    <definedName name="_514" localSheetId="1">#REF!</definedName>
    <definedName name="_514">#REF!</definedName>
    <definedName name="_7.1__2" localSheetId="1">'[11]D7(1)'!#REF!</definedName>
    <definedName name="_7.1__2">'[11]D7(1)'!#REF!</definedName>
    <definedName name="_705" localSheetId="1">#REF!</definedName>
    <definedName name="_705">#REF!</definedName>
    <definedName name="_DIV1">[9]RAB!$J$29</definedName>
    <definedName name="_DIV10" localSheetId="1">'[10]Kuantitas &amp; Harga'!#REF!</definedName>
    <definedName name="_DIV10">'[10]Kuantitas &amp; Harga'!#REF!</definedName>
    <definedName name="_DIV11" localSheetId="1">'[10]Kuantitas &amp; Harga'!#REF!</definedName>
    <definedName name="_DIV11">'[10]Kuantitas &amp; Harga'!#REF!</definedName>
    <definedName name="_div2" localSheetId="1">'[10]Rekap Biaya'!#REF!</definedName>
    <definedName name="_div2">'[10]Rekap Biaya'!#REF!</definedName>
    <definedName name="_DIV3" hidden="1">[6]Div2!$G$12:$G$20</definedName>
    <definedName name="_DIV4" localSheetId="1">'[10]Kuantitas &amp; Harga'!#REF!</definedName>
    <definedName name="_DIV4">'[10]Kuantitas &amp; Harga'!#REF!</definedName>
    <definedName name="_DIV5" localSheetId="1">'[10]Kuantitas &amp; Harga'!#REF!</definedName>
    <definedName name="_DIV5">'[10]Kuantitas &amp; Harga'!#REF!</definedName>
    <definedName name="_DIV6" localSheetId="1">'[10]Kuantitas &amp; Harga'!#REF!</definedName>
    <definedName name="_DIV6">'[10]Kuantitas &amp; Harga'!#REF!</definedName>
    <definedName name="_DIV7" localSheetId="1">'[10]Kuantitas &amp; Harga'!#REF!</definedName>
    <definedName name="_DIV7">'[10]Kuantitas &amp; Harga'!#REF!</definedName>
    <definedName name="_DIV8" localSheetId="1">'[10]Kuantitas &amp; Harga'!#REF!</definedName>
    <definedName name="_DIV8">'[10]Kuantitas &amp; Harga'!#REF!</definedName>
    <definedName name="_DIV9" localSheetId="1">'[10]Kuantitas &amp; Harga'!#REF!</definedName>
    <definedName name="_DIV9">'[10]Kuantitas &amp; Harga'!#REF!</definedName>
    <definedName name="_EEE01" localSheetId="1">#REF!</definedName>
    <definedName name="_EEE01">#REF!</definedName>
    <definedName name="_EEE02">'[11]5-Alt(1)'!$AW$9</definedName>
    <definedName name="_EEE03" localSheetId="1">#REF!</definedName>
    <definedName name="_EEE03">#REF!</definedName>
    <definedName name="_EEE04" localSheetId="1">#REF!</definedName>
    <definedName name="_EEE04">#REF!</definedName>
    <definedName name="_EEE05">'[11]5-Alt(1)'!$AW$12</definedName>
    <definedName name="_EEE06">'[11]5-Alt(1)'!$AW$13</definedName>
    <definedName name="_EEE07">'[11]5-Alt(1)'!$AW$14</definedName>
    <definedName name="_EEE08">'[11]5-Alt(1)'!$AW$15</definedName>
    <definedName name="_EEE09">'[11]5-Alt(1)'!$AW$16</definedName>
    <definedName name="_EEE10">'[11]5-Alt(1)'!$AW$17</definedName>
    <definedName name="_EEE11">'[11]5-Alt(1)'!$AW$18</definedName>
    <definedName name="_EEE12" localSheetId="1">#REF!</definedName>
    <definedName name="_EEE12">#REF!</definedName>
    <definedName name="_EEE13">'[11]5-Alt(1)'!$AW$20</definedName>
    <definedName name="_EEE14" localSheetId="1">#REF!</definedName>
    <definedName name="_EEE14">#REF!</definedName>
    <definedName name="_EEE15" localSheetId="1">#REF!</definedName>
    <definedName name="_EEE15">#REF!</definedName>
    <definedName name="_EEE16">'[11]5-Alt(1)'!$AW$23</definedName>
    <definedName name="_EEE17">'[11]5-Alt(1)'!$AW$24</definedName>
    <definedName name="_EEE18" localSheetId="1">#REF!</definedName>
    <definedName name="_EEE18">#REF!</definedName>
    <definedName name="_EEE19" localSheetId="1">#REF!</definedName>
    <definedName name="_EEE19">#REF!</definedName>
    <definedName name="_EEE20" localSheetId="1">#REF!</definedName>
    <definedName name="_EEE20">#REF!</definedName>
    <definedName name="_EEE21" localSheetId="1">#REF!</definedName>
    <definedName name="_EEE21">#REF!</definedName>
    <definedName name="_EEE22" localSheetId="1">#REF!</definedName>
    <definedName name="_EEE22">#REF!</definedName>
    <definedName name="_EEE23">'[11]5-Alt(1)'!$AW$30</definedName>
    <definedName name="_EEE24" localSheetId="1">#REF!</definedName>
    <definedName name="_EEE24">#REF!</definedName>
    <definedName name="_EEE25" localSheetId="1">#REF!</definedName>
    <definedName name="_EEE25">#REF!</definedName>
    <definedName name="_EEE26" localSheetId="1">#REF!</definedName>
    <definedName name="_EEE26">#REF!</definedName>
    <definedName name="_EEE27">'[11]5-Alt(1)'!$AW$34</definedName>
    <definedName name="_EEE28" localSheetId="1">#REF!</definedName>
    <definedName name="_EEE28">#REF!</definedName>
    <definedName name="_EEE29">'[11]5-Alt(1)'!$AW$36</definedName>
    <definedName name="_EEE30" localSheetId="1">#REF!</definedName>
    <definedName name="_EEE30">#REF!</definedName>
    <definedName name="_EEE31">'[11]5-Alt(1)'!$AW$38</definedName>
    <definedName name="_EEE32" localSheetId="1">#REF!</definedName>
    <definedName name="_EEE32">#REF!</definedName>
    <definedName name="_EEE33" localSheetId="1">#REF!</definedName>
    <definedName name="_EEE33">#REF!</definedName>
    <definedName name="_Fill" localSheetId="1" hidden="1">#REF!</definedName>
    <definedName name="_Fill" hidden="1">#REF!</definedName>
    <definedName name="_xlnm._FilterDatabase" hidden="1">[12]REKAP!$A$1:$H$53</definedName>
    <definedName name="_HAL1" localSheetId="3">#REF!</definedName>
    <definedName name="_HAL1" localSheetId="1">#REF!</definedName>
    <definedName name="_HAL1" localSheetId="6">#REF!</definedName>
    <definedName name="_HAL1" localSheetId="2">#REF!</definedName>
    <definedName name="_HAL1" localSheetId="7">#REF!</definedName>
    <definedName name="_HAL1">#REF!</definedName>
    <definedName name="_HAL2" localSheetId="1">'[10]Kuantitas &amp; Harga'!#REF!</definedName>
    <definedName name="_HAL2">'[10]Kuantitas &amp; Harga'!#REF!</definedName>
    <definedName name="_HAL3" localSheetId="1">'[10]Kuantitas &amp; Harga'!#REF!</definedName>
    <definedName name="_HAL3">'[10]Kuantitas &amp; Harga'!#REF!</definedName>
    <definedName name="_HAL4" localSheetId="1">'[10]Kuantitas &amp; Harga'!#REF!</definedName>
    <definedName name="_HAL4">'[10]Kuantitas &amp; Harga'!#REF!</definedName>
    <definedName name="_HAL5" localSheetId="1">'[10]Kuantitas &amp; Harga'!#REF!</definedName>
    <definedName name="_HAL5">'[10]Kuantitas &amp; Harga'!#REF!</definedName>
    <definedName name="_HAL6" localSheetId="1">'[10]Kuantitas &amp; Harga'!#REF!</definedName>
    <definedName name="_HAL6">'[10]Kuantitas &amp; Harga'!#REF!</definedName>
    <definedName name="_HAL7" localSheetId="1">'[10]Kuantitas &amp; Harga'!#REF!</definedName>
    <definedName name="_HAL7">'[10]Kuantitas &amp; Harga'!#REF!</definedName>
    <definedName name="_HAL8" localSheetId="1">'[10]Kuantitas &amp; Harga'!#REF!</definedName>
    <definedName name="_HAL8">'[10]Kuantitas &amp; Harga'!#REF!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LLL01">"#ref!"</definedName>
    <definedName name="_LLL02">"#ref!"</definedName>
    <definedName name="_LLL03">"#ref!"</definedName>
    <definedName name="_LLL04">"#ref!"</definedName>
    <definedName name="_LLL05">"#ref!"</definedName>
    <definedName name="_LLL06">"#ref!"</definedName>
    <definedName name="_LLL07">"#ref!"</definedName>
    <definedName name="_LLL08">"#ref!"</definedName>
    <definedName name="_LLL09">"#ref!"</definedName>
    <definedName name="_LLL10">"#ref!"</definedName>
    <definedName name="_LLL11">"#ref!"</definedName>
    <definedName name="_MDE01">[1]Peralatan!$BO$27</definedName>
    <definedName name="_MDE02">[1]Peralatan!$BO$47</definedName>
    <definedName name="_MDE03">[1]Peralatan!$BO$67</definedName>
    <definedName name="_MDE04">[1]Peralatan!$BO$87</definedName>
    <definedName name="_MDE05">[1]Peralatan!$BO$107</definedName>
    <definedName name="_MDE06">[1]Peralatan!$BO$127</definedName>
    <definedName name="_MDE07">[1]Peralatan!$BO$147</definedName>
    <definedName name="_MDE08">[1]Peralatan!$BO$167</definedName>
    <definedName name="_MDE09">[1]Peralatan!$BO$187</definedName>
    <definedName name="_MDE10">[1]Peralatan!$BO$207</definedName>
    <definedName name="_MDE11">[1]Peralatan!$BO$227</definedName>
    <definedName name="_MDE12">[1]Peralatan!$BO$247</definedName>
    <definedName name="_MDE13">[1]Peralatan!$BO$267</definedName>
    <definedName name="_MDE14">[1]Peralatan!$BO$287</definedName>
    <definedName name="_MDE15">[1]Peralatan!$BO$307</definedName>
    <definedName name="_MDE16">[1]Peralatan!$BO$327</definedName>
    <definedName name="_MDE17">[1]Peralatan!$BO$347</definedName>
    <definedName name="_MDE18">[1]Peralatan!$BO$367</definedName>
    <definedName name="_MDE19">[1]Peralatan!$BO$387</definedName>
    <definedName name="_MDE20">[1]Peralatan!$BO$407</definedName>
    <definedName name="_MDE21">[1]Peralatan!$BO$427</definedName>
    <definedName name="_MDE22">[1]Peralatan!$BO$447</definedName>
    <definedName name="_MDE23">[1]Peralatan!$BO$467</definedName>
    <definedName name="_MDE24">[1]Peralatan!$BO$487</definedName>
    <definedName name="_MDE25">[1]Peralatan!$BO$507</definedName>
    <definedName name="_MDE26" localSheetId="1">#REF!</definedName>
    <definedName name="_MDE26">#REF!</definedName>
    <definedName name="_MDE27">[1]Peralatan!$BO$547</definedName>
    <definedName name="_MDE28">[1]Peralatan!$BO$567</definedName>
    <definedName name="_MDE29">[1]Peralatan!$BO$587</definedName>
    <definedName name="_MDE30">[1]Peralatan!$BO$607</definedName>
    <definedName name="_MDE31">[1]Peralatan!$BO$627</definedName>
    <definedName name="_MDE32">[1]Peralatan!$BO$647</definedName>
    <definedName name="_MDE33">[1]Peralatan!$BO$667</definedName>
    <definedName name="_MDE34">[1]Peralatan!$BO$698</definedName>
    <definedName name="_MDE35">'[1]Peralatan (2)'!$R$27</definedName>
    <definedName name="_ME01">[1]Peralatan!$BO$26</definedName>
    <definedName name="_ME02">[1]Peralatan!$BO$46</definedName>
    <definedName name="_ME03">[1]Peralatan!$BO$66</definedName>
    <definedName name="_ME04">[1]Peralatan!$BO$86</definedName>
    <definedName name="_ME05">[1]Peralatan!$BO$106</definedName>
    <definedName name="_ME06">[1]Peralatan!$BO$126</definedName>
    <definedName name="_ME07">[1]Peralatan!$BO$146</definedName>
    <definedName name="_ME08">[1]Peralatan!$BO$166</definedName>
    <definedName name="_ME09">[1]Peralatan!$BO$186</definedName>
    <definedName name="_ME10">[1]Peralatan!$BO$206</definedName>
    <definedName name="_ME11">[1]Peralatan!$BO$226</definedName>
    <definedName name="_ME12">[1]Peralatan!$BO$246</definedName>
    <definedName name="_ME13">[1]Peralatan!$BO$266</definedName>
    <definedName name="_ME14">[1]Peralatan!$BO$286</definedName>
    <definedName name="_ME15">[1]Peralatan!$BO$306</definedName>
    <definedName name="_ME16">[1]Peralatan!$BO$326</definedName>
    <definedName name="_ME17">[1]Peralatan!$BO$346</definedName>
    <definedName name="_ME18">[1]Peralatan!$BO$366</definedName>
    <definedName name="_ME19">[1]Peralatan!$BO$386</definedName>
    <definedName name="_ME20">[1]Peralatan!$BO$406</definedName>
    <definedName name="_ME21">[1]Peralatan!$BO$426</definedName>
    <definedName name="_ME22">[1]Peralatan!$BO$446</definedName>
    <definedName name="_ME23">[1]Peralatan!$BO$466</definedName>
    <definedName name="_ME24">[1]Peralatan!$BO$486</definedName>
    <definedName name="_ME25">[1]Peralatan!$BO$506</definedName>
    <definedName name="_ME26" localSheetId="1">#REF!</definedName>
    <definedName name="_ME26">#REF!</definedName>
    <definedName name="_ME27">[1]Peralatan!$BO$546</definedName>
    <definedName name="_ME28">[1]Peralatan!$BO$566</definedName>
    <definedName name="_ME29">[1]Peralatan!$BO$586</definedName>
    <definedName name="_ME30">[1]Peralatan!$BO$606</definedName>
    <definedName name="_ME31">[1]Peralatan!$BO$626</definedName>
    <definedName name="_ME32">[1]Peralatan!$BO$646</definedName>
    <definedName name="_ME33">[1]Peralatan!$BO$666</definedName>
    <definedName name="_ME34">[1]Peralatan!$BO$697</definedName>
    <definedName name="_ME35">'[1]Peralatan (2)'!$R$26</definedName>
    <definedName name="_MMM01">"#ref!"</definedName>
    <definedName name="_MMM02">"#ref!"</definedName>
    <definedName name="_MMM03">"#ref!"</definedName>
    <definedName name="_MMM04">"#ref!"</definedName>
    <definedName name="_MMM05">"#ref!"</definedName>
    <definedName name="_MMM06">"#ref!"</definedName>
    <definedName name="_MMM07">"#ref!"</definedName>
    <definedName name="_MMM08">"#ref!"</definedName>
    <definedName name="_MMM09">"#ref!"</definedName>
    <definedName name="_MMM10">"#ref!"</definedName>
    <definedName name="_MMM11">"#ref!"</definedName>
    <definedName name="_MMM12">"#ref!"</definedName>
    <definedName name="_MMM13">"#ref!"</definedName>
    <definedName name="_MMM14">"#ref!"</definedName>
    <definedName name="_MMM15">"#ref!"</definedName>
    <definedName name="_MMM16">"#ref!"</definedName>
    <definedName name="_MMM17">"#ref!"</definedName>
    <definedName name="_MMM18">"#ref!"</definedName>
    <definedName name="_MMM19">"#ref!"</definedName>
    <definedName name="_MMM20">"#ref!"</definedName>
    <definedName name="_MMM21">"#ref!"</definedName>
    <definedName name="_MMM22">"#ref!"</definedName>
    <definedName name="_MMM23">"#ref!"</definedName>
    <definedName name="_MMM24">"#ref!"</definedName>
    <definedName name="_MMM25">"#ref!"</definedName>
    <definedName name="_MMM26">"#ref!"</definedName>
    <definedName name="_MMM27">"#ref!"</definedName>
    <definedName name="_MMM28">"#ref!"</definedName>
    <definedName name="_MMM29">"#ref!"</definedName>
    <definedName name="_MMM30">"#ref!"</definedName>
    <definedName name="_MMM31">"#ref!"</definedName>
    <definedName name="_MMM32">"#ref!"</definedName>
    <definedName name="_MMM33">"#ref!"</definedName>
    <definedName name="_MMM34">"#ref!"</definedName>
    <definedName name="_MMM35">"#ref!"</definedName>
    <definedName name="_MMM36">"#ref!"</definedName>
    <definedName name="_MMM37">"#ref!"</definedName>
    <definedName name="_MMM38">"#ref!"</definedName>
    <definedName name="_MMM39">"#ref!"</definedName>
    <definedName name="_MMM40">"#ref!"</definedName>
    <definedName name="_MMM41">"#ref!"</definedName>
    <definedName name="_MMM411">"#ref!"</definedName>
    <definedName name="_MMM42">"#ref!"</definedName>
    <definedName name="_MMM43">"#ref!"</definedName>
    <definedName name="_MMM44">"#ref!"</definedName>
    <definedName name="_MMM45">"#ref!"</definedName>
    <definedName name="_MMM46">"#ref!"</definedName>
    <definedName name="_MMM47">"#ref!"</definedName>
    <definedName name="_MMM48">"#ref!"</definedName>
    <definedName name="_MMM49">"#ref!"</definedName>
    <definedName name="_MMM50">"#ref!"</definedName>
    <definedName name="_MMM51">"#ref!"</definedName>
    <definedName name="_MMM52">"#ref!"</definedName>
    <definedName name="_MMM53">"#ref!"</definedName>
    <definedName name="_MMM54">"#ref!"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sp606" localSheetId="1">#REF!</definedName>
    <definedName name="_sp606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a" localSheetId="1">[13]RAB!#REF!</definedName>
    <definedName name="a">[13]RAB!#REF!</definedName>
    <definedName name="A.1" localSheetId="3">#REF!</definedName>
    <definedName name="A.1" localSheetId="1">#REF!</definedName>
    <definedName name="A.1" localSheetId="6">#REF!</definedName>
    <definedName name="A.1" localSheetId="2">#REF!</definedName>
    <definedName name="A.1" localSheetId="7">#REF!</definedName>
    <definedName name="A.1">#REF!</definedName>
    <definedName name="A.16" localSheetId="3">#REF!</definedName>
    <definedName name="A.16" localSheetId="1">#REF!</definedName>
    <definedName name="A.16" localSheetId="6">#REF!</definedName>
    <definedName name="A.16" localSheetId="2">#REF!</definedName>
    <definedName name="A.16" localSheetId="7">#REF!</definedName>
    <definedName name="A.16">#REF!</definedName>
    <definedName name="A.18_PASIR" localSheetId="3">#REF!</definedName>
    <definedName name="A.18_PASIR" localSheetId="1">#REF!</definedName>
    <definedName name="A.18_PASIR" localSheetId="6">#REF!</definedName>
    <definedName name="A.18_PASIR" localSheetId="2">#REF!</definedName>
    <definedName name="A.18_PASIR" localSheetId="7">#REF!</definedName>
    <definedName name="A.18_PASIR">#REF!</definedName>
    <definedName name="A.18_TANAH" localSheetId="1">#REF!</definedName>
    <definedName name="A.18_TANAH">#REF!</definedName>
    <definedName name="A.2" localSheetId="1">#REF!</definedName>
    <definedName name="A.2">#REF!</definedName>
    <definedName name="A.4" localSheetId="1">#REF!</definedName>
    <definedName name="A.4">#REF!</definedName>
    <definedName name="A.4A">[14]Analisa!$H$57</definedName>
    <definedName name="A_1" localSheetId="3">#REF!</definedName>
    <definedName name="A_1" localSheetId="1">#REF!</definedName>
    <definedName name="A_1" localSheetId="6">#REF!</definedName>
    <definedName name="A_1" localSheetId="2">#REF!</definedName>
    <definedName name="A_1" localSheetId="7">#REF!</definedName>
    <definedName name="A_1">#REF!</definedName>
    <definedName name="A_AMP">"#ref!"</definedName>
    <definedName name="A_DumpTruck">"#ref!"</definedName>
    <definedName name="A_Excavator">"#ref!"</definedName>
    <definedName name="A_Finisher">"#ref!"</definedName>
    <definedName name="A_MotorGreder">"#ref!"</definedName>
    <definedName name="A_WaterTank">#N/A</definedName>
    <definedName name="A_WheelLoader">#N/A</definedName>
    <definedName name="aa" localSheetId="1">'[15]Analisa K'!#REF!</definedName>
    <definedName name="aa">'[15]Analisa K'!#REF!</definedName>
    <definedName name="AAA" localSheetId="3">#REF!</definedName>
    <definedName name="AAA" localSheetId="1">#REF!</definedName>
    <definedName name="AAA" localSheetId="6">#REF!</definedName>
    <definedName name="AAA" localSheetId="2">#REF!</definedName>
    <definedName name="AAA" localSheetId="7">#REF!</definedName>
    <definedName name="AAA">#REF!</definedName>
    <definedName name="ab" localSheetId="3">[14]RAB!#REF!</definedName>
    <definedName name="ab" localSheetId="1">[14]RAB!#REF!</definedName>
    <definedName name="ab">[14]RAB!#REF!</definedName>
    <definedName name="AC_GENERAL" localSheetId="3">'[16]Hrg Bahan'!#REF!</definedName>
    <definedName name="AC_GENERAL" localSheetId="1">'[16]Hrg Bahan'!#REF!</definedName>
    <definedName name="AC_GENERAL">'[16]Hrg Bahan'!#REF!</definedName>
    <definedName name="AC_TOSHIBA" localSheetId="3">'[16]Hrg Bahan'!#REF!</definedName>
    <definedName name="AC_TOSHIBA" localSheetId="1">'[16]Hrg Bahan'!#REF!</definedName>
    <definedName name="AC_TOSHIBA">'[16]Hrg Bahan'!#REF!</definedName>
    <definedName name="AD">'[17]D. Upah'!$E$7:$G$18</definedName>
    <definedName name="adsdsd" localSheetId="3">#REF!</definedName>
    <definedName name="adsdsd" localSheetId="1">#REF!</definedName>
    <definedName name="adsdsd" localSheetId="6">#REF!</definedName>
    <definedName name="adsdsd" localSheetId="2">#REF!</definedName>
    <definedName name="adsdsd" localSheetId="7">#REF!</definedName>
    <definedName name="adsdsd">#REF!</definedName>
    <definedName name="AGREGAT" localSheetId="3">'[10]Kuantitas &amp; Harga'!#REF!</definedName>
    <definedName name="AGREGAT" localSheetId="1">'[10]Kuantitas &amp; Harga'!#REF!</definedName>
    <definedName name="AGREGAT">'[10]Kuantitas &amp; Harga'!#REF!</definedName>
    <definedName name="AIR_VALVE_DIA.1" localSheetId="3">'[16]Hrg Bahan'!#REF!</definedName>
    <definedName name="AIR_VALVE_DIA.1" localSheetId="1">'[16]Hrg Bahan'!#REF!</definedName>
    <definedName name="AIR_VALVE_DIA.1">'[16]Hrg Bahan'!#REF!</definedName>
    <definedName name="AKUSTIK" localSheetId="1">'[16]Hrg Bahan'!#REF!</definedName>
    <definedName name="AKUSTIK">'[16]Hrg Bahan'!#REF!</definedName>
    <definedName name="alat" localSheetId="3">#REF!</definedName>
    <definedName name="alat" localSheetId="1">#REF!</definedName>
    <definedName name="alat" localSheetId="6">#REF!</definedName>
    <definedName name="alat" localSheetId="2">#REF!</definedName>
    <definedName name="alat" localSheetId="7">#REF!</definedName>
    <definedName name="alat">#REF!</definedName>
    <definedName name="ALAT_BANTU">'[16]Hrg Bahan'!$N$122</definedName>
    <definedName name="ALATUTAMA" localSheetId="3">#REF!</definedName>
    <definedName name="ALATUTAMA" localSheetId="1">#REF!</definedName>
    <definedName name="ALATUTAMA" localSheetId="6">#REF!</definedName>
    <definedName name="ALATUTAMA" localSheetId="2">#REF!</definedName>
    <definedName name="ALATUTAMA" localSheetId="7">#REF!</definedName>
    <definedName name="ALATUTAMA">#REF!</definedName>
    <definedName name="ALT">'[18]daft sewa alt'!$C$4:$E$11</definedName>
    <definedName name="ALUMINIUM_U" localSheetId="1">'[16]Hrg Bahan'!#REF!</definedName>
    <definedName name="ALUMINIUM_U">'[16]Hrg Bahan'!#REF!</definedName>
    <definedName name="AMP" localSheetId="3">#REF!</definedName>
    <definedName name="AMP" localSheetId="1">#REF!</definedName>
    <definedName name="AMP" localSheetId="6">#REF!</definedName>
    <definedName name="AMP" localSheetId="2">#REF!</definedName>
    <definedName name="AMP" localSheetId="7">#REF!</definedName>
    <definedName name="AMP">#REF!</definedName>
    <definedName name="AMPLAS_KASAR" localSheetId="3">'[16]Hrg Bahan'!#REF!</definedName>
    <definedName name="AMPLAS_KASAR" localSheetId="1">'[16]Hrg Bahan'!#REF!</definedName>
    <definedName name="AMPLAS_KASAR">'[16]Hrg Bahan'!#REF!</definedName>
    <definedName name="AN.1" localSheetId="3">#REF!</definedName>
    <definedName name="AN.1" localSheetId="1">#REF!</definedName>
    <definedName name="AN.1" localSheetId="6">#REF!</definedName>
    <definedName name="AN.1" localSheetId="2">#REF!</definedName>
    <definedName name="AN.1" localSheetId="7">#REF!</definedName>
    <definedName name="AN.1">#REF!</definedName>
    <definedName name="andi">'[17]Daftar Bahan'!$F$6:$J$45</definedName>
    <definedName name="Anl.G50c_voeg_hal.18">'[19]Hrg.sat.'!$I$1213</definedName>
    <definedName name="Anl.G50m_plesteran_hal.18">'[19]Hrg.sat.'!$I$1198</definedName>
    <definedName name="Apr_All">"#ref!"</definedName>
    <definedName name="Apr_Bahapal">"#ref!"</definedName>
    <definedName name="Apr_Barumun">"#ref!"</definedName>
    <definedName name="Apr_Buaya">"#ref!"</definedName>
    <definedName name="Apr_Dua1">"#ref!"</definedName>
    <definedName name="Apr_Dua2">"#ref!"</definedName>
    <definedName name="Apr_Hantu">"#ref!"</definedName>
    <definedName name="Apr_Pane">"#ref!"</definedName>
    <definedName name="Apr_Poncan">"#ref!"</definedName>
    <definedName name="Apr_Raso">"#ref!"</definedName>
    <definedName name="Apr_Sibintang">"#ref!"</definedName>
    <definedName name="Apr_Sibuluh">"#ref!"</definedName>
    <definedName name="Apr_Ujung">"#ref!"</definedName>
    <definedName name="april" localSheetId="1">#REF!</definedName>
    <definedName name="april">#REF!</definedName>
    <definedName name="ASBER_GELOMBANG">'[16]Hrg Bahan'!$N$166</definedName>
    <definedName name="ASBES_GENTENG" localSheetId="1">'[16]Hrg Bahan'!#REF!</definedName>
    <definedName name="ASBES_GENTENG">'[16]Hrg Bahan'!#REF!</definedName>
    <definedName name="ASBES_PLAT_HAPL" localSheetId="1">'[16]Hrg Bahan'!#REF!</definedName>
    <definedName name="ASBES_PLAT_HAPL">'[16]Hrg Bahan'!#REF!</definedName>
    <definedName name="asdasd" localSheetId="3">#REF!</definedName>
    <definedName name="asdasd" localSheetId="1">#REF!</definedName>
    <definedName name="asdasd" localSheetId="6">#REF!</definedName>
    <definedName name="asdasd" localSheetId="2">#REF!</definedName>
    <definedName name="asdasd" localSheetId="7">#REF!</definedName>
    <definedName name="asdasd">#REF!</definedName>
    <definedName name="ASPAL" localSheetId="3">'[10]Kuantitas &amp; Harga'!#REF!</definedName>
    <definedName name="ASPAL" localSheetId="1">'[10]Kuantitas &amp; Harga'!#REF!</definedName>
    <definedName name="ASPAL">'[10]Kuantitas &amp; Harga'!#REF!</definedName>
    <definedName name="ATAP" localSheetId="3">#REF!</definedName>
    <definedName name="ATAP" localSheetId="1">#REF!</definedName>
    <definedName name="ATAP">#REF!</definedName>
    <definedName name="ATAP_GENTENG" localSheetId="3">[16]Analisa!#REF!</definedName>
    <definedName name="ATAP_GENTENG" localSheetId="1">[16]Analisa!#REF!</definedName>
    <definedName name="ATAP_GENTENG">[16]Analisa!#REF!</definedName>
    <definedName name="ATAP_SPANDEK" localSheetId="3">'[16]Hrg Bahan'!#REF!</definedName>
    <definedName name="ATAP_SPANDEK" localSheetId="1">'[16]Hrg Bahan'!#REF!</definedName>
    <definedName name="ATAP_SPANDEK">'[16]Hrg Bahan'!#REF!</definedName>
    <definedName name="ATAP_TLS" localSheetId="3">'[16]Hrg Bahan'!#REF!</definedName>
    <definedName name="ATAP_TLS" localSheetId="1">'[16]Hrg Bahan'!#REF!</definedName>
    <definedName name="ATAP_TLS">'[16]Hrg Bahan'!#REF!</definedName>
    <definedName name="ATB_Hampar">#N/A</definedName>
    <definedName name="ATB_Prod">#N/A</definedName>
    <definedName name="Aug_All">"#ref!"</definedName>
    <definedName name="Aug_Bahapal">"#ref!"</definedName>
    <definedName name="Aug_Barumun">"#ref!"</definedName>
    <definedName name="Aug_Buaya">"#ref!"</definedName>
    <definedName name="Aug_Dua1">"#ref!"</definedName>
    <definedName name="Aug_Dua2">"#ref!"</definedName>
    <definedName name="Aug_Hantu">"#ref!"</definedName>
    <definedName name="Aug_Pane">"#ref!"</definedName>
    <definedName name="Aug_Poncan">"#ref!"</definedName>
    <definedName name="Aug_Raso">"#ref!"</definedName>
    <definedName name="Aug_Sibintang">"#ref!"</definedName>
    <definedName name="Aug_Sibuluh">"#ref!"</definedName>
    <definedName name="Aug_Ujung">"#ref!"</definedName>
    <definedName name="B" localSheetId="1">[13]RAB!#REF!</definedName>
    <definedName name="B">[13]RAB!#REF!</definedName>
    <definedName name="B_DINDING" localSheetId="1">[16]Analisa!#REF!</definedName>
    <definedName name="B_DINDING">[16]Analisa!#REF!</definedName>
    <definedName name="B_KOLOM" localSheetId="1">[16]Analisa!#REF!</definedName>
    <definedName name="B_KOLOM">[16]Analisa!#REF!</definedName>
    <definedName name="B_PLAT" localSheetId="1">[16]Analisa!#REF!</definedName>
    <definedName name="B_PLAT">[16]Analisa!#REF!</definedName>
    <definedName name="B_PONDASI" localSheetId="1">[16]Analisa!#REF!</definedName>
    <definedName name="B_PONDASI">[16]Analisa!#REF!</definedName>
    <definedName name="B_RINGBALK" localSheetId="1">[16]Analisa!#REF!</definedName>
    <definedName name="B_RINGBALK">[16]Analisa!#REF!</definedName>
    <definedName name="B_SLOEF" localSheetId="1">[16]Analisa!#REF!</definedName>
    <definedName name="B_SLOEF">[16]Analisa!#REF!</definedName>
    <definedName name="B_TANGGA" localSheetId="1">[16]Analisa!#REF!</definedName>
    <definedName name="B_TANGGA">[16]Analisa!#REF!</definedName>
    <definedName name="BADAK_20X20" localSheetId="1">'[16]Hrg Bahan'!#REF!</definedName>
    <definedName name="BADAK_20X20">'[16]Hrg Bahan'!#REF!</definedName>
    <definedName name="BADAK_30X30" localSheetId="1">'[16]Hrg Bahan'!#REF!</definedName>
    <definedName name="BADAK_30X30">'[16]Hrg Bahan'!#REF!</definedName>
    <definedName name="BAHAN" localSheetId="1">[20]ANALISA.T!#REF!</definedName>
    <definedName name="BAHAN">[20]ANALISA.T!#REF!</definedName>
    <definedName name="bahan.">[21]HBU!$E$8:$E$592</definedName>
    <definedName name="BAHU" localSheetId="1">'[10]Kuantitas &amp; Harga'!#REF!</definedName>
    <definedName name="BAHU">'[10]Kuantitas &amp; Harga'!#REF!</definedName>
    <definedName name="BAJA_C_" localSheetId="1">'[16]Hrg Bahan'!#REF!</definedName>
    <definedName name="BAJA_C_">'[16]Hrg Bahan'!#REF!</definedName>
    <definedName name="BAJA_I" localSheetId="1">'[16]Hrg Bahan'!#REF!</definedName>
    <definedName name="BAJA_I">'[16]Hrg Bahan'!#REF!</definedName>
    <definedName name="BAJA_IWF_100" localSheetId="1">'[16]Hrg Bahan'!#REF!</definedName>
    <definedName name="BAJA_IWF_100">'[16]Hrg Bahan'!#REF!</definedName>
    <definedName name="BAJA_IWF_198" localSheetId="1">'[16]Hrg Bahan'!#REF!</definedName>
    <definedName name="BAJA_IWF_198">'[16]Hrg Bahan'!#REF!</definedName>
    <definedName name="BAJA_KONSTRUKSI" localSheetId="1">'[16]Hrg Bahan'!#REF!</definedName>
    <definedName name="BAJA_KONSTRUKSI">'[16]Hrg Bahan'!#REF!</definedName>
    <definedName name="BAJA_L" localSheetId="1">'[16]Hrg Bahan'!#REF!</definedName>
    <definedName name="BAJA_L">'[16]Hrg Bahan'!#REF!</definedName>
    <definedName name="BajaU32Polos">"#ref!"</definedName>
    <definedName name="BAK_MANDI_60X60">'[16]Hrg Bahan'!$N$186</definedName>
    <definedName name="BAK_MANDI_FIBER" localSheetId="1">'[16]Hrg Bahan'!#REF!</definedName>
    <definedName name="BAK_MANDI_FIBER">'[16]Hrg Bahan'!#REF!</definedName>
    <definedName name="BAK_MANDI_PLAS" localSheetId="1">'[16]Hrg Bahan'!#REF!</definedName>
    <definedName name="BAK_MANDI_PLAS">'[16]Hrg Bahan'!#REF!</definedName>
    <definedName name="BAK_MANDI_POR" localSheetId="1">'[16]Hrg Bahan'!#REF!</definedName>
    <definedName name="BAK_MANDI_POR">'[16]Hrg Bahan'!#REF!</definedName>
    <definedName name="BALOK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ALOK_I">'[16]Hrg Bahan'!$N$26</definedName>
    <definedName name="BALOK_II">'[16]Hrg Bahan'!$N$30</definedName>
    <definedName name="BATH_TUB" localSheetId="1">'[16]Hrg Bahan'!#REF!</definedName>
    <definedName name="BATH_TUB">'[16]Hrg Bahan'!#REF!</definedName>
    <definedName name="batu">[12]harga!$F$34</definedName>
    <definedName name="BATU_KOSONG" localSheetId="1">[16]Analisa!#REF!</definedName>
    <definedName name="BATU_KOSONG">[16]Analisa!#REF!</definedName>
    <definedName name="BATUBETON" localSheetId="1">[22]RAB01!#REF!</definedName>
    <definedName name="BATUBETON">[22]RAB01!#REF!</definedName>
    <definedName name="BAUT___VISER" localSheetId="1">'[16]Hrg Bahan'!#REF!</definedName>
    <definedName name="BAUT___VISER">'[16]Hrg Bahan'!#REF!</definedName>
    <definedName name="BAUT_BAJA" localSheetId="1">'[16]Hrg Bahan'!#REF!</definedName>
    <definedName name="BAUT_BAJA">'[16]Hrg Bahan'!#REF!</definedName>
    <definedName name="bb" localSheetId="3">#REF!</definedName>
    <definedName name="bb" localSheetId="1">#REF!</definedName>
    <definedName name="bb" localSheetId="6">#REF!</definedName>
    <definedName name="bb" localSheetId="2">#REF!</definedName>
    <definedName name="bb" localSheetId="7">#REF!</definedName>
    <definedName name="bb">#REF!</definedName>
    <definedName name="bbb" localSheetId="3">#REF!</definedName>
    <definedName name="bbb" localSheetId="1">#REF!</definedName>
    <definedName name="bbb" localSheetId="6">#REF!</definedName>
    <definedName name="bbb" localSheetId="2">#REF!</definedName>
    <definedName name="bbb" localSheetId="7">#REF!</definedName>
    <definedName name="bbb">#REF!</definedName>
    <definedName name="BBG_ASBES_GEL" localSheetId="3">'[16]Hrg Bahan'!#REF!</definedName>
    <definedName name="BBG_ASBES_GEL" localSheetId="1">'[16]Hrg Bahan'!#REF!</definedName>
    <definedName name="BBG_ASBES_GEL" localSheetId="6">'[16]Hrg Bahan'!#REF!</definedName>
    <definedName name="BBG_ASBES_GEL" localSheetId="2">'[16]Hrg Bahan'!#REF!</definedName>
    <definedName name="BBG_ASBES_GEL" localSheetId="7">'[16]Hrg Bahan'!#REF!</definedName>
    <definedName name="BBG_ASBES_GEL">'[16]Hrg Bahan'!#REF!</definedName>
    <definedName name="BBG_ASBES_GEN" localSheetId="3">'[16]Hrg Bahan'!#REF!</definedName>
    <definedName name="BBG_ASBES_GEN" localSheetId="1">'[16]Hrg Bahan'!#REF!</definedName>
    <definedName name="BBG_ASBES_GEN" localSheetId="6">'[16]Hrg Bahan'!#REF!</definedName>
    <definedName name="BBG_ASBES_GEN" localSheetId="2">'[16]Hrg Bahan'!#REF!</definedName>
    <definedName name="BBG_ASBES_GEN" localSheetId="7">'[16]Hrg Bahan'!#REF!</definedName>
    <definedName name="BBG_ASBES_GEN">'[16]Hrg Bahan'!#REF!</definedName>
    <definedName name="BBG_ASBES_GEN_W" localSheetId="3">'[16]Hrg Bahan'!#REF!</definedName>
    <definedName name="BBG_ASBES_GEN_W" localSheetId="1">'[16]Hrg Bahan'!#REF!</definedName>
    <definedName name="BBG_ASBES_GEN_W">'[16]Hrg Bahan'!#REF!</definedName>
    <definedName name="BBG_GTG_BETON">'[16]Hrg Bahan'!$N$169</definedName>
    <definedName name="BBG_GTG_KERAMIK" localSheetId="1">'[16]Hrg Bahan'!#REF!</definedName>
    <definedName name="BBG_GTG_KERAMIK">'[16]Hrg Bahan'!#REF!</definedName>
    <definedName name="BBG_GTG_METAL" localSheetId="1">'[16]Hrg Bahan'!#REF!</definedName>
    <definedName name="BBG_GTG_METAL">'[16]Hrg Bahan'!#REF!</definedName>
    <definedName name="BBG_GTG_STEEL" localSheetId="1">'[16]Hrg Bahan'!#REF!</definedName>
    <definedName name="BBG_GTG_STEEL">'[16]Hrg Bahan'!#REF!</definedName>
    <definedName name="besi">[12]harga!$F$62</definedName>
    <definedName name="BESI_BETON" localSheetId="1">'[16]Hrg Bahan'!#REF!</definedName>
    <definedName name="BESI_BETON">'[16]Hrg Bahan'!#REF!</definedName>
    <definedName name="BESI_STRIP_3" localSheetId="1">'[16]Hrg Bahan'!#REF!</definedName>
    <definedName name="BESI_STRIP_3">'[16]Hrg Bahan'!#REF!</definedName>
    <definedName name="besi10">[23]Sheet1!$U$3</definedName>
    <definedName name="BESI14">'[16]Hrg Bahan'!$N$88</definedName>
    <definedName name="besi16">[23]Sheet1!$R$3</definedName>
    <definedName name="BESI19" localSheetId="1">'[16]Hrg Bahan'!#REF!</definedName>
    <definedName name="BESI19">'[16]Hrg Bahan'!#REF!</definedName>
    <definedName name="BESI25" localSheetId="1">'[16]Hrg Bahan'!#REF!</definedName>
    <definedName name="BESI25">'[16]Hrg Bahan'!#REF!</definedName>
    <definedName name="BESI4" localSheetId="1">'[16]Hrg Bahan'!#REF!</definedName>
    <definedName name="BESI4">'[16]Hrg Bahan'!#REF!</definedName>
    <definedName name="BET_NON_STRUK" localSheetId="3">#REF!</definedName>
    <definedName name="BET_NON_STRUK" localSheetId="1">#REF!</definedName>
    <definedName name="BET_NON_STRUK" localSheetId="6">#REF!</definedName>
    <definedName name="BET_NON_STRUK" localSheetId="2">#REF!</definedName>
    <definedName name="BET_NON_STRUK" localSheetId="7">#REF!</definedName>
    <definedName name="BET_NON_STRUK">#REF!</definedName>
    <definedName name="beton" hidden="1">[24]Div2!$G$12:$G$20</definedName>
    <definedName name="BetonK175">#N/A</definedName>
    <definedName name="BetonK250">"#ref!"</definedName>
    <definedName name="bg">'[25]hrg-jadi'!$H$21</definedName>
    <definedName name="bhn" localSheetId="3">#REF!</definedName>
    <definedName name="bhn" localSheetId="1">#REF!</definedName>
    <definedName name="bhn" localSheetId="6">#REF!</definedName>
    <definedName name="bhn" localSheetId="2">#REF!</definedName>
    <definedName name="bhn" localSheetId="7">#REF!</definedName>
    <definedName name="bhn">#REF!</definedName>
    <definedName name="BHN.MAROS" localSheetId="3">#REF!</definedName>
    <definedName name="BHN.MAROS" localSheetId="1">#REF!</definedName>
    <definedName name="BHN.MAROS" localSheetId="6">#REF!</definedName>
    <definedName name="BHN.MAROS" localSheetId="2">#REF!</definedName>
    <definedName name="BHN.MAROS" localSheetId="7">#REF!</definedName>
    <definedName name="BHN.MAROS">#REF!</definedName>
    <definedName name="bhn.maros1" localSheetId="3">#REF!</definedName>
    <definedName name="bhn.maros1" localSheetId="1">#REF!</definedName>
    <definedName name="bhn.maros1" localSheetId="6">#REF!</definedName>
    <definedName name="bhn.maros1" localSheetId="2">#REF!</definedName>
    <definedName name="bhn.maros1" localSheetId="7">#REF!</definedName>
    <definedName name="bhn.maros1">#REF!</definedName>
    <definedName name="bhn.pangkep" localSheetId="1">#REF!</definedName>
    <definedName name="bhn.pangkep">#REF!</definedName>
    <definedName name="BIASA_1_4" localSheetId="1">[16]Analisa!#REF!</definedName>
    <definedName name="BIASA_1_4">[16]Analisa!#REF!</definedName>
    <definedName name="BIAYA_PENYAM" localSheetId="1">'[16]Hrg Bahan'!#REF!</definedName>
    <definedName name="BIAYA_PENYAM">'[16]Hrg Bahan'!#REF!</definedName>
    <definedName name="BJLS.020_LICIN" localSheetId="1">'[16]Hrg Bahan'!#REF!</definedName>
    <definedName name="BJLS.020_LICIN">'[16]Hrg Bahan'!#REF!</definedName>
    <definedName name="BJLS.020_PLAT">'[16]Hrg Bahan'!$N$157</definedName>
    <definedName name="bnb" localSheetId="3">#REF!</definedName>
    <definedName name="bnb" localSheetId="1">#REF!</definedName>
    <definedName name="bnb" localSheetId="6">#REF!</definedName>
    <definedName name="bnb" localSheetId="2">#REF!</definedName>
    <definedName name="bnb" localSheetId="7">#REF!</definedName>
    <definedName name="bnb">#REF!</definedName>
    <definedName name="BOHLAM_MINI" localSheetId="3">'[16]Hrg Bahan'!#REF!</definedName>
    <definedName name="BOHLAM_MINI" localSheetId="1">'[16]Hrg Bahan'!#REF!</definedName>
    <definedName name="BOHLAM_MINI">'[16]Hrg Bahan'!#REF!</definedName>
    <definedName name="BOSOWA_40" localSheetId="3">'[16]Hrg Bahan'!#REF!</definedName>
    <definedName name="BOSOWA_40" localSheetId="1">'[16]Hrg Bahan'!#REF!</definedName>
    <definedName name="BOSOWA_40">'[16]Hrg Bahan'!#REF!</definedName>
    <definedName name="BOSOWA_50" localSheetId="1">'[16]Hrg Bahan'!#REF!</definedName>
    <definedName name="BOSOWA_50">'[16]Hrg Bahan'!#REF!</definedName>
    <definedName name="BOUWPLANK" localSheetId="1">[16]Analisa!#REF!</definedName>
    <definedName name="BOUWPLANK">[16]Analisa!#REF!</definedName>
    <definedName name="BOX_METER" localSheetId="1">'[16]Hrg Bahan'!#REF!</definedName>
    <definedName name="BOX_METER">'[16]Hrg Bahan'!#REF!</definedName>
    <definedName name="BOX_ROLL_DOOR" localSheetId="1">'[16]Hrg Bahan'!#REF!</definedName>
    <definedName name="BOX_ROLL_DOOR">'[16]Hrg Bahan'!#REF!</definedName>
    <definedName name="BRIKET" localSheetId="1">'[16]Hrg Bahan'!#REF!</definedName>
    <definedName name="BRIKET">'[16]Hrg Bahan'!#REF!</definedName>
    <definedName name="Bronjong">#N/A</definedName>
    <definedName name="BT._PECAH_0_5_1" localSheetId="1">'[16]Hrg Bahan'!#REF!</definedName>
    <definedName name="BT._PECAH_0_5_1">'[16]Hrg Bahan'!#REF!</definedName>
    <definedName name="BT.BATA">'[16]Hrg Bahan'!$N$23</definedName>
    <definedName name="BT.GUNUNG">'[16]Hrg Bahan'!$N$8</definedName>
    <definedName name="BT.GUNUNG_1.3" localSheetId="1">[16]Analisa!#REF!</definedName>
    <definedName name="BT.GUNUNG_1.3">[16]Analisa!#REF!</definedName>
    <definedName name="BT.KALI" localSheetId="1">'[16]Hrg Bahan'!#REF!</definedName>
    <definedName name="BT.KALI">'[16]Hrg Bahan'!#REF!</definedName>
    <definedName name="BT.PECAH_10_15" localSheetId="1">'[16]Hrg Bahan'!#REF!</definedName>
    <definedName name="BT.PECAH_10_15">'[16]Hrg Bahan'!#REF!</definedName>
    <definedName name="BT.PECAH_2_3">'[16]Hrg Bahan'!$N$9</definedName>
    <definedName name="BT.PECAH_3_5" localSheetId="1">'[16]Hrg Bahan'!#REF!</definedName>
    <definedName name="BT.PECAH_3_5">'[16]Hrg Bahan'!#REF!</definedName>
    <definedName name="BT.PECAH_5_7" localSheetId="1">'[16]Hrg Bahan'!#REF!</definedName>
    <definedName name="BT.PECAH_5_7">'[16]Hrg Bahan'!#REF!</definedName>
    <definedName name="BT.PECAH_7_10" localSheetId="1">'[16]Hrg Bahan'!#REF!</definedName>
    <definedName name="BT.PECAH_7_10">'[16]Hrg Bahan'!#REF!</definedName>
    <definedName name="BT_GUNUNG_1.4" localSheetId="1">[16]Analisa!#REF!</definedName>
    <definedName name="BT_GUNUNG_1.4">[16]Analisa!#REF!</definedName>
    <definedName name="BT_GUNUNG_1.5" localSheetId="1">[16]Analisa!#REF!</definedName>
    <definedName name="BT_GUNUNG_1.5">[16]Analisa!#REF!</definedName>
    <definedName name="BT_GUNUNG_1_5" localSheetId="1">[16]Analisa!#REF!</definedName>
    <definedName name="BT_GUNUNG_1_5">[16]Analisa!#REF!</definedName>
    <definedName name="bt_merah">'[25]hrg-jadi'!$H$30</definedName>
    <definedName name="Bt_Pecah">#N/A</definedName>
    <definedName name="BUBUNGAN_SENG" localSheetId="1">'[16]Hrg Bahan'!#REF!</definedName>
    <definedName name="BUBUNGAN_SENG">'[16]Hrg Bahan'!#REF!</definedName>
    <definedName name="BUBUNGAN_TLS" localSheetId="1">'[16]Hrg Bahan'!#REF!</definedName>
    <definedName name="BUBUNGAN_TLS">'[16]Hrg Bahan'!#REF!</definedName>
    <definedName name="BULLDOZER" localSheetId="3">#REF!</definedName>
    <definedName name="BULLDOZER" localSheetId="1">#REF!</definedName>
    <definedName name="BULLDOZER" localSheetId="6">#REF!</definedName>
    <definedName name="BULLDOZER" localSheetId="2">#REF!</definedName>
    <definedName name="BULLDOZER" localSheetId="7">#REF!</definedName>
    <definedName name="BULLDOZER">#REF!</definedName>
    <definedName name="C." localSheetId="3">[13]RAB!#REF!</definedName>
    <definedName name="C." localSheetId="1">[13]RAB!#REF!</definedName>
    <definedName name="C.">[13]RAB!#REF!</definedName>
    <definedName name="C._TEMBOK_KEDAP" localSheetId="3">'[16]Hrg Bahan'!#REF!</definedName>
    <definedName name="C._TEMBOK_KEDAP" localSheetId="1">'[16]Hrg Bahan'!#REF!</definedName>
    <definedName name="C._TEMBOK_KEDAP">'[16]Hrg Bahan'!#REF!</definedName>
    <definedName name="CampAspalMinor">"#ref!"</definedName>
    <definedName name="CAT" localSheetId="1">#REF!</definedName>
    <definedName name="CAT">#REF!</definedName>
    <definedName name="CAT_ANTI_LUMUT" localSheetId="1">'[16]Hrg Bahan'!#REF!</definedName>
    <definedName name="CAT_ANTI_LUMUT">'[16]Hrg Bahan'!#REF!</definedName>
    <definedName name="CAT_ASBES" localSheetId="1">'[16]Hrg Bahan'!#REF!</definedName>
    <definedName name="CAT_ASBES">'[16]Hrg Bahan'!#REF!</definedName>
    <definedName name="CAT_ATAP" localSheetId="1">[16]Analisa!#REF!</definedName>
    <definedName name="CAT_ATAP">[16]Analisa!#REF!</definedName>
    <definedName name="CAT_BESI" localSheetId="1">'[16]Hrg Bahan'!#REF!</definedName>
    <definedName name="CAT_BESI">'[16]Hrg Bahan'!#REF!</definedName>
    <definedName name="CAT_DINDING_BARU" localSheetId="1">[16]Analisa!#REF!</definedName>
    <definedName name="CAT_DINDING_BARU">[16]Analisa!#REF!</definedName>
    <definedName name="CAT_DINDING_LAMA" localSheetId="1">[16]Analisa!#REF!</definedName>
    <definedName name="CAT_DINDING_LAMA">[16]Analisa!#REF!</definedName>
    <definedName name="CAT_GENTENG" localSheetId="1">'[16]Hrg Bahan'!#REF!</definedName>
    <definedName name="CAT_GENTENG">'[16]Hrg Bahan'!#REF!</definedName>
    <definedName name="CAT_JEMBATAN" localSheetId="1">'[16]Hrg Bahan'!#REF!</definedName>
    <definedName name="CAT_JEMBATAN">'[16]Hrg Bahan'!#REF!</definedName>
    <definedName name="CAT_KAYU_LAMA" localSheetId="1">[16]Analisa!#REF!</definedName>
    <definedName name="CAT_KAYU_LAMA">[16]Analisa!#REF!</definedName>
    <definedName name="CAT_MINYAK_FIL" localSheetId="1">'[16]Hrg Bahan'!#REF!</definedName>
    <definedName name="CAT_MINYAK_FIL">'[16]Hrg Bahan'!#REF!</definedName>
    <definedName name="CAT_MINYAK_STAI" localSheetId="1">'[16]Hrg Bahan'!#REF!</definedName>
    <definedName name="CAT_MINYAK_STAI">'[16]Hrg Bahan'!#REF!</definedName>
    <definedName name="CAT_MOBILEX" localSheetId="1">'[16]Hrg Bahan'!#REF!</definedName>
    <definedName name="CAT_MOBILEX">'[16]Hrg Bahan'!#REF!</definedName>
    <definedName name="CAT_SANDING" localSheetId="1">'[16]Hrg Bahan'!#REF!</definedName>
    <definedName name="CAT_SANDING">'[16]Hrg Bahan'!#REF!</definedName>
    <definedName name="CAT_SENG" localSheetId="1">'[16]Hrg Bahan'!#REF!</definedName>
    <definedName name="CAT_SENG">'[16]Hrg Bahan'!#REF!</definedName>
    <definedName name="CAT_TEMBOK_EKS" localSheetId="1">'[16]Hrg Bahan'!#REF!</definedName>
    <definedName name="CAT_TEMBOK_EKS">'[16]Hrg Bahan'!#REF!</definedName>
    <definedName name="CAT_TEMBOK_IN" localSheetId="1">'[16]Hrg Bahan'!#REF!</definedName>
    <definedName name="CAT_TEMBOK_IN">'[16]Hrg Bahan'!#REF!</definedName>
    <definedName name="CCC" localSheetId="1">[13]RAB!#REF!</definedName>
    <definedName name="CCC">[13]RAB!#REF!</definedName>
    <definedName name="CCCC" localSheetId="3" hidden="1">#REF!</definedName>
    <definedName name="CCCC" localSheetId="1" hidden="1">#REF!</definedName>
    <definedName name="CCCC" localSheetId="6" hidden="1">#REF!</definedName>
    <definedName name="CCCC" localSheetId="2" hidden="1">#REF!</definedName>
    <definedName name="CCCC" localSheetId="7" hidden="1">#REF!</definedName>
    <definedName name="CCCC" hidden="1">#REF!</definedName>
    <definedName name="CCO2_Div1_Bahapal">"#ref!"</definedName>
    <definedName name="CCO2_Div1_Barumun">"#ref!"</definedName>
    <definedName name="CCO2_Div1_Buaya">"#ref!"</definedName>
    <definedName name="CCO2_Div1_Dua1">"#ref!"</definedName>
    <definedName name="CCO2_Div1_Dua2">"#ref!"</definedName>
    <definedName name="CCO2_Div1_Hantu">"#ref!"</definedName>
    <definedName name="CCO2_Div1_Pane">"#ref!"</definedName>
    <definedName name="CCO2_Div1_Poncan">"#ref!"</definedName>
    <definedName name="CCO2_Div1_Raso">"#ref!"</definedName>
    <definedName name="CCO2_Div1_Sibintang">"#ref!"</definedName>
    <definedName name="CCO2_Div1_Sibuluh">"#ref!"</definedName>
    <definedName name="CCO2_Div1_Total">"#ref!"</definedName>
    <definedName name="CCO2_Div1_Ujung">"#ref!"</definedName>
    <definedName name="CCO2_Div2_Bahapal">"#ref!"</definedName>
    <definedName name="CCO2_Div2_Barumun">"#ref!"</definedName>
    <definedName name="CCO2_Div2_Buaya">"#ref!"</definedName>
    <definedName name="CCO2_Div2_Dua1">"#ref!"</definedName>
    <definedName name="CCO2_Div2_Dua2">"#ref!"</definedName>
    <definedName name="CCO2_Div2_Hantu">"#ref!"</definedName>
    <definedName name="CCO2_Div2_Pane">"#ref!"</definedName>
    <definedName name="CCO2_Div2_Poncan">"#ref!"</definedName>
    <definedName name="CCO2_Div2_Raso">"#ref!"</definedName>
    <definedName name="CCO2_Div2_Sibintang">"#ref!"</definedName>
    <definedName name="CCO2_Div2_Sibuluh">"#ref!"</definedName>
    <definedName name="CCO2_Div2_Total">"#ref!"</definedName>
    <definedName name="CCO2_Div2_Ujung">"#ref!"</definedName>
    <definedName name="CCO2_Div3_Bahapal">"#ref!"</definedName>
    <definedName name="CCO2_Div3_Barumun">"#ref!"</definedName>
    <definedName name="CCO2_Div3_Buaya">"#ref!"</definedName>
    <definedName name="CCO2_Div3_Dua1">"#ref!"</definedName>
    <definedName name="CCO2_Div3_Dua2">"#ref!"</definedName>
    <definedName name="CCO2_Div3_Hantu">"#ref!"</definedName>
    <definedName name="CCO2_Div3_Pane">"#ref!"</definedName>
    <definedName name="CCO2_Div3_Poncan">"#ref!"</definedName>
    <definedName name="CCO2_Div3_Raso">"#ref!"</definedName>
    <definedName name="CCO2_Div3_Sibintang">"#ref!"</definedName>
    <definedName name="CCO2_Div3_Sibuluh">"#ref!"</definedName>
    <definedName name="CCO2_Div3_Total">"#ref!"</definedName>
    <definedName name="CCO2_Div3_Ujung">"#ref!"</definedName>
    <definedName name="CCO2_Div4_Bahapal">"#ref!"</definedName>
    <definedName name="CCO2_Div4_Barumun">"#ref!"</definedName>
    <definedName name="CCO2_Div4_Buaya">"#ref!"</definedName>
    <definedName name="CCO2_Div4_Dua1">"#ref!"</definedName>
    <definedName name="CCO2_Div4_Dua2">"#ref!"</definedName>
    <definedName name="CCO2_Div4_Hantu">"#ref!"</definedName>
    <definedName name="CCO2_Div4_Pane">"#ref!"</definedName>
    <definedName name="CCO2_Div4_Poncan">"#ref!"</definedName>
    <definedName name="CCO2_Div4_Raso">"#ref!"</definedName>
    <definedName name="CCO2_Div4_Sibintang">"#ref!"</definedName>
    <definedName name="CCO2_Div4_Sibuluh">"#ref!"</definedName>
    <definedName name="CCO2_Div4_Total">"#ref!"</definedName>
    <definedName name="CCO2_Div4_Ujung">"#ref!"</definedName>
    <definedName name="CCO2_Div5_Bahapal">"#ref!"</definedName>
    <definedName name="CCO2_Div5_Barumun">"#ref!"</definedName>
    <definedName name="CCO2_Div5_Buaya">"#ref!"</definedName>
    <definedName name="CCO2_Div5_Dua1">"#ref!"</definedName>
    <definedName name="CCO2_Div5_Dua2">"#ref!"</definedName>
    <definedName name="CCO2_Div5_Hantu">"#ref!"</definedName>
    <definedName name="CCO2_Div5_Pane">"#ref!"</definedName>
    <definedName name="CCO2_Div5_Poncan">"#ref!"</definedName>
    <definedName name="CCO2_Div5_Raso">"#ref!"</definedName>
    <definedName name="CCO2_Div5_Sibintang">"#ref!"</definedName>
    <definedName name="CCO2_Div5_Sibuluh">"#ref!"</definedName>
    <definedName name="CCO2_Div5_Total">"#ref!"</definedName>
    <definedName name="CCO2_Div5_Ujung">"#ref!"</definedName>
    <definedName name="CCO2_Div6_Bahapal">"#ref!"</definedName>
    <definedName name="CCO2_Div6_Barumun">"#ref!"</definedName>
    <definedName name="CCO2_Div6_Buaya">"#ref!"</definedName>
    <definedName name="CCO2_Div6_Dua1">"#ref!"</definedName>
    <definedName name="CCO2_Div6_Dua2">"#ref!"</definedName>
    <definedName name="CCO2_Div6_Hantu">"#ref!"</definedName>
    <definedName name="CCO2_Div6_Pane">"#ref!"</definedName>
    <definedName name="CCO2_Div6_Poncan">"#ref!"</definedName>
    <definedName name="CCO2_Div6_Raso">"#ref!"</definedName>
    <definedName name="CCO2_Div6_Sibintang">"#ref!"</definedName>
    <definedName name="CCO2_Div6_Sibuluh">"#ref!"</definedName>
    <definedName name="CCO2_Div6_Total">"#ref!"</definedName>
    <definedName name="CCO2_Div6_Ujung">"#ref!"</definedName>
    <definedName name="CCO2_Div7_Bahapal">"#ref!"</definedName>
    <definedName name="CCO2_Div7_Barumun">"#ref!"</definedName>
    <definedName name="CCO2_Div7_Buaya">"#ref!"</definedName>
    <definedName name="CCO2_Div7_Dua1">"#ref!"</definedName>
    <definedName name="CCO2_Div7_Dua2">"#ref!"</definedName>
    <definedName name="CCO2_Div7_Hantu">"#ref!"</definedName>
    <definedName name="CCO2_Div7_Pane">"#ref!"</definedName>
    <definedName name="CCO2_Div7_Poncan">"#ref!"</definedName>
    <definedName name="CCO2_Div7_Raso">"#ref!"</definedName>
    <definedName name="CCO2_Div7_Sibintang">"#ref!"</definedName>
    <definedName name="CCO2_Div7_Sibuluh">"#ref!"</definedName>
    <definedName name="CCO2_Div7_Total">"#ref!"</definedName>
    <definedName name="CCO2_Div7_Ujung">"#ref!"</definedName>
    <definedName name="cek">[11]Rek!$H$30</definedName>
    <definedName name="CLOSED_DDK___KR">'[16]Hrg Bahan'!$N$179</definedName>
    <definedName name="CLOSED_DUDUK" localSheetId="1">'[16]Hrg Bahan'!#REF!</definedName>
    <definedName name="CLOSED_DUDUK">'[16]Hrg Bahan'!#REF!</definedName>
    <definedName name="CLOSED_JGK_KIA" localSheetId="1">'[16]Hrg Bahan'!#REF!</definedName>
    <definedName name="CLOSED_JGK_KIA">'[16]Hrg Bahan'!#REF!</definedName>
    <definedName name="CLOSED_JONGKOK">'[16]Hrg Bahan'!$N$178</definedName>
    <definedName name="COMPRESSOR" localSheetId="3">#REF!</definedName>
    <definedName name="COMPRESSOR" localSheetId="1">#REF!</definedName>
    <definedName name="COMPRESSOR" localSheetId="6">#REF!</definedName>
    <definedName name="COMPRESSOR" localSheetId="2">#REF!</definedName>
    <definedName name="COMPRESSOR" localSheetId="7">#REF!</definedName>
    <definedName name="COMPRESSOR">#REF!</definedName>
    <definedName name="CONCRETEMIXER" localSheetId="3">#REF!</definedName>
    <definedName name="CONCRETEMIXER" localSheetId="1">#REF!</definedName>
    <definedName name="CONCRETEMIXER" localSheetId="6">#REF!</definedName>
    <definedName name="CONCRETEMIXER" localSheetId="2">#REF!</definedName>
    <definedName name="CONCRETEMIXER" localSheetId="7">#REF!</definedName>
    <definedName name="CONCRETEMIXER">#REF!</definedName>
    <definedName name="CONCRETEVIBRO" localSheetId="3">#REF!</definedName>
    <definedName name="CONCRETEVIBRO" localSheetId="1">#REF!</definedName>
    <definedName name="CONCRETEVIBRO" localSheetId="6">#REF!</definedName>
    <definedName name="CONCRETEVIBRO" localSheetId="2">#REF!</definedName>
    <definedName name="CONCRETEVIBRO" localSheetId="7">#REF!</definedName>
    <definedName name="CONCRETEVIBRO">#REF!</definedName>
    <definedName name="CRANE" localSheetId="1">#REF!</definedName>
    <definedName name="CRANE">#REF!</definedName>
    <definedName name="D" localSheetId="1">#REF!</definedName>
    <definedName name="D">#REF!</definedName>
    <definedName name="DAFTARSEWA" localSheetId="1">#REF!</definedName>
    <definedName name="DAFTARSEWA">#REF!</definedName>
    <definedName name="DATAUPAH">'[11]4-Basic Price'!$D$8:$F$38</definedName>
    <definedName name="DAYWORKS" localSheetId="1">'[10]Kuantitas &amp; Harga'!#REF!</definedName>
    <definedName name="DAYWORKS">'[10]Kuantitas &amp; Harga'!#REF!</definedName>
    <definedName name="dd" localSheetId="1" hidden="1">#REF!</definedName>
    <definedName name="dd" hidden="1">#REF!</definedName>
    <definedName name="dddd" localSheetId="1" hidden="1">#REF!</definedName>
    <definedName name="dddd" hidden="1">#REF!</definedName>
    <definedName name="ddg_btalam" localSheetId="1">[16]Analisa!#REF!</definedName>
    <definedName name="ddg_btalam">[16]Analisa!#REF!</definedName>
    <definedName name="Dec_All">"#ref!"</definedName>
    <definedName name="Dec_Bahapal">"#ref!"</definedName>
    <definedName name="Dec_Barumun">"#ref!"</definedName>
    <definedName name="Dec_Buaya">"#ref!"</definedName>
    <definedName name="Dec_Dua1">"#ref!"</definedName>
    <definedName name="Dec_Dua2">"#ref!"</definedName>
    <definedName name="Dec_Hantu">"#ref!"</definedName>
    <definedName name="Dec_Pane">"#ref!"</definedName>
    <definedName name="Dec_Poncan">"#ref!"</definedName>
    <definedName name="Dec_Raso">"#ref!"</definedName>
    <definedName name="Dec_Sibintang">"#ref!"</definedName>
    <definedName name="Dec_Sibuluh">"#ref!"</definedName>
    <definedName name="Dec_Ujung">"#ref!"</definedName>
    <definedName name="Dec02_All">"#ref!"</definedName>
    <definedName name="Dec02_Bahapal">"#ref!"</definedName>
    <definedName name="Dec02_Barumun">"#ref!"</definedName>
    <definedName name="Dec02_Buaya">"#ref!"</definedName>
    <definedName name="Dec02_Dua1">"#ref!"</definedName>
    <definedName name="Dec02_Dua2">"#ref!"</definedName>
    <definedName name="Dec02_Hantu">"#ref!"</definedName>
    <definedName name="Dec02_Pane">"#ref!"</definedName>
    <definedName name="Dec02_Poncan">"#ref!"</definedName>
    <definedName name="Dec02_Raso">"#ref!"</definedName>
    <definedName name="Dec02_Sibintang">"#ref!"</definedName>
    <definedName name="Dec02_Sibuluh">"#ref!"</definedName>
    <definedName name="Dec02_Ujung">"#ref!"</definedName>
    <definedName name="deuicker" localSheetId="1">#REF!</definedName>
    <definedName name="deuicker">#REF!</definedName>
    <definedName name="Dibuat_tgl" localSheetId="1">#REF!</definedName>
    <definedName name="Dibuat_tgl">#REF!</definedName>
    <definedName name="DINDING" localSheetId="1">#REF!</definedName>
    <definedName name="DINDING">#REF!</definedName>
    <definedName name="DINDING_POLOS_20.25" localSheetId="1">[16]Analisa!#REF!</definedName>
    <definedName name="DINDING_POLOS_20.25">[16]Analisa!#REF!</definedName>
    <definedName name="Disiapkan_oleh" localSheetId="3">#REF!</definedName>
    <definedName name="Disiapkan_oleh" localSheetId="1">#REF!</definedName>
    <definedName name="Disiapkan_oleh" localSheetId="6">#REF!</definedName>
    <definedName name="Disiapkan_oleh" localSheetId="2">#REF!</definedName>
    <definedName name="Disiapkan_oleh" localSheetId="7">#REF!</definedName>
    <definedName name="Disiapkan_oleh">#REF!</definedName>
    <definedName name="Div1_Bahapal">"#ref!"</definedName>
    <definedName name="Div1_Barumun">"#ref!"</definedName>
    <definedName name="Div1_Buaya">"#ref!"</definedName>
    <definedName name="Div1_Dua1">"#ref!"</definedName>
    <definedName name="Div1_Dua2">"#ref!"</definedName>
    <definedName name="Div1_Hantu">"#ref!"</definedName>
    <definedName name="Div1_Pane">"#ref!"</definedName>
    <definedName name="Div1_Poncan">"#ref!"</definedName>
    <definedName name="Div1_Raso">"#ref!"</definedName>
    <definedName name="Div1_Sibintang">"#ref!"</definedName>
    <definedName name="Div1_Sibuluh">"#ref!"</definedName>
    <definedName name="Div1_Total">"#ref!"</definedName>
    <definedName name="Div1_Ujung">"#ref!"</definedName>
    <definedName name="Div2_Bahapal">"#ref!"</definedName>
    <definedName name="Div2_Barumun">"#ref!"</definedName>
    <definedName name="Div2_Buaya">"#ref!"</definedName>
    <definedName name="Div2_Dua1">"#ref!"</definedName>
    <definedName name="Div2_Dua2">"#ref!"</definedName>
    <definedName name="Div2_Hantu">"#ref!"</definedName>
    <definedName name="Div2_Pane">"#ref!"</definedName>
    <definedName name="Div2_Poncan">"#ref!"</definedName>
    <definedName name="Div2_Raso">"#ref!"</definedName>
    <definedName name="Div2_Sibintang">"#ref!"</definedName>
    <definedName name="Div2_Sibuluh">"#ref!"</definedName>
    <definedName name="Div2_Total">"#ref!"</definedName>
    <definedName name="Div2_Ujung">"#ref!"</definedName>
    <definedName name="Div3_Bahapal">"#ref!"</definedName>
    <definedName name="Div3_Barumun">"#ref!"</definedName>
    <definedName name="Div3_Buaya">"#ref!"</definedName>
    <definedName name="Div3_Dua1">"#ref!"</definedName>
    <definedName name="Div3_Dua2">"#ref!"</definedName>
    <definedName name="Div3_Hantu">"#ref!"</definedName>
    <definedName name="Div3_Pane">"#ref!"</definedName>
    <definedName name="Div3_Poncan">"#ref!"</definedName>
    <definedName name="Div3_Raso">"#ref!"</definedName>
    <definedName name="Div3_Sibintang">"#ref!"</definedName>
    <definedName name="Div3_Sibuluh">"#ref!"</definedName>
    <definedName name="Div3_Total">"#ref!"</definedName>
    <definedName name="Div3_Ujung">"#ref!"</definedName>
    <definedName name="DIV3A" hidden="1">[6]Div2!$H$12:$H$20</definedName>
    <definedName name="Div4_Bahapal">"#ref!"</definedName>
    <definedName name="Div4_Barumun">"#ref!"</definedName>
    <definedName name="Div4_Buaya">"#ref!"</definedName>
    <definedName name="Div4_Dua1">"#ref!"</definedName>
    <definedName name="Div4_Dua2">"#ref!"</definedName>
    <definedName name="Div4_Hantu">"#ref!"</definedName>
    <definedName name="Div4_Pane">"#ref!"</definedName>
    <definedName name="Div4_Poncan">"#ref!"</definedName>
    <definedName name="Div4_Raso">"#ref!"</definedName>
    <definedName name="Div4_Sibintang">"#ref!"</definedName>
    <definedName name="Div4_Sibuluh">"#ref!"</definedName>
    <definedName name="Div4_Total">"#ref!"</definedName>
    <definedName name="Div4_Ujung">"#ref!"</definedName>
    <definedName name="Div5_Bahapal">"#ref!"</definedName>
    <definedName name="Div5_Barumun">"#ref!"</definedName>
    <definedName name="Div5_Buaya">"#ref!"</definedName>
    <definedName name="Div5_Dua1">"#ref!"</definedName>
    <definedName name="Div5_Dua2">"#ref!"</definedName>
    <definedName name="Div5_Hantu">"#ref!"</definedName>
    <definedName name="Div5_Pane">"#ref!"</definedName>
    <definedName name="Div5_Poncan">"#ref!"</definedName>
    <definedName name="Div5_Raso">"#ref!"</definedName>
    <definedName name="Div5_Sibintang">"#ref!"</definedName>
    <definedName name="Div5_Sibuluh">"#ref!"</definedName>
    <definedName name="Div5_Total">"#ref!"</definedName>
    <definedName name="Div5_Ujung">"#ref!"</definedName>
    <definedName name="Div6_Bahapal">"#ref!"</definedName>
    <definedName name="Div6_Barumun">"#ref!"</definedName>
    <definedName name="Div6_Buaya">"#ref!"</definedName>
    <definedName name="Div6_Dua1">"#ref!"</definedName>
    <definedName name="Div6_Dua2">"#ref!"</definedName>
    <definedName name="Div6_Hantu">"#ref!"</definedName>
    <definedName name="Div6_Pane">"#ref!"</definedName>
    <definedName name="Div6_Poncan">"#ref!"</definedName>
    <definedName name="Div6_Raso">"#ref!"</definedName>
    <definedName name="Div6_Sibintang">"#ref!"</definedName>
    <definedName name="Div6_Sibuluh">"#ref!"</definedName>
    <definedName name="Div6_Total">"#ref!"</definedName>
    <definedName name="Div6_Ujung">"#ref!"</definedName>
    <definedName name="Div7_Bahapal">"#ref!"</definedName>
    <definedName name="Div7_Barumun">"#ref!"</definedName>
    <definedName name="Div7_Buaya">"#ref!"</definedName>
    <definedName name="Div7_Dua1">"#ref!"</definedName>
    <definedName name="Div7_Dua2">"#ref!"</definedName>
    <definedName name="Div7_Hantu">"#ref!"</definedName>
    <definedName name="Div7_Pane">"#ref!"</definedName>
    <definedName name="Div7_Poncan">"#ref!"</definedName>
    <definedName name="Div7_Raso">"#ref!"</definedName>
    <definedName name="Div7_Sibintang">"#ref!"</definedName>
    <definedName name="Div7_Sibuluh">"#ref!"</definedName>
    <definedName name="Div7_Total">"#ref!"</definedName>
    <definedName name="Div7_Ujung">"#ref!"</definedName>
    <definedName name="dlk">[12]harga!$F$37</definedName>
    <definedName name="DRAINASE" localSheetId="1">'[10]Kuantitas &amp; Harga'!#REF!</definedName>
    <definedName name="DRAINASE">'[10]Kuantitas &amp; Harga'!#REF!</definedName>
    <definedName name="DRYER_LANTAI" localSheetId="1">'[16]Hrg Bahan'!#REF!</definedName>
    <definedName name="DRYER_LANTAI">'[16]Hrg Bahan'!#REF!</definedName>
    <definedName name="DUMPTRUCK1" localSheetId="3">#REF!</definedName>
    <definedName name="DUMPTRUCK1" localSheetId="1">#REF!</definedName>
    <definedName name="DUMPTRUCK1" localSheetId="6">#REF!</definedName>
    <definedName name="DUMPTRUCK1" localSheetId="2">#REF!</definedName>
    <definedName name="DUMPTRUCK1" localSheetId="7">#REF!</definedName>
    <definedName name="DUMPTRUCK1">#REF!</definedName>
    <definedName name="DUMPTRUCK2" localSheetId="3">#REF!</definedName>
    <definedName name="DUMPTRUCK2" localSheetId="1">#REF!</definedName>
    <definedName name="DUMPTRUCK2" localSheetId="6">#REF!</definedName>
    <definedName name="DUMPTRUCK2" localSheetId="2">#REF!</definedName>
    <definedName name="DUMPTRUCK2" localSheetId="7">#REF!</definedName>
    <definedName name="DUMPTRUCK2">#REF!</definedName>
    <definedName name="E" localSheetId="3">[13]RAB!#REF!</definedName>
    <definedName name="E" localSheetId="1">[13]RAB!#REF!</definedName>
    <definedName name="E" localSheetId="6">[13]RAB!#REF!</definedName>
    <definedName name="E" localSheetId="2">[13]RAB!#REF!</definedName>
    <definedName name="E" localSheetId="7">[13]RAB!#REF!</definedName>
    <definedName name="E">[13]RAB!#REF!</definedName>
    <definedName name="E.13" localSheetId="3">#REF!</definedName>
    <definedName name="E.13" localSheetId="1">#REF!</definedName>
    <definedName name="E.13" localSheetId="6">#REF!</definedName>
    <definedName name="E.13" localSheetId="2">#REF!</definedName>
    <definedName name="E.13" localSheetId="7">#REF!</definedName>
    <definedName name="E.13">#REF!</definedName>
    <definedName name="E_001" localSheetId="3">#REF!</definedName>
    <definedName name="E_001" localSheetId="1">#REF!</definedName>
    <definedName name="E_001" localSheetId="6">#REF!</definedName>
    <definedName name="E_001" localSheetId="2">#REF!</definedName>
    <definedName name="E_001" localSheetId="7">#REF!</definedName>
    <definedName name="E_001">#REF!</definedName>
    <definedName name="E_010" localSheetId="3">#REF!</definedName>
    <definedName name="E_010" localSheetId="1">#REF!</definedName>
    <definedName name="E_010" localSheetId="6">#REF!</definedName>
    <definedName name="E_010" localSheetId="2">#REF!</definedName>
    <definedName name="E_010" localSheetId="7">#REF!</definedName>
    <definedName name="E_010">#REF!</definedName>
    <definedName name="E_031" localSheetId="1">#REF!</definedName>
    <definedName name="E_031">#REF!</definedName>
    <definedName name="E_040" localSheetId="1">#REF!</definedName>
    <definedName name="E_040">#REF!</definedName>
    <definedName name="E_052" localSheetId="1">#REF!</definedName>
    <definedName name="E_052">#REF!</definedName>
    <definedName name="E_080" localSheetId="1">#REF!</definedName>
    <definedName name="E_080">#REF!</definedName>
    <definedName name="E_081" localSheetId="1">#REF!</definedName>
    <definedName name="E_081">#REF!</definedName>
    <definedName name="E_084" localSheetId="1">#REF!</definedName>
    <definedName name="E_084">#REF!</definedName>
    <definedName name="E_087" localSheetId="1">#REF!</definedName>
    <definedName name="E_087">#REF!</definedName>
    <definedName name="E_088" localSheetId="1">#REF!</definedName>
    <definedName name="E_088">#REF!</definedName>
    <definedName name="E_089" localSheetId="1">#REF!</definedName>
    <definedName name="E_089">#REF!</definedName>
    <definedName name="E_13" localSheetId="1">#REF!</definedName>
    <definedName name="E_13">#REF!</definedName>
    <definedName name="E_153" localSheetId="1">#REF!</definedName>
    <definedName name="E_153">#REF!</definedName>
    <definedName name="E_154" localSheetId="1">#REF!</definedName>
    <definedName name="E_154">#REF!</definedName>
    <definedName name="E_155" localSheetId="1">#REF!</definedName>
    <definedName name="E_155">#REF!</definedName>
    <definedName name="E_157" localSheetId="1">#REF!</definedName>
    <definedName name="E_157">#REF!</definedName>
    <definedName name="E_182" localSheetId="1">#REF!</definedName>
    <definedName name="E_182">#REF!</definedName>
    <definedName name="E_211" localSheetId="1">#REF!</definedName>
    <definedName name="E_211">#REF!</definedName>
    <definedName name="E_212" localSheetId="1">#REF!</definedName>
    <definedName name="E_212">#REF!</definedName>
    <definedName name="E_221" localSheetId="1">#REF!</definedName>
    <definedName name="E_221">#REF!</definedName>
    <definedName name="E_251" localSheetId="1">#REF!</definedName>
    <definedName name="E_251">#REF!</definedName>
    <definedName name="E_253" localSheetId="1">#REF!</definedName>
    <definedName name="E_253">#REF!</definedName>
    <definedName name="E_301" localSheetId="1">#REF!</definedName>
    <definedName name="E_301">#REF!</definedName>
    <definedName name="E_341" localSheetId="1">#REF!</definedName>
    <definedName name="E_341">#REF!</definedName>
    <definedName name="EEE06REV">'[26]5-Peralatan'!$AW$13</definedName>
    <definedName name="EEE09REV1">'[26]5-Peralatan'!$AW$16</definedName>
    <definedName name="EEE17REV">'[26]5-Peralatan'!$AW$24</definedName>
    <definedName name="EEE17REV1">'[26]5-Peralatan'!$AW$24</definedName>
    <definedName name="ENGSEL_JENDELA" localSheetId="1">'[16]Hrg Bahan'!#REF!</definedName>
    <definedName name="ENGSEL_JENDELA">'[16]Hrg Bahan'!#REF!</definedName>
    <definedName name="ENGSEL_PINTU" localSheetId="1">'[16]Hrg Bahan'!#REF!</definedName>
    <definedName name="ENGSEL_PINTU">'[16]Hrg Bahan'!#REF!</definedName>
    <definedName name="ENGSEL_PINTU_LE" localSheetId="1">'[16]Hrg Bahan'!#REF!</definedName>
    <definedName name="ENGSEL_PINTU_LE">'[16]Hrg Bahan'!#REF!</definedName>
    <definedName name="ENGSEL_PINTU_OT" localSheetId="1">'[16]Hrg Bahan'!#REF!</definedName>
    <definedName name="ENGSEL_PINTU_OT">'[16]Hrg Bahan'!#REF!</definedName>
    <definedName name="ETERNIT" localSheetId="1">'[16]Hrg Bahan'!#REF!</definedName>
    <definedName name="ETERNIT">'[16]Hrg Bahan'!#REF!</definedName>
    <definedName name="EXCAVATOR" localSheetId="3">#REF!</definedName>
    <definedName name="EXCAVATOR" localSheetId="1">#REF!</definedName>
    <definedName name="EXCAVATOR" localSheetId="6">#REF!</definedName>
    <definedName name="EXCAVATOR" localSheetId="2">#REF!</definedName>
    <definedName name="EXCAVATOR" localSheetId="7">#REF!</definedName>
    <definedName name="EXCAVATOR">#REF!</definedName>
    <definedName name="Excel_BuiltIn_Print_Area">#N/A</definedName>
    <definedName name="EXHAUSTFUN" localSheetId="1">'[16]Hrg Bahan'!#REF!</definedName>
    <definedName name="EXHAUSTFUN">'[16]Hrg Bahan'!#REF!</definedName>
    <definedName name="EXPANYOLET_TANA">'[16]Hrg Bahan'!$N$189</definedName>
    <definedName name="F" localSheetId="1">[13]RAB!#REF!</definedName>
    <definedName name="F">[13]RAB!#REF!</definedName>
    <definedName name="F.1_I" localSheetId="3">#REF!</definedName>
    <definedName name="F.1_I" localSheetId="1">#REF!</definedName>
    <definedName name="F.1_I" localSheetId="6">#REF!</definedName>
    <definedName name="F.1_I" localSheetId="2">#REF!</definedName>
    <definedName name="F.1_I" localSheetId="7">#REF!</definedName>
    <definedName name="F.1_I">#REF!</definedName>
    <definedName name="F.1_II" localSheetId="3">#REF!</definedName>
    <definedName name="F.1_II" localSheetId="1">#REF!</definedName>
    <definedName name="F.1_II" localSheetId="6">#REF!</definedName>
    <definedName name="F.1_II" localSheetId="2">#REF!</definedName>
    <definedName name="F.1_II" localSheetId="7">#REF!</definedName>
    <definedName name="F.1_II">#REF!</definedName>
    <definedName name="F.16" localSheetId="3">#REF!</definedName>
    <definedName name="F.16" localSheetId="1">#REF!</definedName>
    <definedName name="F.16" localSheetId="6">#REF!</definedName>
    <definedName name="F.16" localSheetId="2">#REF!</definedName>
    <definedName name="F.16" localSheetId="7">#REF!</definedName>
    <definedName name="F.16">#REF!</definedName>
    <definedName name="F.21_I" localSheetId="1">#REF!</definedName>
    <definedName name="F.21_I">#REF!</definedName>
    <definedName name="F.21_II" localSheetId="1">#REF!</definedName>
    <definedName name="F.21_II">#REF!</definedName>
    <definedName name="F.22_I" localSheetId="1">#REF!</definedName>
    <definedName name="F.22_I">#REF!</definedName>
    <definedName name="F.22_II" localSheetId="1">#REF!</definedName>
    <definedName name="F.22_II">#REF!</definedName>
    <definedName name="F.27_I" localSheetId="1">#REF!</definedName>
    <definedName name="F.27_I">#REF!</definedName>
    <definedName name="F.27_II" localSheetId="1">#REF!</definedName>
    <definedName name="F.27_II">#REF!</definedName>
    <definedName name="F.30_I_TEAK" localSheetId="1">#REF!</definedName>
    <definedName name="F.30_I_TEAK">#REF!</definedName>
    <definedName name="F.30_I_TRIP" localSheetId="1">#REF!</definedName>
    <definedName name="F.30_I_TRIP">#REF!</definedName>
    <definedName name="F.30_II_TEAK" localSheetId="1">#REF!</definedName>
    <definedName name="F.30_II_TEAK">#REF!</definedName>
    <definedName name="F.30_II_TRIP" localSheetId="1">#REF!</definedName>
    <definedName name="F.30_II_TRIP">#REF!</definedName>
    <definedName name="F.31_I" localSheetId="1">#REF!</definedName>
    <definedName name="F.31_I">#REF!</definedName>
    <definedName name="F.31_II" localSheetId="1">#REF!</definedName>
    <definedName name="F.31_II">#REF!</definedName>
    <definedName name="F.33_I" localSheetId="1">#REF!</definedName>
    <definedName name="F.33_I">#REF!</definedName>
    <definedName name="F.33_II" localSheetId="1">#REF!</definedName>
    <definedName name="F.33_II">#REF!</definedName>
    <definedName name="F.35_B3" localSheetId="1">#REF!</definedName>
    <definedName name="F.35_B3">#REF!</definedName>
    <definedName name="F.35_B5" localSheetId="1">#REF!</definedName>
    <definedName name="F.35_B5">#REF!</definedName>
    <definedName name="F.35_R3" localSheetId="1">#REF!</definedName>
    <definedName name="F.35_R3">#REF!</definedName>
    <definedName name="F.35_R5" localSheetId="1">#REF!</definedName>
    <definedName name="F.35_R5">#REF!</definedName>
    <definedName name="F.36_B_I" localSheetId="1">#REF!</definedName>
    <definedName name="F.36_B_I">#REF!</definedName>
    <definedName name="F.36_B_II" localSheetId="1">#REF!</definedName>
    <definedName name="F.36_B_II">#REF!</definedName>
    <definedName name="F.36_R_I" localSheetId="1">#REF!</definedName>
    <definedName name="F.36_R_I">#REF!</definedName>
    <definedName name="F.36_R_II" localSheetId="1">#REF!</definedName>
    <definedName name="F.36_R_II">#REF!</definedName>
    <definedName name="F.36A_I" localSheetId="1">#REF!</definedName>
    <definedName name="F.36A_I">#REF!</definedName>
    <definedName name="F.36A_II" localSheetId="1">#REF!</definedName>
    <definedName name="F.36A_II">#REF!</definedName>
    <definedName name="F.37_P_I" localSheetId="1">#REF!</definedName>
    <definedName name="F.37_P_I">#REF!</definedName>
    <definedName name="F.37_P_II" localSheetId="1">#REF!</definedName>
    <definedName name="F.37_P_II">#REF!</definedName>
    <definedName name="F.37_T" localSheetId="1">#REF!</definedName>
    <definedName name="F.37_T">#REF!</definedName>
    <definedName name="F.37_TEAK" localSheetId="1">#REF!</definedName>
    <definedName name="F.37_TEAK">#REF!</definedName>
    <definedName name="F.38_I" localSheetId="1">#REF!</definedName>
    <definedName name="F.38_I">#REF!</definedName>
    <definedName name="F.38_II" localSheetId="1">#REF!</definedName>
    <definedName name="F.38_II">#REF!</definedName>
    <definedName name="F.47_I" localSheetId="1">#REF!</definedName>
    <definedName name="F.47_I">#REF!</definedName>
    <definedName name="F.47_II" localSheetId="1">#REF!</definedName>
    <definedName name="F.47_II">#REF!</definedName>
    <definedName name="Feb_All">"#ref!"</definedName>
    <definedName name="Feb_Bahapal">"#ref!"</definedName>
    <definedName name="Feb_Barumun">"#ref!"</definedName>
    <definedName name="Feb_Buaya">"#ref!"</definedName>
    <definedName name="Feb_Dua1">"#ref!"</definedName>
    <definedName name="Feb_Dua2">"#ref!"</definedName>
    <definedName name="Feb_Hantu">"#ref!"</definedName>
    <definedName name="Feb_Pane">"#ref!"</definedName>
    <definedName name="Feb_Poncan">"#ref!"</definedName>
    <definedName name="Feb_Raso">"#ref!"</definedName>
    <definedName name="Feb_Sibintang">"#ref!"</definedName>
    <definedName name="Feb_Sibuluh">"#ref!"</definedName>
    <definedName name="Feb_Ujung">"#ref!"</definedName>
    <definedName name="FFF" localSheetId="1">#REF!</definedName>
    <definedName name="FFF">#REF!</definedName>
    <definedName name="FINISHER" localSheetId="1">#REF!</definedName>
    <definedName name="FINISHER">#REF!</definedName>
    <definedName name="FINISHING" localSheetId="1">#REF!</definedName>
    <definedName name="FINISHING">#REF!</definedName>
    <definedName name="FLATBEDTRUCK" localSheetId="1">#REF!</definedName>
    <definedName name="FLATBEDTRUCK">#REF!</definedName>
    <definedName name="FLUG_KRAN_1_2" localSheetId="1">'[16]Hrg Bahan'!#REF!</definedName>
    <definedName name="FLUG_KRAN_1_2">'[16]Hrg Bahan'!#REF!</definedName>
    <definedName name="FORM21">'[27]3-DIV2'!$L$1:$V$61</definedName>
    <definedName name="FORM22E" localSheetId="1">'[27]3-DIV2'!#REF!</definedName>
    <definedName name="FORM22E">'[27]3-DIV2'!#REF!</definedName>
    <definedName name="FORM22L">'[27]3-DIV2'!$L$121:$V$121</definedName>
    <definedName name="FORM231">'[27]3-DIV2'!$L$123:$V$183</definedName>
    <definedName name="FORM232">'[27]3-DIV2'!$L$243:$V$303</definedName>
    <definedName name="FORM233">'[27]3-DIV2'!$L$363:$V$423</definedName>
    <definedName name="Form234">'[27]3-DIV2'!$L$483:$V$543</definedName>
    <definedName name="Form235">'[27]3-DIV2'!$L$603:$V$663</definedName>
    <definedName name="Form236">'[27]3-DIV2'!$L$854:$V$914</definedName>
    <definedName name="FORM241" localSheetId="1">'[27]3-DIV2'!#REF!</definedName>
    <definedName name="FORM241">'[27]3-DIV2'!#REF!</definedName>
    <definedName name="FORM242">'[27]3-DIV2'!$L$978:$V$1038</definedName>
    <definedName name="FORM243">'[27]3-DIV2'!$L$1039:$V$1100</definedName>
    <definedName name="FORM311">"#ref!"</definedName>
    <definedName name="FORM312">"#ref!"</definedName>
    <definedName name="FORM313">"#ref!"</definedName>
    <definedName name="FORM314">"#ref!"</definedName>
    <definedName name="FORM315">"#ref!"</definedName>
    <definedName name="FORM319">"#ref!"</definedName>
    <definedName name="FORM322">"#ref!"</definedName>
    <definedName name="FORM323">"#ref!"</definedName>
    <definedName name="FORM323L" localSheetId="1">#REF!</definedName>
    <definedName name="FORM323L">#REF!</definedName>
    <definedName name="FORM324">"#ref!"</definedName>
    <definedName name="FORM331">"#ref!"</definedName>
    <definedName name="FORM346">"#ref!"</definedName>
    <definedName name="FORM421">'[28]3-DIV4'!$L$1:$V$61</definedName>
    <definedName name="FORM422">'[28]3-DIV4'!$L$180:$V$240</definedName>
    <definedName name="FORM423">'[28]3-DIV4'!$L$479:$V$539</definedName>
    <definedName name="FORM424">'[28]3-DIV4'!$L$359:$V$419</definedName>
    <definedName name="FORM425">'[28]3-DIV4'!$L$718:$V$778</definedName>
    <definedName name="FORM426">'[28]3-DIV4'!$L$897:$V$957</definedName>
    <definedName name="FORM427">'[28]3-DIV4'!$L$1017:$V$1077</definedName>
    <definedName name="FORM511">"#ref!"</definedName>
    <definedName name="FORM512">"#ref!"</definedName>
    <definedName name="FORM521">"#ref!"</definedName>
    <definedName name="FORM522">"#ref!"</definedName>
    <definedName name="FORM541">"#ref!"</definedName>
    <definedName name="FORM542">"#ref!"</definedName>
    <definedName name="FORM611" localSheetId="1">#REF!</definedName>
    <definedName name="FORM611">#REF!</definedName>
    <definedName name="FORM612" localSheetId="1">#REF!</definedName>
    <definedName name="FORM612">#REF!</definedName>
    <definedName name="FORM621" localSheetId="1">#REF!</definedName>
    <definedName name="FORM621">#REF!</definedName>
    <definedName name="FORM622" localSheetId="1">#REF!</definedName>
    <definedName name="FORM622">#REF!</definedName>
    <definedName name="FORM623" localSheetId="1">#REF!</definedName>
    <definedName name="FORM623">#REF!</definedName>
    <definedName name="FORM631" localSheetId="1">#REF!</definedName>
    <definedName name="FORM631">#REF!</definedName>
    <definedName name="FORM632" localSheetId="1">#REF!</definedName>
    <definedName name="FORM632">#REF!</definedName>
    <definedName name="FORM633" localSheetId="1">#REF!</definedName>
    <definedName name="FORM633">#REF!</definedName>
    <definedName name="FORM634" localSheetId="1">#REF!</definedName>
    <definedName name="FORM634">#REF!</definedName>
    <definedName name="FORM635" localSheetId="1">#REF!</definedName>
    <definedName name="FORM635">#REF!</definedName>
    <definedName name="FORM635A" localSheetId="1">#REF!</definedName>
    <definedName name="FORM635A">#REF!</definedName>
    <definedName name="FORM636" localSheetId="1">#REF!</definedName>
    <definedName name="FORM636">#REF!</definedName>
    <definedName name="FORM641L" localSheetId="1">#REF!</definedName>
    <definedName name="FORM641L">#REF!</definedName>
    <definedName name="FORM642" localSheetId="1">#REF!</definedName>
    <definedName name="FORM642">#REF!</definedName>
    <definedName name="FORM65" localSheetId="1">#REF!</definedName>
    <definedName name="FORM65">#REF!</definedName>
    <definedName name="FORM66PERATA" localSheetId="1">#REF!</definedName>
    <definedName name="FORM66PERATA">#REF!</definedName>
    <definedName name="FORM66PERMUKAAN" localSheetId="1">#REF!</definedName>
    <definedName name="FORM66PERMUKAAN">#REF!</definedName>
    <definedName name="FORM7101" localSheetId="1">#REF!</definedName>
    <definedName name="FORM7101">#REF!</definedName>
    <definedName name="FORM7102" localSheetId="1">#REF!</definedName>
    <definedName name="FORM7102">#REF!</definedName>
    <definedName name="FORM7103" localSheetId="1">#REF!</definedName>
    <definedName name="FORM7103">#REF!</definedName>
    <definedName name="FORM711" localSheetId="1">#REF!</definedName>
    <definedName name="FORM711">#REF!</definedName>
    <definedName name="FORM712" localSheetId="1">#REF!</definedName>
    <definedName name="FORM712">#REF!</definedName>
    <definedName name="FORM713" localSheetId="1">#REF!</definedName>
    <definedName name="FORM713">#REF!</definedName>
    <definedName name="FORM714" localSheetId="1">#REF!</definedName>
    <definedName name="FORM714">#REF!</definedName>
    <definedName name="FORM715" localSheetId="1">#REF!</definedName>
    <definedName name="FORM715">#REF!</definedName>
    <definedName name="FORM716" localSheetId="1">#REF!</definedName>
    <definedName name="FORM716">#REF!</definedName>
    <definedName name="FORM717" localSheetId="1">#REF!</definedName>
    <definedName name="FORM717">#REF!</definedName>
    <definedName name="FORM718" localSheetId="1">#REF!</definedName>
    <definedName name="FORM718">#REF!</definedName>
    <definedName name="FORM721" localSheetId="1">#REF!</definedName>
    <definedName name="FORM721">#REF!</definedName>
    <definedName name="FORM731" localSheetId="1">#REF!</definedName>
    <definedName name="FORM731">#REF!</definedName>
    <definedName name="FORM732" localSheetId="1">#REF!</definedName>
    <definedName name="FORM732">#REF!</definedName>
    <definedName name="FORM733" localSheetId="1">#REF!</definedName>
    <definedName name="FORM733">#REF!</definedName>
    <definedName name="FORM734" localSheetId="1">#REF!</definedName>
    <definedName name="FORM734">#REF!</definedName>
    <definedName name="FORM735" localSheetId="1">#REF!</definedName>
    <definedName name="FORM735">#REF!</definedName>
    <definedName name="FORM744" localSheetId="1">#REF!</definedName>
    <definedName name="FORM744">#REF!</definedName>
    <definedName name="FORM745" localSheetId="1">#REF!</definedName>
    <definedName name="FORM745">#REF!</definedName>
    <definedName name="FORM7610" localSheetId="1">#REF!</definedName>
    <definedName name="FORM7610">#REF!</definedName>
    <definedName name="FORM7612a" localSheetId="1">#REF!</definedName>
    <definedName name="FORM7612a">#REF!</definedName>
    <definedName name="FORM7612b" localSheetId="1">#REF!</definedName>
    <definedName name="FORM7612b">#REF!</definedName>
    <definedName name="FORM7612c" localSheetId="1">#REF!</definedName>
    <definedName name="FORM7612c">#REF!</definedName>
    <definedName name="FORM7613a" localSheetId="1">#REF!</definedName>
    <definedName name="FORM7613a">#REF!</definedName>
    <definedName name="FORM7613b" localSheetId="1">#REF!</definedName>
    <definedName name="FORM7613b">#REF!</definedName>
    <definedName name="FORM7613c" localSheetId="1">#REF!</definedName>
    <definedName name="FORM7613c">#REF!</definedName>
    <definedName name="FORM7614a" localSheetId="1">#REF!</definedName>
    <definedName name="FORM7614a">#REF!</definedName>
    <definedName name="FORM7614b" localSheetId="1">#REF!</definedName>
    <definedName name="FORM7614b">#REF!</definedName>
    <definedName name="FORM7614c" localSheetId="1">#REF!</definedName>
    <definedName name="FORM7614c">#REF!</definedName>
    <definedName name="FORM7614d" localSheetId="1">#REF!</definedName>
    <definedName name="FORM7614d">#REF!</definedName>
    <definedName name="FORM7614e" localSheetId="1">#REF!</definedName>
    <definedName name="FORM7614e">#REF!</definedName>
    <definedName name="FORM7618" localSheetId="1">#REF!</definedName>
    <definedName name="FORM7618">#REF!</definedName>
    <definedName name="FORM7619" localSheetId="1">#REF!</definedName>
    <definedName name="FORM7619">#REF!</definedName>
    <definedName name="FORM768" localSheetId="1">#REF!</definedName>
    <definedName name="FORM768">#REF!</definedName>
    <definedName name="FORM769" localSheetId="1">#REF!</definedName>
    <definedName name="FORM769">#REF!</definedName>
    <definedName name="FORM76X" localSheetId="1">#REF!</definedName>
    <definedName name="FORM76X">#REF!</definedName>
    <definedName name="FORM771a" localSheetId="1">#REF!</definedName>
    <definedName name="FORM771a">#REF!</definedName>
    <definedName name="FORM771b" localSheetId="1">#REF!</definedName>
    <definedName name="FORM771b">#REF!</definedName>
    <definedName name="FORM771c" localSheetId="1">#REF!</definedName>
    <definedName name="FORM771c">#REF!</definedName>
    <definedName name="FORM771d" localSheetId="1">#REF!</definedName>
    <definedName name="FORM771d">#REF!</definedName>
    <definedName name="FORM772a" localSheetId="1">#REF!</definedName>
    <definedName name="FORM772a">#REF!</definedName>
    <definedName name="FORM772b" localSheetId="1">#REF!</definedName>
    <definedName name="FORM772b">#REF!</definedName>
    <definedName name="FORM772c" localSheetId="1">#REF!</definedName>
    <definedName name="FORM772c">#REF!</definedName>
    <definedName name="FORM772d" localSheetId="1">#REF!</definedName>
    <definedName name="FORM772d">#REF!</definedName>
    <definedName name="FORM79manual" localSheetId="1">#REF!</definedName>
    <definedName name="FORM79manual">#REF!</definedName>
    <definedName name="FORM79mekanis" localSheetId="1">#REF!</definedName>
    <definedName name="FORM79mekanis">#REF!</definedName>
    <definedName name="FORM811" localSheetId="1">#REF!</definedName>
    <definedName name="FORM811">#REF!</definedName>
    <definedName name="FORM812" localSheetId="1">#REF!</definedName>
    <definedName name="FORM812">#REF!</definedName>
    <definedName name="FORM813" localSheetId="1">#REF!</definedName>
    <definedName name="FORM813">#REF!</definedName>
    <definedName name="FORM814" localSheetId="1">#REF!</definedName>
    <definedName name="FORM814">#REF!</definedName>
    <definedName name="FORM815" localSheetId="1">#REF!</definedName>
    <definedName name="FORM815">#REF!</definedName>
    <definedName name="FORM817" localSheetId="1">#REF!</definedName>
    <definedName name="FORM817">#REF!</definedName>
    <definedName name="FORM818" localSheetId="1">#REF!</definedName>
    <definedName name="FORM818">#REF!</definedName>
    <definedName name="FORM819" localSheetId="1">#REF!</definedName>
    <definedName name="FORM819">#REF!</definedName>
    <definedName name="FORM82" localSheetId="1">#REF!</definedName>
    <definedName name="FORM82">#REF!</definedName>
    <definedName name="FORM841" localSheetId="1">#REF!</definedName>
    <definedName name="FORM841">#REF!</definedName>
    <definedName name="FORM8410" localSheetId="1">#REF!</definedName>
    <definedName name="FORM8410">#REF!</definedName>
    <definedName name="FORM842" localSheetId="1">#REF!</definedName>
    <definedName name="FORM842">#REF!</definedName>
    <definedName name="FORM844" localSheetId="1">#REF!</definedName>
    <definedName name="FORM844">#REF!</definedName>
    <definedName name="FORM845" localSheetId="1">#REF!</definedName>
    <definedName name="FORM845">#REF!</definedName>
    <definedName name="FORM846" localSheetId="1">#REF!</definedName>
    <definedName name="FORM846">#REF!</definedName>
    <definedName name="FORM847" localSheetId="1">#REF!</definedName>
    <definedName name="FORM847">#REF!</definedName>
    <definedName name="FORMGEOTEKSTIL" localSheetId="1">#REF!</definedName>
    <definedName name="FORMGEOTEKSTIL">#REF!</definedName>
    <definedName name="FRRDS" localSheetId="1">#REF!</definedName>
    <definedName name="FRRDS">#REF!</definedName>
    <definedName name="FULVIMIXER" localSheetId="1">#REF!</definedName>
    <definedName name="FULVIMIXER">#REF!</definedName>
    <definedName name="G" localSheetId="1">[13]RAB!#REF!</definedName>
    <definedName name="G">[13]RAB!#REF!</definedName>
    <definedName name="G.14" localSheetId="3">#REF!</definedName>
    <definedName name="G.14" localSheetId="1">#REF!</definedName>
    <definedName name="G.14" localSheetId="6">#REF!</definedName>
    <definedName name="G.14" localSheetId="2">#REF!</definedName>
    <definedName name="G.14" localSheetId="7">#REF!</definedName>
    <definedName name="G.14">#REF!</definedName>
    <definedName name="G.16" localSheetId="3">#REF!</definedName>
    <definedName name="G.16" localSheetId="1">#REF!</definedName>
    <definedName name="G.16" localSheetId="6">#REF!</definedName>
    <definedName name="G.16" localSheetId="2">#REF!</definedName>
    <definedName name="G.16" localSheetId="7">#REF!</definedName>
    <definedName name="G.16">#REF!</definedName>
    <definedName name="G.2" localSheetId="3">#REF!</definedName>
    <definedName name="G.2" localSheetId="1">#REF!</definedName>
    <definedName name="G.2" localSheetId="6">#REF!</definedName>
    <definedName name="G.2" localSheetId="2">#REF!</definedName>
    <definedName name="G.2" localSheetId="7">#REF!</definedName>
    <definedName name="G.2">#REF!</definedName>
    <definedName name="G.32H" localSheetId="1">#REF!</definedName>
    <definedName name="G.32H">#REF!</definedName>
    <definedName name="G.32K" localSheetId="1">#REF!</definedName>
    <definedName name="G.32K">#REF!</definedName>
    <definedName name="G.32L" localSheetId="1">#REF!</definedName>
    <definedName name="G.32L">#REF!</definedName>
    <definedName name="G.33F" localSheetId="1">#REF!</definedName>
    <definedName name="G.33F">#REF!</definedName>
    <definedName name="G.33H" localSheetId="1">#REF!</definedName>
    <definedName name="G.33H">#REF!</definedName>
    <definedName name="G.33I" localSheetId="1">#REF!</definedName>
    <definedName name="G.33I">#REF!</definedName>
    <definedName name="G.33L" localSheetId="1">#REF!</definedName>
    <definedName name="G.33L">#REF!</definedName>
    <definedName name="G.44" localSheetId="1">#REF!</definedName>
    <definedName name="G.44">#REF!</definedName>
    <definedName name="G.50H" localSheetId="1">#REF!</definedName>
    <definedName name="G.50H">#REF!</definedName>
    <definedName name="G.50I" localSheetId="1">#REF!</definedName>
    <definedName name="G.50I">#REF!</definedName>
    <definedName name="G.50J" localSheetId="1">#REF!</definedName>
    <definedName name="G.50J">#REF!</definedName>
    <definedName name="G.50K" localSheetId="1">#REF!</definedName>
    <definedName name="G.50K">#REF!</definedName>
    <definedName name="G.50O" localSheetId="1">#REF!</definedName>
    <definedName name="G.50O">#REF!</definedName>
    <definedName name="G.50P" localSheetId="1">#REF!</definedName>
    <definedName name="G.50P">#REF!</definedName>
    <definedName name="G.51C" localSheetId="1">#REF!</definedName>
    <definedName name="G.51C">#REF!</definedName>
    <definedName name="G.51D" localSheetId="1">#REF!</definedName>
    <definedName name="G.51D">#REF!</definedName>
    <definedName name="G.53" localSheetId="1">#REF!</definedName>
    <definedName name="G.53">#REF!</definedName>
    <definedName name="G.53A" localSheetId="1">#REF!</definedName>
    <definedName name="G.53A">#REF!</definedName>
    <definedName name="G.55B" localSheetId="1">#REF!</definedName>
    <definedName name="G.55B">#REF!</definedName>
    <definedName name="G.55C" localSheetId="1">#REF!</definedName>
    <definedName name="G.55C">#REF!</definedName>
    <definedName name="G.5A" localSheetId="1">#REF!</definedName>
    <definedName name="G.5A">#REF!</definedName>
    <definedName name="G.5B" localSheetId="1">#REF!</definedName>
    <definedName name="G.5B">#REF!</definedName>
    <definedName name="G.5C" localSheetId="1">#REF!</definedName>
    <definedName name="G.5C">#REF!</definedName>
    <definedName name="G.6" localSheetId="1">#REF!</definedName>
    <definedName name="G.6">#REF!</definedName>
    <definedName name="G.67" localSheetId="1">#REF!</definedName>
    <definedName name="G.67">#REF!</definedName>
    <definedName name="G.72_20X20" localSheetId="1">#REF!</definedName>
    <definedName name="G.72_20X20">#REF!</definedName>
    <definedName name="g.72_20x25">'[29]HrgBahan&amp;Analisa'!$W$806</definedName>
    <definedName name="G.72_30X30" localSheetId="3">#REF!</definedName>
    <definedName name="G.72_30X30" localSheetId="1">#REF!</definedName>
    <definedName name="G.72_30X30" localSheetId="6">#REF!</definedName>
    <definedName name="G.72_30X30" localSheetId="2">#REF!</definedName>
    <definedName name="G.72_30X30" localSheetId="7">#REF!</definedName>
    <definedName name="G.72_30X30">#REF!</definedName>
    <definedName name="G.72_M_30X30" localSheetId="3">#REF!</definedName>
    <definedName name="G.72_M_30X30" localSheetId="1">#REF!</definedName>
    <definedName name="G.72_M_30X30" localSheetId="6">#REF!</definedName>
    <definedName name="G.72_M_30X30" localSheetId="2">#REF!</definedName>
    <definedName name="G.72_M_30X30" localSheetId="7">#REF!</definedName>
    <definedName name="G.72_M_30X30">#REF!</definedName>
    <definedName name="G_1" localSheetId="3">#REF!</definedName>
    <definedName name="G_1" localSheetId="1">#REF!</definedName>
    <definedName name="G_1" localSheetId="6">#REF!</definedName>
    <definedName name="G_1" localSheetId="2">#REF!</definedName>
    <definedName name="G_1" localSheetId="7">#REF!</definedName>
    <definedName name="G_1">#REF!</definedName>
    <definedName name="G_50m" localSheetId="1">#REF!</definedName>
    <definedName name="G_50m">#REF!</definedName>
    <definedName name="G_53A" localSheetId="1">#REF!</definedName>
    <definedName name="G_53A">#REF!</definedName>
    <definedName name="G_72b" localSheetId="1">#REF!</definedName>
    <definedName name="G_72b">#REF!</definedName>
    <definedName name="Gali_Saluran">"#ref!"</definedName>
    <definedName name="Galian">#N/A</definedName>
    <definedName name="Galian_Biasa">"#ref!"</definedName>
    <definedName name="GAMACCA" localSheetId="1">'[16]Hrg Bahan'!#REF!</definedName>
    <definedName name="GAMACCA">'[16]Hrg Bahan'!#REF!</definedName>
    <definedName name="GANITO_10X40" localSheetId="1">[16]Analisa!#REF!</definedName>
    <definedName name="GANITO_10X40">[16]Analisa!#REF!</definedName>
    <definedName name="GARNITO_30X30" localSheetId="1">[16]Analisa!#REF!</definedName>
    <definedName name="GARNITO_30X30">[16]Analisa!#REF!</definedName>
    <definedName name="GENSET" localSheetId="3">#REF!</definedName>
    <definedName name="GENSET" localSheetId="1">#REF!</definedName>
    <definedName name="GENSET" localSheetId="6">#REF!</definedName>
    <definedName name="GENSET" localSheetId="2">#REF!</definedName>
    <definedName name="GENSET" localSheetId="7">#REF!</definedName>
    <definedName name="GENSET">#REF!</definedName>
    <definedName name="GENTENG_BETON" localSheetId="3">'[16]Hrg Bahan'!#REF!</definedName>
    <definedName name="GENTENG_BETON" localSheetId="1">'[16]Hrg Bahan'!#REF!</definedName>
    <definedName name="GENTENG_BETON">'[16]Hrg Bahan'!#REF!</definedName>
    <definedName name="GENTENG_KERAMIK" localSheetId="3">'[16]Hrg Bahan'!#REF!</definedName>
    <definedName name="GENTENG_KERAMIK" localSheetId="1">'[16]Hrg Bahan'!#REF!</definedName>
    <definedName name="GENTENG_KERAMIK">'[16]Hrg Bahan'!#REF!</definedName>
    <definedName name="GENTENG_KODOK" localSheetId="3">'[16]Hrg Bahan'!#REF!</definedName>
    <definedName name="GENTENG_KODOK" localSheetId="1">'[16]Hrg Bahan'!#REF!</definedName>
    <definedName name="GENTENG_KODOK">'[16]Hrg Bahan'!#REF!</definedName>
    <definedName name="GENTENG_METAL" localSheetId="3">'[16]Hrg Bahan'!#REF!</definedName>
    <definedName name="GENTENG_METAL" localSheetId="1">'[16]Hrg Bahan'!#REF!</definedName>
    <definedName name="GENTENG_METAL">'[16]Hrg Bahan'!#REF!</definedName>
    <definedName name="GERENDEL" localSheetId="3">'[16]Hrg Bahan'!#REF!</definedName>
    <definedName name="GERENDEL" localSheetId="1">'[16]Hrg Bahan'!#REF!</definedName>
    <definedName name="GERENDEL">'[16]Hrg Bahan'!#REF!</definedName>
    <definedName name="GEROBAK" localSheetId="1">'[16]Hrg Bahan'!#REF!</definedName>
    <definedName name="GEROBAK">'[16]Hrg Bahan'!#REF!</definedName>
    <definedName name="ggg" localSheetId="1">'[15]Analisa K'!#REF!</definedName>
    <definedName name="ggg">'[15]Analisa K'!#REF!</definedName>
    <definedName name="gibsum_12">'[25]hrg-jadi'!$H$362</definedName>
    <definedName name="GIP_A_DIA.3">'[16]Hrg Bahan'!$N$213</definedName>
    <definedName name="GIP_A_DIA.4">'[16]Hrg Bahan'!$N$212</definedName>
    <definedName name="GIP_B_DIA.1" localSheetId="1">'[16]Hrg Bahan'!#REF!</definedName>
    <definedName name="GIP_B_DIA.1">'[16]Hrg Bahan'!#REF!</definedName>
    <definedName name="GIP_B_DIA.1_2" localSheetId="1">'[16]Hrg Bahan'!#REF!</definedName>
    <definedName name="GIP_B_DIA.1_2">'[16]Hrg Bahan'!#REF!</definedName>
    <definedName name="GIP_B_DIA.1_5">'[16]Hrg Bahan'!$N$223</definedName>
    <definedName name="GIP_B_DIA.2" localSheetId="1">'[16]Hrg Bahan'!#REF!</definedName>
    <definedName name="GIP_B_DIA.2">'[16]Hrg Bahan'!#REF!</definedName>
    <definedName name="GIP_B_DIA.3" localSheetId="1">'[16]Hrg Bahan'!#REF!</definedName>
    <definedName name="GIP_B_DIA.3">'[16]Hrg Bahan'!#REF!</definedName>
    <definedName name="GIP_B_DIA.3_4" localSheetId="1">'[16]Hrg Bahan'!#REF!</definedName>
    <definedName name="GIP_B_DIA.3_4">'[16]Hrg Bahan'!#REF!</definedName>
    <definedName name="GIP_B_DIA.4" localSheetId="1">'[16]Hrg Bahan'!#REF!</definedName>
    <definedName name="GIP_B_DIA.4">'[16]Hrg Bahan'!#REF!</definedName>
    <definedName name="GLASS_BLOCK" localSheetId="1">'[16]Hrg Bahan'!#REF!</definedName>
    <definedName name="GLASS_BLOCK">'[16]Hrg Bahan'!#REF!</definedName>
    <definedName name="GORONG_100" localSheetId="1">'[16]Hrg Bahan'!#REF!</definedName>
    <definedName name="GORONG_100">'[16]Hrg Bahan'!#REF!</definedName>
    <definedName name="GORONG_60" localSheetId="1">'[16]Hrg Bahan'!#REF!</definedName>
    <definedName name="GORONG_60">'[16]Hrg Bahan'!#REF!</definedName>
    <definedName name="GORONG_80" localSheetId="1">'[16]Hrg Bahan'!#REF!</definedName>
    <definedName name="GORONG_80">'[16]Hrg Bahan'!#REF!</definedName>
    <definedName name="GRADER" localSheetId="3">#REF!</definedName>
    <definedName name="GRADER" localSheetId="1">#REF!</definedName>
    <definedName name="GRADER" localSheetId="6">#REF!</definedName>
    <definedName name="GRADER" localSheetId="2">#REF!</definedName>
    <definedName name="GRADER" localSheetId="7">#REF!</definedName>
    <definedName name="GRADER">#REF!</definedName>
    <definedName name="GRANIT_40X40" localSheetId="1">[16]Analisa!#REF!</definedName>
    <definedName name="GRANIT_40X40">[16]Analisa!#REF!</definedName>
    <definedName name="GRANITO_20X20" localSheetId="1">[16]Analisa!#REF!</definedName>
    <definedName name="GRANITO_20X20">[16]Analisa!#REF!</definedName>
    <definedName name="GRANITO_40X40" localSheetId="1">[16]Analisa!#REF!</definedName>
    <definedName name="GRANITO_40X40">[16]Analisa!#REF!</definedName>
    <definedName name="GTG_HAPLES_GEL_">'[16]Hrg Bahan'!$N$165</definedName>
    <definedName name="GTG_HAPLES_WAR" localSheetId="1">'[16]Hrg Bahan'!#REF!</definedName>
    <definedName name="GTG_HAPLES_WAR">'[16]Hrg Bahan'!#REF!</definedName>
    <definedName name="H" localSheetId="1">[13]RAB!#REF!</definedName>
    <definedName name="H">[13]RAB!#REF!</definedName>
    <definedName name="H.10_ASBES" localSheetId="3">#REF!</definedName>
    <definedName name="H.10_ASBES" localSheetId="1">#REF!</definedName>
    <definedName name="H.10_ASBES" localSheetId="6">#REF!</definedName>
    <definedName name="H.10_ASBES" localSheetId="2">#REF!</definedName>
    <definedName name="H.10_ASBES" localSheetId="7">#REF!</definedName>
    <definedName name="H.10_ASBES">#REF!</definedName>
    <definedName name="H.10_SENG" localSheetId="3">#REF!</definedName>
    <definedName name="H.10_SENG" localSheetId="1">#REF!</definedName>
    <definedName name="H.10_SENG" localSheetId="6">#REF!</definedName>
    <definedName name="H.10_SENG" localSheetId="2">#REF!</definedName>
    <definedName name="H.10_SENG" localSheetId="7">#REF!</definedName>
    <definedName name="H.10_SENG">#REF!</definedName>
    <definedName name="H.14_KARET" localSheetId="3">#REF!</definedName>
    <definedName name="H.14_KARET" localSheetId="1">#REF!</definedName>
    <definedName name="H.14_KARET" localSheetId="6">#REF!</definedName>
    <definedName name="H.14_KARET" localSheetId="2">#REF!</definedName>
    <definedName name="H.14_KARET" localSheetId="7">#REF!</definedName>
    <definedName name="H.14_KARET">#REF!</definedName>
    <definedName name="H.14_SENG_PLAT" localSheetId="1">#REF!</definedName>
    <definedName name="H.14_SENG_PLAT">#REF!</definedName>
    <definedName name="H.17_KARET" localSheetId="1">#REF!</definedName>
    <definedName name="H.17_KARET">#REF!</definedName>
    <definedName name="H.17_SENG_PLAT" localSheetId="1">#REF!</definedName>
    <definedName name="H.17_SENG_PLAT">#REF!</definedName>
    <definedName name="H.2" localSheetId="1">#REF!</definedName>
    <definedName name="H.2">#REF!</definedName>
    <definedName name="H.6" localSheetId="1">#REF!</definedName>
    <definedName name="H.6">#REF!</definedName>
    <definedName name="H.8_AS_GEL" localSheetId="1">#REF!</definedName>
    <definedName name="H.8_AS_GEL">#REF!</definedName>
    <definedName name="H.8_AS_GEN" localSheetId="1">#REF!</definedName>
    <definedName name="H.8_AS_GEN">#REF!</definedName>
    <definedName name="H.8_SENG" localSheetId="1">#REF!</definedName>
    <definedName name="H.8_SENG">#REF!</definedName>
    <definedName name="HAK_ANGIN" localSheetId="1">'[16]Hrg Bahan'!#REF!</definedName>
    <definedName name="HAK_ANGIN">'[16]Hrg Bahan'!#REF!</definedName>
    <definedName name="HANDEL_ROLLING" localSheetId="1">'[16]Hrg Bahan'!#REF!</definedName>
    <definedName name="HANDEL_ROLLING">'[16]Hrg Bahan'!#REF!</definedName>
    <definedName name="HARGA" localSheetId="3">#REF!</definedName>
    <definedName name="HARGA" localSheetId="1">#REF!</definedName>
    <definedName name="HARGA" localSheetId="6">#REF!</definedName>
    <definedName name="HARGA" localSheetId="2">#REF!</definedName>
    <definedName name="HARGA" localSheetId="7">#REF!</definedName>
    <definedName name="HARGA">#REF!</definedName>
    <definedName name="hargasatuan" localSheetId="3">#REF!</definedName>
    <definedName name="hargasatuan" localSheetId="1">#REF!</definedName>
    <definedName name="hargasatuan" localSheetId="6">#REF!</definedName>
    <definedName name="hargasatuan" localSheetId="2">#REF!</definedName>
    <definedName name="hargasatuan" localSheetId="7">#REF!</definedName>
    <definedName name="hargasatuan">#REF!</definedName>
    <definedName name="hari">#N/A</definedName>
    <definedName name="hlll" localSheetId="3" hidden="1">#REF!</definedName>
    <definedName name="hlll" localSheetId="1" hidden="1">#REF!</definedName>
    <definedName name="hlll" localSheetId="6" hidden="1">#REF!</definedName>
    <definedName name="hlll" localSheetId="2" hidden="1">#REF!</definedName>
    <definedName name="hlll" localSheetId="7" hidden="1">#REF!</definedName>
    <definedName name="hlll" hidden="1">#REF!</definedName>
    <definedName name="hrg_dsr" localSheetId="3">#REF!</definedName>
    <definedName name="hrg_dsr" localSheetId="1">#REF!</definedName>
    <definedName name="hrg_dsr">#REF!</definedName>
    <definedName name="hrgsat">'[30]ANALISA-SNI'!$J$1575:$S$1769</definedName>
    <definedName name="HRS_Base">"#ref!"</definedName>
    <definedName name="HRS_Hampar">#N/A</definedName>
    <definedName name="HRS_Prod">#N/A</definedName>
    <definedName name="HRS_WC">"#ref!"</definedName>
    <definedName name="HTML_CodePage" hidden="1">1252</definedName>
    <definedName name="HTML_Control" localSheetId="3" hidden="1">{"'Sheet1'!$A$1"}</definedName>
    <definedName name="HTML_Control" localSheetId="6" hidden="1">{"'Sheet1'!$A$1"}</definedName>
    <definedName name="HTML_Control" localSheetId="9" hidden="1">{"'Sheet1'!$A$1"}</definedName>
    <definedName name="HTML_Control" localSheetId="2" hidden="1">{"'Sheet1'!$A$1"}</definedName>
    <definedName name="HTML_Control" localSheetId="7" hidden="1">{"'Sheet1'!$A$1"}</definedName>
    <definedName name="HTML_Control" hidden="1">{"'Sheet1'!$A$1"}</definedName>
    <definedName name="HTML_Description" hidden="1">""</definedName>
    <definedName name="HTML_Email" hidden="1">""</definedName>
    <definedName name="HTML_Header" hidden="1">"Sheet1"</definedName>
    <definedName name="HTML_LastUpdate" hidden="1">"4/12/01"</definedName>
    <definedName name="HTML_LineAfter" hidden="1">FALSE</definedName>
    <definedName name="HTML_LineBefore" hidden="1">FALSE</definedName>
    <definedName name="HTML_Name" hidden="1">"TJ 2000"</definedName>
    <definedName name="HTML_OBDlg2" hidden="1">TRUE</definedName>
    <definedName name="HTML_OBDlg4" hidden="1">TRUE</definedName>
    <definedName name="HTML_OS" hidden="1">0</definedName>
    <definedName name="HTML_PathFile" hidden="1">"C:\WINDOWS\Favorites\MyHTML.htm"</definedName>
    <definedName name="HTML_Title" hidden="1">"Book1"</definedName>
    <definedName name="html1" localSheetId="3" hidden="1">{"'Sheet1'!$A$1"}</definedName>
    <definedName name="html1" localSheetId="6" hidden="1">{"'Sheet1'!$A$1"}</definedName>
    <definedName name="html1" localSheetId="9" hidden="1">{"'Sheet1'!$A$1"}</definedName>
    <definedName name="html1" localSheetId="2" hidden="1">{"'Sheet1'!$A$1"}</definedName>
    <definedName name="html1" localSheetId="7" hidden="1">{"'Sheet1'!$A$1"}</definedName>
    <definedName name="html1" hidden="1">{"'Sheet1'!$A$1"}</definedName>
    <definedName name="I" localSheetId="1">[13]RAB!#REF!</definedName>
    <definedName name="I">[13]RAB!#REF!</definedName>
    <definedName name="ii" localSheetId="1">[14]RAB!#REF!</definedName>
    <definedName name="ii">[14]RAB!#REF!</definedName>
    <definedName name="iii" localSheetId="1">[14]RAB!#REF!</definedName>
    <definedName name="iii">[14]RAB!#REF!</definedName>
    <definedName name="IJUK_HITAM" localSheetId="1">'[16]Hrg Bahan'!#REF!</definedName>
    <definedName name="IJUK_HITAM">'[16]Hrg Bahan'!#REF!</definedName>
    <definedName name="IJUK_HITAM_BAIK" localSheetId="1">'[16]Hrg Bahan'!#REF!</definedName>
    <definedName name="IJUK_HITAM_BAIK">'[16]Hrg Bahan'!#REF!</definedName>
    <definedName name="INSTALASI_LISTRIK" localSheetId="3">#REF!</definedName>
    <definedName name="INSTALASI_LISTRIK" localSheetId="1">#REF!</definedName>
    <definedName name="INSTALASI_LISTRIK" localSheetId="6">#REF!</definedName>
    <definedName name="INSTALASI_LISTRIK" localSheetId="2">#REF!</definedName>
    <definedName name="INSTALASI_LISTRIK" localSheetId="7">#REF!</definedName>
    <definedName name="INSTALASI_LISTRIK">#REF!</definedName>
    <definedName name="ISOLASI_PIPA" localSheetId="1">'[16]Hrg Bahan'!#REF!</definedName>
    <definedName name="ISOLASI_PIPA">'[16]Hrg Bahan'!#REF!</definedName>
    <definedName name="iv" localSheetId="1">[14]RAB!#REF!</definedName>
    <definedName name="iv">[14]RAB!#REF!</definedName>
    <definedName name="JACKHAMMER" localSheetId="3">#REF!</definedName>
    <definedName name="JACKHAMMER" localSheetId="1">#REF!</definedName>
    <definedName name="JACKHAMMER" localSheetId="6">#REF!</definedName>
    <definedName name="JACKHAMMER" localSheetId="2">#REF!</definedName>
    <definedName name="JACKHAMMER" localSheetId="7">#REF!</definedName>
    <definedName name="JACKHAMMER">#REF!</definedName>
    <definedName name="JALUSI" localSheetId="1">[16]Analisa!#REF!</definedName>
    <definedName name="JALUSI">[16]Analisa!#REF!</definedName>
    <definedName name="JAM" localSheetId="3">#REF!</definedName>
    <definedName name="JAM" localSheetId="1">#REF!</definedName>
    <definedName name="JAM" localSheetId="6">#REF!</definedName>
    <definedName name="JAM" localSheetId="2">#REF!</definedName>
    <definedName name="JAM" localSheetId="7">#REF!</definedName>
    <definedName name="JAM">#REF!</definedName>
    <definedName name="JAMER" localSheetId="3">#REF!</definedName>
    <definedName name="JAMER" localSheetId="1">#REF!</definedName>
    <definedName name="JAMER" localSheetId="6">#REF!</definedName>
    <definedName name="JAMER" localSheetId="2">#REF!</definedName>
    <definedName name="JAMER" localSheetId="7">#REF!</definedName>
    <definedName name="JAMER">#REF!</definedName>
    <definedName name="Jan_All">"#ref!"</definedName>
    <definedName name="Jan_Bahapal">"#ref!"</definedName>
    <definedName name="Jan_Barumun">"#ref!"</definedName>
    <definedName name="Jan_Buaya">"#ref!"</definedName>
    <definedName name="Jan_Dua1">"#ref!"</definedName>
    <definedName name="Jan_Dua2">"#ref!"</definedName>
    <definedName name="Jan_Hantu">"#ref!"</definedName>
    <definedName name="Jan_Pane">"#ref!"</definedName>
    <definedName name="Jan_Poncan">"#ref!"</definedName>
    <definedName name="Jan_Raso">"#ref!"</definedName>
    <definedName name="Jan_Sibintang">"#ref!"</definedName>
    <definedName name="Jan_Sibuluh">"#ref!"</definedName>
    <definedName name="Jan_Ujung">"#ref!"</definedName>
    <definedName name="Jan02_Dua1">"#ref!"</definedName>
    <definedName name="Jan02_Pane">"#ref!"</definedName>
    <definedName name="Jan03_All">"#ref!"</definedName>
    <definedName name="Jan03_Bahapal">"#ref!"</definedName>
    <definedName name="Jan03_Barumun">"#ref!"</definedName>
    <definedName name="Jan03_Buaya">"#ref!"</definedName>
    <definedName name="Jan03_Dua2">"#ref!"</definedName>
    <definedName name="Jan03_Hantu">"#ref!"</definedName>
    <definedName name="Jan03_Poncan">"#ref!"</definedName>
    <definedName name="Jan03_Raso">"#ref!"</definedName>
    <definedName name="Jan03_Sibintang">"#ref!"</definedName>
    <definedName name="Jan03_Sibuluh">"#ref!"</definedName>
    <definedName name="Jan03_Ujung">"#ref!"</definedName>
    <definedName name="JENDELA" localSheetId="1">[16]Analisa!#REF!</definedName>
    <definedName name="JENDELA">[16]Analisa!#REF!</definedName>
    <definedName name="JERIGEN_10_LTR" localSheetId="1">'[16]Hrg Bahan'!#REF!</definedName>
    <definedName name="JERIGEN_10_LTR">'[16]Hrg Bahan'!#REF!</definedName>
    <definedName name="JERIGEN_20_LTR" localSheetId="1">'[16]Hrg Bahan'!#REF!</definedName>
    <definedName name="JERIGEN_20_LTR">'[16]Hrg Bahan'!#REF!</definedName>
    <definedName name="jml" localSheetId="3">#REF!</definedName>
    <definedName name="jml" localSheetId="1">#REF!</definedName>
    <definedName name="jml" localSheetId="6">#REF!</definedName>
    <definedName name="jml" localSheetId="2">#REF!</definedName>
    <definedName name="jml" localSheetId="7">#REF!</definedName>
    <definedName name="jml">#REF!</definedName>
    <definedName name="Jul_All">"#ref!"</definedName>
    <definedName name="Jul_Bahapal">"#ref!"</definedName>
    <definedName name="Jul_Barumun">"#ref!"</definedName>
    <definedName name="Jul_Buaya">"#ref!"</definedName>
    <definedName name="Jul_Dua1">"#ref!"</definedName>
    <definedName name="Jul_Dua2">"#ref!"</definedName>
    <definedName name="Jul_Hantu">"#ref!"</definedName>
    <definedName name="Jul_Pane">"#ref!"</definedName>
    <definedName name="Jul_Poncan">"#ref!"</definedName>
    <definedName name="Jul_Raso">"#ref!"</definedName>
    <definedName name="Jul_Sibintang">"#ref!"</definedName>
    <definedName name="Jul_Sibuluh">"#ref!"</definedName>
    <definedName name="Jul_Ujung">"#ref!"</definedName>
    <definedName name="Jun_All">"#ref!"</definedName>
    <definedName name="Jun_Bahapal">"#ref!"</definedName>
    <definedName name="Jun_Barumun">"#ref!"</definedName>
    <definedName name="Jun_Buaya">"#ref!"</definedName>
    <definedName name="Jun_Dua1">"#ref!"</definedName>
    <definedName name="Jun_Dua2">"#ref!"</definedName>
    <definedName name="Jun_Hantu">"#ref!"</definedName>
    <definedName name="Jun_Pane">"#ref!"</definedName>
    <definedName name="Jun_Poncan">"#ref!"</definedName>
    <definedName name="Jun_Raso">"#ref!"</definedName>
    <definedName name="Jun_Sibintang">"#ref!"</definedName>
    <definedName name="Jun_Sibuluh">"#ref!"</definedName>
    <definedName name="Jun_Ujung">"#ref!"</definedName>
    <definedName name="K" localSheetId="1">#REF!</definedName>
    <definedName name="K">#REF!</definedName>
    <definedName name="K.016" localSheetId="1">'[15]Analisa K'!#REF!</definedName>
    <definedName name="K.016">'[15]Analisa K'!#REF!</definedName>
    <definedName name="K.020" localSheetId="1">'[15]Analisa K'!#REF!</definedName>
    <definedName name="K.020">'[15]Analisa K'!#REF!</definedName>
    <definedName name="K.040" localSheetId="1">'[15]Analisa K'!#REF!</definedName>
    <definedName name="K.040">'[15]Analisa K'!#REF!</definedName>
    <definedName name="K.111" localSheetId="1">'[15]Analisa K'!#REF!</definedName>
    <definedName name="K.111">'[15]Analisa K'!#REF!</definedName>
    <definedName name="K.115" localSheetId="1">'[15]Analisa K'!#REF!</definedName>
    <definedName name="K.115">'[15]Analisa K'!#REF!</definedName>
    <definedName name="K.123" localSheetId="1">'[15]Analisa K'!#REF!</definedName>
    <definedName name="K.123">'[15]Analisa K'!#REF!</definedName>
    <definedName name="K.127" localSheetId="1">'[15]Analisa K'!#REF!</definedName>
    <definedName name="K.127">'[15]Analisa K'!#REF!</definedName>
    <definedName name="K.131" localSheetId="1">'[15]Analisa K'!#REF!</definedName>
    <definedName name="K.131">'[15]Analisa K'!#REF!</definedName>
    <definedName name="k.132" localSheetId="1">'[15]Analisa K'!#REF!</definedName>
    <definedName name="k.132">'[15]Analisa K'!#REF!</definedName>
    <definedName name="K.139" localSheetId="1">'[15]Analisa K'!#REF!</definedName>
    <definedName name="K.139">'[15]Analisa K'!#REF!</definedName>
    <definedName name="K.30" localSheetId="3">#REF!</definedName>
    <definedName name="K.30" localSheetId="1">#REF!</definedName>
    <definedName name="K.30" localSheetId="6">#REF!</definedName>
    <definedName name="K.30" localSheetId="2">#REF!</definedName>
    <definedName name="K.30" localSheetId="7">#REF!</definedName>
    <definedName name="K.30">#REF!</definedName>
    <definedName name="K.411" localSheetId="3">'[15]Analisa K'!#REF!</definedName>
    <definedName name="K.411" localSheetId="1">'[15]Analisa K'!#REF!</definedName>
    <definedName name="K.411">'[15]Analisa K'!#REF!</definedName>
    <definedName name="K.522" localSheetId="3">'[15]Analisa K'!#REF!</definedName>
    <definedName name="K.522" localSheetId="1">'[15]Analisa K'!#REF!</definedName>
    <definedName name="K.522">'[15]Analisa K'!#REF!</definedName>
    <definedName name="K.528" localSheetId="3">'[15]Analisa K'!#REF!</definedName>
    <definedName name="K.528" localSheetId="1">'[15]Analisa K'!#REF!</definedName>
    <definedName name="K.528">'[15]Analisa K'!#REF!</definedName>
    <definedName name="K.612" localSheetId="3">'[15]Analisa K'!#REF!</definedName>
    <definedName name="K.612" localSheetId="1">'[15]Analisa K'!#REF!</definedName>
    <definedName name="K.612">'[15]Analisa K'!#REF!</definedName>
    <definedName name="K.618" localSheetId="3">'[15]Analisa K'!#REF!</definedName>
    <definedName name="K.618" localSheetId="1">'[15]Analisa K'!#REF!</definedName>
    <definedName name="K.618">'[15]Analisa K'!#REF!</definedName>
    <definedName name="K.621" localSheetId="1">'[15]Analisa K'!#REF!</definedName>
    <definedName name="K.621">'[15]Analisa K'!#REF!</definedName>
    <definedName name="K.641" localSheetId="1">'[15]Analisa K'!#REF!</definedName>
    <definedName name="K.641">'[15]Analisa K'!#REF!</definedName>
    <definedName name="K.7_23_CAT" localSheetId="3">#REF!</definedName>
    <definedName name="K.7_23_CAT" localSheetId="1">#REF!</definedName>
    <definedName name="K.7_23_CAT" localSheetId="6">#REF!</definedName>
    <definedName name="K.7_23_CAT" localSheetId="2">#REF!</definedName>
    <definedName name="K.7_23_CAT" localSheetId="7">#REF!</definedName>
    <definedName name="K.7_23_CAT">#REF!</definedName>
    <definedName name="K.7_23_KAPUR" localSheetId="3">#REF!</definedName>
    <definedName name="K.7_23_KAPUR" localSheetId="1">#REF!</definedName>
    <definedName name="K.7_23_KAPUR" localSheetId="6">#REF!</definedName>
    <definedName name="K.7_23_KAPUR" localSheetId="2">#REF!</definedName>
    <definedName name="K.7_23_KAPUR" localSheetId="7">#REF!</definedName>
    <definedName name="K.7_23_KAPUR">#REF!</definedName>
    <definedName name="K.720" localSheetId="3">'[15]Analisa K'!#REF!</definedName>
    <definedName name="K.720" localSheetId="1">'[15]Analisa K'!#REF!</definedName>
    <definedName name="K.720" localSheetId="6">'[15]Analisa K'!#REF!</definedName>
    <definedName name="K.720" localSheetId="2">'[15]Analisa K'!#REF!</definedName>
    <definedName name="K.720" localSheetId="7">'[15]Analisa K'!#REF!</definedName>
    <definedName name="K.720">'[15]Analisa K'!#REF!</definedName>
    <definedName name="K.8_23_ASGEN" localSheetId="3">#REF!</definedName>
    <definedName name="K.8_23_ASGEN" localSheetId="1">#REF!</definedName>
    <definedName name="K.8_23_ASGEN" localSheetId="6">#REF!</definedName>
    <definedName name="K.8_23_ASGEN" localSheetId="2">#REF!</definedName>
    <definedName name="K.8_23_ASGEN" localSheetId="7">#REF!</definedName>
    <definedName name="K.8_23_ASGEN">#REF!</definedName>
    <definedName name="K.8_23_SENG" localSheetId="3">#REF!</definedName>
    <definedName name="K.8_23_SENG" localSheetId="1">#REF!</definedName>
    <definedName name="K.8_23_SENG" localSheetId="6">#REF!</definedName>
    <definedName name="K.8_23_SENG" localSheetId="2">#REF!</definedName>
    <definedName name="K.8_23_SENG" localSheetId="7">#REF!</definedName>
    <definedName name="K.8_23_SENG">#REF!</definedName>
    <definedName name="K.850" localSheetId="3">'[15]Analisa K'!#REF!</definedName>
    <definedName name="K.850" localSheetId="1">'[15]Analisa K'!#REF!</definedName>
    <definedName name="K.850" localSheetId="6">'[15]Analisa K'!#REF!</definedName>
    <definedName name="K.850" localSheetId="2">'[15]Analisa K'!#REF!</definedName>
    <definedName name="K.850" localSheetId="7">'[15]Analisa K'!#REF!</definedName>
    <definedName name="K.850">'[15]Analisa K'!#REF!</definedName>
    <definedName name="K.9_23" localSheetId="3">#REF!</definedName>
    <definedName name="K.9_23" localSheetId="1">#REF!</definedName>
    <definedName name="K.9_23" localSheetId="6">#REF!</definedName>
    <definedName name="K.9_23" localSheetId="2">#REF!</definedName>
    <definedName name="K.9_23" localSheetId="7">#REF!</definedName>
    <definedName name="K.9_23">#REF!</definedName>
    <definedName name="K.9_23B" localSheetId="3">#REF!</definedName>
    <definedName name="K.9_23B" localSheetId="1">#REF!</definedName>
    <definedName name="K.9_23B" localSheetId="6">#REF!</definedName>
    <definedName name="K.9_23B" localSheetId="2">#REF!</definedName>
    <definedName name="K.9_23B" localSheetId="7">#REF!</definedName>
    <definedName name="K.9_23B">#REF!</definedName>
    <definedName name="K_010" localSheetId="3">#REF!</definedName>
    <definedName name="K_010" localSheetId="1">#REF!</definedName>
    <definedName name="K_010" localSheetId="6">#REF!</definedName>
    <definedName name="K_010" localSheetId="2">#REF!</definedName>
    <definedName name="K_010" localSheetId="7">#REF!</definedName>
    <definedName name="K_010">#REF!</definedName>
    <definedName name="K_011" localSheetId="1">#REF!</definedName>
    <definedName name="K_011">#REF!</definedName>
    <definedName name="K_011_peng.kr.gal.t.saring.b_hal.2" localSheetId="1">#REF!</definedName>
    <definedName name="K_011_peng.kr.gal.t.saring.b_hal.2">#REF!</definedName>
    <definedName name="K_012" localSheetId="1">#REF!</definedName>
    <definedName name="K_012">#REF!</definedName>
    <definedName name="K_012_peng.kr.sung.t.saring.a_hal.3" localSheetId="1">#REF!</definedName>
    <definedName name="K_012_peng.kr.sung.t.saring.a_hal.3">#REF!</definedName>
    <definedName name="K_013_peng.kr.sung.t.saring.b_hal.4" localSheetId="1">#REF!</definedName>
    <definedName name="K_013_peng.kr.sung.t.saring.b_hal.4">#REF!</definedName>
    <definedName name="K_014" localSheetId="1">#REF!</definedName>
    <definedName name="K_014">#REF!</definedName>
    <definedName name="K_016" localSheetId="1">#REF!</definedName>
    <definedName name="K_016">#REF!</definedName>
    <definedName name="K_016_peng.kr.sung.saring.a_hal.6" localSheetId="1">#REF!</definedName>
    <definedName name="K_016_peng.kr.sung.saring.a_hal.6">#REF!</definedName>
    <definedName name="K_017" localSheetId="1">#REF!</definedName>
    <definedName name="K_017">#REF!</definedName>
    <definedName name="K_017_produk.bt.sung.pch.saring.a_hal.7" localSheetId="1">#REF!</definedName>
    <definedName name="K_017_produk.bt.sung.pch.saring.a_hal.7">#REF!</definedName>
    <definedName name="K_023_produk.suplai_lasbutag.b_hal.47" localSheetId="1">#REF!</definedName>
    <definedName name="K_023_produk.suplai_lasbutag.b_hal.47">#REF!</definedName>
    <definedName name="K_026" localSheetId="1">#REF!</definedName>
    <definedName name="K_026">#REF!</definedName>
    <definedName name="K_035" localSheetId="1">#REF!</definedName>
    <definedName name="K_035">#REF!</definedName>
    <definedName name="K_040" localSheetId="1">#REF!</definedName>
    <definedName name="K_040">#REF!</definedName>
    <definedName name="K_110" localSheetId="1">#REF!</definedName>
    <definedName name="K_110">#REF!</definedName>
    <definedName name="K_111">'[31]Analisa K'!$J$1879</definedName>
    <definedName name="K_115" localSheetId="3">#REF!</definedName>
    <definedName name="K_115" localSheetId="1">#REF!</definedName>
    <definedName name="K_115" localSheetId="6">#REF!</definedName>
    <definedName name="K_115" localSheetId="2">#REF!</definedName>
    <definedName name="K_115" localSheetId="7">#REF!</definedName>
    <definedName name="K_115">#REF!</definedName>
    <definedName name="K_116" localSheetId="3">#REF!</definedName>
    <definedName name="K_116" localSheetId="1">#REF!</definedName>
    <definedName name="K_116" localSheetId="6">#REF!</definedName>
    <definedName name="K_116" localSheetId="2">#REF!</definedName>
    <definedName name="K_116" localSheetId="7">#REF!</definedName>
    <definedName name="K_116">#REF!</definedName>
    <definedName name="K_210" localSheetId="3">#REF!</definedName>
    <definedName name="K_210" localSheetId="1">#REF!</definedName>
    <definedName name="K_210" localSheetId="6">#REF!</definedName>
    <definedName name="K_210" localSheetId="2">#REF!</definedName>
    <definedName name="K_210" localSheetId="7">#REF!</definedName>
    <definedName name="K_210">#REF!</definedName>
    <definedName name="K_211">'[31]Analisa K'!$J$1739</definedName>
    <definedName name="K_224" localSheetId="3">#REF!</definedName>
    <definedName name="K_224" localSheetId="1">#REF!</definedName>
    <definedName name="K_224" localSheetId="6">#REF!</definedName>
    <definedName name="K_224" localSheetId="2">#REF!</definedName>
    <definedName name="K_224" localSheetId="7">#REF!</definedName>
    <definedName name="K_224">#REF!</definedName>
    <definedName name="K_224_galian.tnh.konst.b_hal.8">'[19]Hrg.sat.'!$J$552</definedName>
    <definedName name="K_225" localSheetId="3">#REF!</definedName>
    <definedName name="K_225" localSheetId="1">#REF!</definedName>
    <definedName name="K_225" localSheetId="6">#REF!</definedName>
    <definedName name="K_225" localSheetId="2">#REF!</definedName>
    <definedName name="K_225" localSheetId="7">#REF!</definedName>
    <definedName name="K_225">#REF!</definedName>
    <definedName name="K_225_urug.dan.padat_hal.19">'[19]Hrg.sat.'!$J$1320</definedName>
    <definedName name="K_310" localSheetId="3">#REF!</definedName>
    <definedName name="K_310" localSheetId="1">#REF!</definedName>
    <definedName name="K_310" localSheetId="6">#REF!</definedName>
    <definedName name="K_310" localSheetId="2">#REF!</definedName>
    <definedName name="K_310" localSheetId="7">#REF!</definedName>
    <definedName name="K_310">#REF!</definedName>
    <definedName name="K_311" localSheetId="3">#REF!</definedName>
    <definedName name="K_311" localSheetId="1">#REF!</definedName>
    <definedName name="K_311" localSheetId="6">#REF!</definedName>
    <definedName name="K_311" localSheetId="2">#REF!</definedName>
    <definedName name="K_311" localSheetId="7">#REF!</definedName>
    <definedName name="K_311">#REF!</definedName>
    <definedName name="K_321" localSheetId="3">#REF!</definedName>
    <definedName name="K_321" localSheetId="1">#REF!</definedName>
    <definedName name="K_321" localSheetId="6">#REF!</definedName>
    <definedName name="K_321" localSheetId="2">#REF!</definedName>
    <definedName name="K_321" localSheetId="7">#REF!</definedName>
    <definedName name="K_321">#REF!</definedName>
    <definedName name="K_331">'[31]Analisa K'!$J$621</definedName>
    <definedName name="K_410" localSheetId="3">#REF!</definedName>
    <definedName name="K_410" localSheetId="1">#REF!</definedName>
    <definedName name="K_410" localSheetId="6">#REF!</definedName>
    <definedName name="K_410" localSheetId="2">#REF!</definedName>
    <definedName name="K_410" localSheetId="7">#REF!</definedName>
    <definedName name="K_410">#REF!</definedName>
    <definedName name="K_411">'[31]Analisa K'!$J$691</definedName>
    <definedName name="K_421" localSheetId="3">#REF!</definedName>
    <definedName name="K_421" localSheetId="1">#REF!</definedName>
    <definedName name="K_421" localSheetId="6">#REF!</definedName>
    <definedName name="K_421" localSheetId="2">#REF!</definedName>
    <definedName name="K_421" localSheetId="7">#REF!</definedName>
    <definedName name="K_421">#REF!</definedName>
    <definedName name="K_421_memotong_bahu_jln.a_hal.31">'[19]Hrg.sat.'!$J$2160</definedName>
    <definedName name="K_422" localSheetId="3">#REF!</definedName>
    <definedName name="K_422" localSheetId="1">#REF!</definedName>
    <definedName name="K_422" localSheetId="6">#REF!</definedName>
    <definedName name="K_422" localSheetId="2">#REF!</definedName>
    <definedName name="K_422" localSheetId="7">#REF!</definedName>
    <definedName name="K_422">#REF!</definedName>
    <definedName name="K_424" localSheetId="3">#REF!</definedName>
    <definedName name="K_424" localSheetId="1">#REF!</definedName>
    <definedName name="K_424" localSheetId="6">#REF!</definedName>
    <definedName name="K_424" localSheetId="2">#REF!</definedName>
    <definedName name="K_424" localSheetId="7">#REF!</definedName>
    <definedName name="K_424">#REF!</definedName>
    <definedName name="K_514" localSheetId="3">#REF!</definedName>
    <definedName name="K_514" localSheetId="1">#REF!</definedName>
    <definedName name="K_514" localSheetId="6">#REF!</definedName>
    <definedName name="K_514" localSheetId="2">#REF!</definedName>
    <definedName name="K_514" localSheetId="7">#REF!</definedName>
    <definedName name="K_514">#REF!</definedName>
    <definedName name="K_514_lpb.kls.c.alat_hal.16">'[19]Hrg.sat.'!$J$1112</definedName>
    <definedName name="K_516" localSheetId="3">#REF!</definedName>
    <definedName name="K_516" localSheetId="1">#REF!</definedName>
    <definedName name="K_516" localSheetId="6">#REF!</definedName>
    <definedName name="K_516" localSheetId="2">#REF!</definedName>
    <definedName name="K_516" localSheetId="7">#REF!</definedName>
    <definedName name="K_516">#REF!</definedName>
    <definedName name="K_516_konst.telford.b_hal.33">'[19]Hrg.sat.'!$J$2300</definedName>
    <definedName name="K_522">'[31]Analisa K'!$J$1181</definedName>
    <definedName name="K_522_lpa.kls.b.kr.saring_hal.17">'[19]Hrg.sat.'!$J$1182</definedName>
    <definedName name="K_523" localSheetId="3">#REF!</definedName>
    <definedName name="K_523" localSheetId="1">#REF!</definedName>
    <definedName name="K_523" localSheetId="6">#REF!</definedName>
    <definedName name="K_523" localSheetId="2">#REF!</definedName>
    <definedName name="K_523" localSheetId="7">#REF!</definedName>
    <definedName name="K_523">#REF!</definedName>
    <definedName name="K_528" localSheetId="3">#REF!</definedName>
    <definedName name="K_528" localSheetId="1">#REF!</definedName>
    <definedName name="K_528" localSheetId="6">#REF!</definedName>
    <definedName name="K_528" localSheetId="2">#REF!</definedName>
    <definedName name="K_528" localSheetId="7">#REF!</definedName>
    <definedName name="K_528">#REF!</definedName>
    <definedName name="K_528_menghampar.ATB.a">'[19]Hrg.sat.'!$J$3700</definedName>
    <definedName name="K_612" localSheetId="3">#REF!</definedName>
    <definedName name="K_612" localSheetId="1">#REF!</definedName>
    <definedName name="K_612" localSheetId="6">#REF!</definedName>
    <definedName name="K_612" localSheetId="2">#REF!</definedName>
    <definedName name="K_612" localSheetId="7">#REF!</definedName>
    <definedName name="K_612">#REF!</definedName>
    <definedName name="K_614" localSheetId="3">#REF!</definedName>
    <definedName name="K_614" localSheetId="1">#REF!</definedName>
    <definedName name="K_614" localSheetId="6">#REF!</definedName>
    <definedName name="K_614" localSheetId="2">#REF!</definedName>
    <definedName name="K_614" localSheetId="7">#REF!</definedName>
    <definedName name="K_614">#REF!</definedName>
    <definedName name="K_617" localSheetId="3">#REF!</definedName>
    <definedName name="K_617" localSheetId="1">#REF!</definedName>
    <definedName name="K_617" localSheetId="6">#REF!</definedName>
    <definedName name="K_617" localSheetId="2">#REF!</definedName>
    <definedName name="K_617" localSheetId="7">#REF!</definedName>
    <definedName name="K_617">#REF!</definedName>
    <definedName name="K_618" localSheetId="1">#REF!</definedName>
    <definedName name="K_618">#REF!</definedName>
    <definedName name="K_631" localSheetId="1">#REF!</definedName>
    <definedName name="K_631">#REF!</definedName>
    <definedName name="K_636" localSheetId="1">#REF!</definedName>
    <definedName name="K_636">#REF!</definedName>
    <definedName name="K_641">'[32]Analisa K'!$J$3559</definedName>
    <definedName name="K_705" localSheetId="3">#REF!</definedName>
    <definedName name="K_705" localSheetId="1">#REF!</definedName>
    <definedName name="K_705" localSheetId="6">#REF!</definedName>
    <definedName name="K_705" localSheetId="2">#REF!</definedName>
    <definedName name="K_705" localSheetId="7">#REF!</definedName>
    <definedName name="K_705">#REF!</definedName>
    <definedName name="K_705_konst.pas.batu_hal.15">'[19]Hrg.sat.'!$J$1042</definedName>
    <definedName name="K_710" localSheetId="3">#REF!</definedName>
    <definedName name="K_710" localSheetId="1">#REF!</definedName>
    <definedName name="K_710" localSheetId="6">#REF!</definedName>
    <definedName name="K_710" localSheetId="2">#REF!</definedName>
    <definedName name="K_710" localSheetId="7">#REF!</definedName>
    <definedName name="K_710">#REF!</definedName>
    <definedName name="K_710_acuan.beton_hal.13">'[19]Hrg.sat.'!$J$902</definedName>
    <definedName name="K_715" localSheetId="3">#REF!</definedName>
    <definedName name="K_715" localSheetId="1">#REF!</definedName>
    <definedName name="K_715" localSheetId="6">#REF!</definedName>
    <definedName name="K_715" localSheetId="2">#REF!</definedName>
    <definedName name="K_715" localSheetId="7">#REF!</definedName>
    <definedName name="K_715">#REF!</definedName>
    <definedName name="K_715_tul.besi.btn_hal.12">'[19]Hrg.sat.'!$J$832</definedName>
    <definedName name="K_720" localSheetId="3">#REF!</definedName>
    <definedName name="K_720" localSheetId="1">#REF!</definedName>
    <definedName name="K_720" localSheetId="6">#REF!</definedName>
    <definedName name="K_720" localSheetId="2">#REF!</definedName>
    <definedName name="K_720" localSheetId="7">#REF!</definedName>
    <definedName name="K_720">#REF!</definedName>
    <definedName name="K_721" localSheetId="3">#REF!</definedName>
    <definedName name="K_721" localSheetId="1">#REF!</definedName>
    <definedName name="K_721" localSheetId="6">#REF!</definedName>
    <definedName name="K_721" localSheetId="2">#REF!</definedName>
    <definedName name="K_721" localSheetId="7">#REF!</definedName>
    <definedName name="K_721">#REF!</definedName>
    <definedName name="K_721_beton.massa.K175.alat.mix.125ltr_hal.30">'[19]Hrg.sat.'!$J$2090</definedName>
    <definedName name="K_722" localSheetId="3">#REF!</definedName>
    <definedName name="K_722" localSheetId="1">#REF!</definedName>
    <definedName name="K_722" localSheetId="6">#REF!</definedName>
    <definedName name="K_722" localSheetId="2">#REF!</definedName>
    <definedName name="K_722" localSheetId="7">#REF!</definedName>
    <definedName name="K_722">#REF!</definedName>
    <definedName name="K_722_beton.strukt.K225.alat.mix.125ltr_hal.11" localSheetId="3">#REF!</definedName>
    <definedName name="K_722_beton.strukt.K225.alat.mix.125ltr_hal.11" localSheetId="1">#REF!</definedName>
    <definedName name="K_722_beton.strukt.K225.alat.mix.125ltr_hal.11" localSheetId="6">#REF!</definedName>
    <definedName name="K_722_beton.strukt.K225.alat.mix.125ltr_hal.11" localSheetId="2">#REF!</definedName>
    <definedName name="K_722_beton.strukt.K225.alat.mix.125ltr_hal.11" localSheetId="7">#REF!</definedName>
    <definedName name="K_722_beton.strukt.K225.alat.mix.125ltr_hal.11">#REF!</definedName>
    <definedName name="K_850" localSheetId="3">#REF!</definedName>
    <definedName name="K_850" localSheetId="1">#REF!</definedName>
    <definedName name="K_850" localSheetId="6">#REF!</definedName>
    <definedName name="K_850" localSheetId="2">#REF!</definedName>
    <definedName name="K_850" localSheetId="7">#REF!</definedName>
    <definedName name="K_850">#REF!</definedName>
    <definedName name="K_855" localSheetId="1">#REF!</definedName>
    <definedName name="K_855">#REF!</definedName>
    <definedName name="K_860" localSheetId="1">#REF!</definedName>
    <definedName name="K_860">#REF!</definedName>
    <definedName name="K_865" localSheetId="1">#REF!</definedName>
    <definedName name="K_865">#REF!</definedName>
    <definedName name="K_870" localSheetId="1">#REF!</definedName>
    <definedName name="K_870">#REF!</definedName>
    <definedName name="K_875" localSheetId="1">#REF!</definedName>
    <definedName name="K_875">#REF!</definedName>
    <definedName name="K_877" localSheetId="1">#REF!</definedName>
    <definedName name="K_877">#REF!</definedName>
    <definedName name="K_880" localSheetId="1">#REF!</definedName>
    <definedName name="K_880">#REF!</definedName>
    <definedName name="K_885" localSheetId="1">#REF!</definedName>
    <definedName name="K_885">#REF!</definedName>
    <definedName name="ka">[17]Alat!$O$5:$S$28</definedName>
    <definedName name="KABEL_NYA_3X2_5" localSheetId="1">'[16]Hrg Bahan'!#REF!</definedName>
    <definedName name="KABEL_NYA_3X2_5">'[16]Hrg Bahan'!#REF!</definedName>
    <definedName name="KABEL_NYFGBY_4X" localSheetId="1">'[16]Hrg Bahan'!#REF!</definedName>
    <definedName name="KABEL_NYFGBY_4X">'[16]Hrg Bahan'!#REF!</definedName>
    <definedName name="KACA_BENING" localSheetId="1">[16]Analisa!#REF!</definedName>
    <definedName name="KACA_BENING">[16]Analisa!#REF!</definedName>
    <definedName name="KACA_BENING_3" localSheetId="1">'[16]Hrg Bahan'!#REF!</definedName>
    <definedName name="KACA_BENING_3">'[16]Hrg Bahan'!#REF!</definedName>
    <definedName name="KACA_BENING2" localSheetId="1">'[16]Hrg Bahan'!#REF!</definedName>
    <definedName name="KACA_BENING2">'[16]Hrg Bahan'!#REF!</definedName>
    <definedName name="KACA_BENING3" localSheetId="1">'[16]Hrg Bahan'!#REF!</definedName>
    <definedName name="KACA_BENING3">'[16]Hrg Bahan'!#REF!</definedName>
    <definedName name="KACA_RYBEN3" localSheetId="1">'[16]Hrg Bahan'!#REF!</definedName>
    <definedName name="KACA_RYBEN3">'[16]Hrg Bahan'!#REF!</definedName>
    <definedName name="kamu">[17]Alat!$E$5:$M$28</definedName>
    <definedName name="KARET_ALAS_ATAP" localSheetId="1">'[16]Hrg Bahan'!#REF!</definedName>
    <definedName name="KARET_ALAS_ATAP">'[16]Hrg Bahan'!#REF!</definedName>
    <definedName name="KARET_ROLLING">'[16]Hrg Bahan'!$N$99</definedName>
    <definedName name="KARET_TALANG" localSheetId="1">'[16]Hrg Bahan'!#REF!</definedName>
    <definedName name="KARET_TALANG">'[16]Hrg Bahan'!#REF!</definedName>
    <definedName name="KASO_RENG" localSheetId="1">[16]Analisa!#REF!</definedName>
    <definedName name="KASO_RENG">[16]Analisa!#REF!</definedName>
    <definedName name="KAWAT_BETON" localSheetId="1">'[16]Hrg Bahan'!#REF!</definedName>
    <definedName name="KAWAT_BETON">'[16]Hrg Bahan'!#REF!</definedName>
    <definedName name="KAWAT_BRONJONG" localSheetId="1">'[16]Hrg Bahan'!#REF!</definedName>
    <definedName name="KAWAT_BRONJONG">'[16]Hrg Bahan'!#REF!</definedName>
    <definedName name="KAWAT_DURI" localSheetId="1">'[16]Hrg Bahan'!#REF!</definedName>
    <definedName name="KAWAT_DURI">'[16]Hrg Bahan'!#REF!</definedName>
    <definedName name="KAWAT_LAS" localSheetId="1">'[16]Hrg Bahan'!#REF!</definedName>
    <definedName name="KAWAT_LAS">'[16]Hrg Bahan'!#REF!</definedName>
    <definedName name="KAWAT_LICIN" localSheetId="1">'[16]Hrg Bahan'!#REF!</definedName>
    <definedName name="KAWAT_LICIN">'[16]Hrg Bahan'!#REF!</definedName>
    <definedName name="KAWAT_RAAM" localSheetId="1">'[16]Hrg Bahan'!#REF!</definedName>
    <definedName name="KAWAT_RAAM">'[16]Hrg Bahan'!#REF!</definedName>
    <definedName name="KAYU_JEMBATAN" localSheetId="1">'[16]Hrg Bahan'!#REF!</definedName>
    <definedName name="KAYU_JEMBATAN">'[16]Hrg Bahan'!#REF!</definedName>
    <definedName name="KAYU_PERANCAH" localSheetId="1">'[16]Hrg Bahan'!#REF!</definedName>
    <definedName name="KAYU_PERANCAH">'[16]Hrg Bahan'!#REF!</definedName>
    <definedName name="KEP.TUKANG" localSheetId="1">'[16]Hrg Bahan'!#REF!</definedName>
    <definedName name="KEP.TUKANG">'[16]Hrg Bahan'!#REF!</definedName>
    <definedName name="KERIKIL_BUKIT" localSheetId="1">'[16]Hrg Bahan'!#REF!</definedName>
    <definedName name="KERIKIL_BUKIT">'[16]Hrg Bahan'!#REF!</definedName>
    <definedName name="KERIKIL_HALUS" localSheetId="1">'[16]Hrg Bahan'!#REF!</definedName>
    <definedName name="KERIKIL_HALUS">'[16]Hrg Bahan'!#REF!</definedName>
    <definedName name="KERIKIL_KASAR" localSheetId="1">'[16]Hrg Bahan'!#REF!</definedName>
    <definedName name="KERIKIL_KASAR">'[16]Hrg Bahan'!#REF!</definedName>
    <definedName name="KERIKIL_ROYALTI" localSheetId="1">'[16]Hrg Bahan'!#REF!</definedName>
    <definedName name="KERIKIL_ROYALTI">'[16]Hrg Bahan'!#REF!</definedName>
    <definedName name="KERIKIL_SUNGAI" localSheetId="1">'[16]Hrg Bahan'!#REF!</definedName>
    <definedName name="KERIKIL_SUNGAI">'[16]Hrg Bahan'!#REF!</definedName>
    <definedName name="KITCHEN_ZINK" localSheetId="1">'[16]Hrg Bahan'!#REF!</definedName>
    <definedName name="KITCHEN_ZINK">'[16]Hrg Bahan'!#REF!</definedName>
    <definedName name="KKKK" localSheetId="3" hidden="1">#REF!</definedName>
    <definedName name="KKKK" localSheetId="1" hidden="1">#REF!</definedName>
    <definedName name="KKKK" localSheetId="6" hidden="1">#REF!</definedName>
    <definedName name="KKKK" localSheetId="2" hidden="1">#REF!</definedName>
    <definedName name="KKKK" localSheetId="7" hidden="1">#REF!</definedName>
    <definedName name="KKKK" hidden="1">#REF!</definedName>
    <definedName name="KODE">'[33]ANALISA PANGKEP'!$B$420:$G$493</definedName>
    <definedName name="kode.alat" localSheetId="3">#REF!</definedName>
    <definedName name="kode.alat" localSheetId="1">#REF!</definedName>
    <definedName name="kode.alat" localSheetId="6">#REF!</definedName>
    <definedName name="kode.alat" localSheetId="2">#REF!</definedName>
    <definedName name="kode.alat" localSheetId="7">#REF!</definedName>
    <definedName name="kode.alat">#REF!</definedName>
    <definedName name="kpl">[12]harga!$F$9</definedName>
    <definedName name="kpl_tk">'[25]hrg-jadi'!$H$560</definedName>
    <definedName name="KRAN_AIR" localSheetId="1">'[16]Hrg Bahan'!#REF!</definedName>
    <definedName name="KRAN_AIR">'[16]Hrg Bahan'!#REF!</definedName>
    <definedName name="KRAN_SHOWER" localSheetId="1">'[16]Hrg Bahan'!#REF!</definedName>
    <definedName name="KRAN_SHOWER">'[16]Hrg Bahan'!#REF!</definedName>
    <definedName name="KRM.POLOS_10X20" localSheetId="1">'[16]Hrg Bahan'!#REF!</definedName>
    <definedName name="KRM.POLOS_10X20">'[16]Hrg Bahan'!#REF!</definedName>
    <definedName name="KRM.WARNA_10X20" localSheetId="1">'[16]Hrg Bahan'!#REF!</definedName>
    <definedName name="KRM.WARNA_10X20">'[16]Hrg Bahan'!#REF!</definedName>
    <definedName name="KRM.WARNA_20X20" localSheetId="1">'[16]Hrg Bahan'!#REF!</definedName>
    <definedName name="KRM.WARNA_20X20">'[16]Hrg Bahan'!#REF!</definedName>
    <definedName name="KUANTITAS" localSheetId="3">#REF!</definedName>
    <definedName name="KUANTITAS" localSheetId="1">#REF!</definedName>
    <definedName name="KUANTITAS" localSheetId="6">#REF!</definedName>
    <definedName name="KUANTITAS" localSheetId="2">#REF!</definedName>
    <definedName name="KUANTITAS" localSheetId="7">#REF!</definedName>
    <definedName name="KUANTITAS">#REF!</definedName>
    <definedName name="KUAS_4" localSheetId="1">'[16]Hrg Bahan'!#REF!</definedName>
    <definedName name="KUAS_4">'[16]Hrg Bahan'!#REF!</definedName>
    <definedName name="KUDA" localSheetId="3">#REF!</definedName>
    <definedName name="KUDA" localSheetId="1">#REF!</definedName>
    <definedName name="KUDA" localSheetId="6">#REF!</definedName>
    <definedName name="KUDA" localSheetId="2">#REF!</definedName>
    <definedName name="KUDA" localSheetId="7">#REF!</definedName>
    <definedName name="KUDA">#REF!</definedName>
    <definedName name="KUDA_ATAP" localSheetId="3">#REF!</definedName>
    <definedName name="KUDA_ATAP" localSheetId="1">#REF!</definedName>
    <definedName name="KUDA_ATAP" localSheetId="6">#REF!</definedName>
    <definedName name="KUDA_ATAP" localSheetId="2">#REF!</definedName>
    <definedName name="KUDA_ATAP" localSheetId="7">#REF!</definedName>
    <definedName name="KUDA_ATAP">#REF!</definedName>
    <definedName name="KUDA_KUDA" localSheetId="3">[16]Analisa!#REF!</definedName>
    <definedName name="KUDA_KUDA" localSheetId="1">[16]Analisa!#REF!</definedName>
    <definedName name="KUDA_KUDA" localSheetId="6">[16]Analisa!#REF!</definedName>
    <definedName name="KUDA_KUDA" localSheetId="2">[16]Analisa!#REF!</definedName>
    <definedName name="KUDA_KUDA" localSheetId="7">[16]Analisa!#REF!</definedName>
    <definedName name="KUDA_KUDA">[16]Analisa!#REF!</definedName>
    <definedName name="KUNCI_EX.RRT" localSheetId="3">'[16]Hrg Bahan'!#REF!</definedName>
    <definedName name="KUNCI_EX.RRT" localSheetId="1">'[16]Hrg Bahan'!#REF!</definedName>
    <definedName name="KUNCI_EX.RRT" localSheetId="6">'[16]Hrg Bahan'!#REF!</definedName>
    <definedName name="KUNCI_EX.RRT" localSheetId="2">'[16]Hrg Bahan'!#REF!</definedName>
    <definedName name="KUNCI_EX.RRT" localSheetId="7">'[16]Hrg Bahan'!#REF!</definedName>
    <definedName name="KUNCI_EX.RRT">'[16]Hrg Bahan'!#REF!</definedName>
    <definedName name="KUNCI_LEMARI" localSheetId="1">'[16]Hrg Bahan'!#REF!</definedName>
    <definedName name="KUNCI_LEMARI">'[16]Hrg Bahan'!#REF!</definedName>
    <definedName name="KUNCI_OTOMATIS" localSheetId="1">'[16]Hrg Bahan'!#REF!</definedName>
    <definedName name="KUNCI_OTOMATIS">'[16]Hrg Bahan'!#REF!</definedName>
    <definedName name="KUNCI_SLOT" localSheetId="1">'[16]Hrg Bahan'!#REF!</definedName>
    <definedName name="KUNCI_SLOT">'[16]Hrg Bahan'!#REF!</definedName>
    <definedName name="KUNCI_TANAM" localSheetId="1">[16]Analisa!#REF!</definedName>
    <definedName name="KUNCI_TANAM">[16]Analisa!#REF!</definedName>
    <definedName name="KUSEN" localSheetId="3">#REF!</definedName>
    <definedName name="KUSEN" localSheetId="1">#REF!</definedName>
    <definedName name="KUSEN" localSheetId="6">#REF!</definedName>
    <definedName name="KUSEN" localSheetId="2">#REF!</definedName>
    <definedName name="KUSEN" localSheetId="7">#REF!</definedName>
    <definedName name="KUSEN">#REF!</definedName>
    <definedName name="KUSEN_JENDELA" localSheetId="3">#REF!</definedName>
    <definedName name="KUSEN_JENDELA" localSheetId="1">#REF!</definedName>
    <definedName name="KUSEN_JENDELA" localSheetId="6">#REF!</definedName>
    <definedName name="KUSEN_JENDELA" localSheetId="2">#REF!</definedName>
    <definedName name="KUSEN_JENDELA" localSheetId="7">#REF!</definedName>
    <definedName name="KUSEN_JENDELA">#REF!</definedName>
    <definedName name="kwt_btn">'[25]hrg-jadi'!$H$144</definedName>
    <definedName name="L_061" localSheetId="3">#REF!</definedName>
    <definedName name="L_061" localSheetId="1">#REF!</definedName>
    <definedName name="L_061" localSheetId="6">#REF!</definedName>
    <definedName name="L_061" localSheetId="2">#REF!</definedName>
    <definedName name="L_061" localSheetId="7">#REF!</definedName>
    <definedName name="L_061">#REF!</definedName>
    <definedName name="L_073" localSheetId="3">#REF!</definedName>
    <definedName name="L_073" localSheetId="1">#REF!</definedName>
    <definedName name="L_073" localSheetId="6">#REF!</definedName>
    <definedName name="L_073" localSheetId="2">#REF!</definedName>
    <definedName name="L_073" localSheetId="7">#REF!</definedName>
    <definedName name="L_073">#REF!</definedName>
    <definedName name="L_079" localSheetId="3">#REF!</definedName>
    <definedName name="L_079" localSheetId="1">#REF!</definedName>
    <definedName name="L_079" localSheetId="6">#REF!</definedName>
    <definedName name="L_079" localSheetId="2">#REF!</definedName>
    <definedName name="L_079" localSheetId="7">#REF!</definedName>
    <definedName name="L_079">#REF!</definedName>
    <definedName name="L_081" localSheetId="1">#REF!</definedName>
    <definedName name="L_081">#REF!</definedName>
    <definedName name="L_082" localSheetId="1">#REF!</definedName>
    <definedName name="L_082">#REF!</definedName>
    <definedName name="L_083" localSheetId="1">#REF!</definedName>
    <definedName name="L_083">#REF!</definedName>
    <definedName name="L_091" localSheetId="1">#REF!</definedName>
    <definedName name="L_091">#REF!</definedName>
    <definedName name="L_099" localSheetId="1">#REF!</definedName>
    <definedName name="L_099">#REF!</definedName>
    <definedName name="L_101" localSheetId="1">#REF!</definedName>
    <definedName name="L_101">#REF!</definedName>
    <definedName name="L_106" localSheetId="1">#REF!</definedName>
    <definedName name="L_106">#REF!</definedName>
    <definedName name="LAINLAIN" localSheetId="1">'[10]Kuantitas &amp; Harga'!#REF!</definedName>
    <definedName name="LAINLAIN">'[10]Kuantitas &amp; Harga'!#REF!</definedName>
    <definedName name="LAMPU_HIAS" localSheetId="1">'[16]Hrg Bahan'!#REF!</definedName>
    <definedName name="LAMPU_HIAS">'[16]Hrg Bahan'!#REF!</definedName>
    <definedName name="LAMPU_ORNAMEN" localSheetId="1">'[16]Hrg Bahan'!#REF!</definedName>
    <definedName name="LAMPU_ORNAMEN">'[16]Hrg Bahan'!#REF!</definedName>
    <definedName name="LAMPU_PIJAR_25" localSheetId="1">'[16]Hrg Bahan'!#REF!</definedName>
    <definedName name="LAMPU_PIJAR_25">'[16]Hrg Bahan'!#REF!</definedName>
    <definedName name="LAMPU_PIJAR_40" localSheetId="1">'[16]Hrg Bahan'!#REF!</definedName>
    <definedName name="LAMPU_PIJAR_40">'[16]Hrg Bahan'!#REF!</definedName>
    <definedName name="LAMPU_TL_25" localSheetId="1">'[16]Hrg Bahan'!#REF!</definedName>
    <definedName name="LAMPU_TL_25">'[16]Hrg Bahan'!#REF!</definedName>
    <definedName name="LAMPU_TL_40" localSheetId="1">'[16]Hrg Bahan'!#REF!</definedName>
    <definedName name="LAMPU_TL_40">'[16]Hrg Bahan'!#REF!</definedName>
    <definedName name="LANTAI_PLAFOND" localSheetId="3">#REF!</definedName>
    <definedName name="LANTAI_PLAFOND" localSheetId="1">#REF!</definedName>
    <definedName name="LANTAI_PLAFOND" localSheetId="6">#REF!</definedName>
    <definedName name="LANTAI_PLAFOND" localSheetId="2">#REF!</definedName>
    <definedName name="LANTAI_PLAFOND" localSheetId="7">#REF!</definedName>
    <definedName name="LANTAI_PLAFOND">#REF!</definedName>
    <definedName name="LapisRekat">"#ref!"</definedName>
    <definedName name="LapResapIkat">"#ref!"</definedName>
    <definedName name="LEM_AIBON" localSheetId="1">'[16]Hrg Bahan'!#REF!</definedName>
    <definedName name="LEM_AIBON">'[16]Hrg Bahan'!#REF!</definedName>
    <definedName name="LEM_FOX_KUNING" localSheetId="1">'[16]Hrg Bahan'!#REF!</definedName>
    <definedName name="LEM_FOX_KUNING">'[16]Hrg Bahan'!#REF!</definedName>
    <definedName name="LEM_FOX_PUTIH" localSheetId="1">'[16]Hrg Bahan'!#REF!</definedName>
    <definedName name="LEM_FOX_PUTIH">'[16]Hrg Bahan'!#REF!</definedName>
    <definedName name="LEM_PIPA" localSheetId="1">'[16]Hrg Bahan'!#REF!</definedName>
    <definedName name="LEM_PIPA">'[16]Hrg Bahan'!#REF!</definedName>
    <definedName name="LES_KAYU_II" localSheetId="1">'[16]Hrg Bahan'!#REF!</definedName>
    <definedName name="LES_KAYU_II">'[16]Hrg Bahan'!#REF!</definedName>
    <definedName name="LES_PLINT_PROF" localSheetId="1">'[16]Hrg Bahan'!#REF!</definedName>
    <definedName name="LES_PLINT_PROF">'[16]Hrg Bahan'!#REF!</definedName>
    <definedName name="LES_PLINT_SUNG" localSheetId="1">'[16]Hrg Bahan'!#REF!</definedName>
    <definedName name="LES_PLINT_SUNG">'[16]Hrg Bahan'!#REF!</definedName>
    <definedName name="LES_PROFIL_1_2" localSheetId="1">'[16]Hrg Bahan'!#REF!</definedName>
    <definedName name="LES_PROFIL_1_2">'[16]Hrg Bahan'!#REF!</definedName>
    <definedName name="LES_PROFIL_KAYU" localSheetId="1">'[16]Hrg Bahan'!#REF!</definedName>
    <definedName name="LES_PROFIL_KAYU">'[16]Hrg Bahan'!#REF!</definedName>
    <definedName name="link" localSheetId="3">#REF!</definedName>
    <definedName name="link" localSheetId="1">#REF!</definedName>
    <definedName name="link" localSheetId="6">#REF!</definedName>
    <definedName name="link" localSheetId="2">#REF!</definedName>
    <definedName name="link" localSheetId="7">#REF!</definedName>
    <definedName name="link">#REF!</definedName>
    <definedName name="LISPLANK_2_20" localSheetId="3">[16]Analisa!#REF!</definedName>
    <definedName name="LISPLANK_2_20" localSheetId="1">[16]Analisa!#REF!</definedName>
    <definedName name="LISPLANK_2_20">[16]Analisa!#REF!</definedName>
    <definedName name="LISPLNK" localSheetId="3">'[34]AN. SNI'!#REF!</definedName>
    <definedName name="LISPLNK" localSheetId="1">'[34]AN. SNI'!#REF!</definedName>
    <definedName name="LISPLNK">'[34]AN. SNI'!#REF!</definedName>
    <definedName name="list" localSheetId="3">[16]Analisa!#REF!</definedName>
    <definedName name="list" localSheetId="1">[16]Analisa!#REF!</definedName>
    <definedName name="list">[16]Analisa!#REF!</definedName>
    <definedName name="LISTPLANK_2_20" localSheetId="3">[16]Analisa!#REF!</definedName>
    <definedName name="LISTPLANK_2_20" localSheetId="1">[16]Analisa!#REF!</definedName>
    <definedName name="LISTPLANK_2_20">[16]Analisa!#REF!</definedName>
    <definedName name="LOSTER_20X20" localSheetId="3">'[16]Hrg Bahan'!#REF!</definedName>
    <definedName name="LOSTER_20X20" localSheetId="1">'[16]Hrg Bahan'!#REF!</definedName>
    <definedName name="LOSTER_20X20">'[16]Hrg Bahan'!#REF!</definedName>
    <definedName name="LOSTER_BTN_20" localSheetId="1">'[16]Hrg Bahan'!#REF!</definedName>
    <definedName name="LOSTER_BTN_20">'[16]Hrg Bahan'!#REF!</definedName>
    <definedName name="LOSTER_KRM_20" localSheetId="1">'[16]Hrg Bahan'!#REF!</definedName>
    <definedName name="LOSTER_KRM_20">'[16]Hrg Bahan'!#REF!</definedName>
    <definedName name="LOSTER_KRM_30" localSheetId="1">'[16]Hrg Bahan'!#REF!</definedName>
    <definedName name="LOSTER_KRM_30">'[16]Hrg Bahan'!#REF!</definedName>
    <definedName name="LPA_A">#N/A</definedName>
    <definedName name="LPA_A_Minor">"#ref!"</definedName>
    <definedName name="LPA_B">#N/A</definedName>
    <definedName name="LPA_B_Bahu">#N/A</definedName>
    <definedName name="LPA_B_Minor">"#ref!"</definedName>
    <definedName name="LPB_C">#N/A</definedName>
    <definedName name="M_010" localSheetId="1">#REF!</definedName>
    <definedName name="M_010">#REF!</definedName>
    <definedName name="M_020" localSheetId="1">#REF!</definedName>
    <definedName name="M_020">#REF!</definedName>
    <definedName name="M_021" localSheetId="1">#REF!</definedName>
    <definedName name="M_021">#REF!</definedName>
    <definedName name="M_023" localSheetId="1">#REF!</definedName>
    <definedName name="M_023">#REF!</definedName>
    <definedName name="M_024" localSheetId="1">#REF!</definedName>
    <definedName name="M_024">#REF!</definedName>
    <definedName name="M_025" localSheetId="1">#REF!</definedName>
    <definedName name="M_025">#REF!</definedName>
    <definedName name="M_040" localSheetId="1">#REF!</definedName>
    <definedName name="M_040">#REF!</definedName>
    <definedName name="M_041" localSheetId="1">#REF!</definedName>
    <definedName name="M_041">#REF!</definedName>
    <definedName name="M_050" localSheetId="1">#REF!</definedName>
    <definedName name="M_050">#REF!</definedName>
    <definedName name="M_061" localSheetId="1">#REF!</definedName>
    <definedName name="M_061">#REF!</definedName>
    <definedName name="M_062" localSheetId="1">#REF!</definedName>
    <definedName name="M_062">#REF!</definedName>
    <definedName name="M_063" localSheetId="1">#REF!</definedName>
    <definedName name="M_063">#REF!</definedName>
    <definedName name="M_065" localSheetId="1">#REF!</definedName>
    <definedName name="M_065">#REF!</definedName>
    <definedName name="M_080" localSheetId="1">#REF!</definedName>
    <definedName name="M_080">#REF!</definedName>
    <definedName name="M_081" localSheetId="1">#REF!</definedName>
    <definedName name="M_081">#REF!</definedName>
    <definedName name="M_165" localSheetId="1">#REF!</definedName>
    <definedName name="M_165">#REF!</definedName>
    <definedName name="M_166" localSheetId="1">#REF!</definedName>
    <definedName name="M_166">#REF!</definedName>
    <definedName name="M_167" localSheetId="1">#REF!</definedName>
    <definedName name="M_167">#REF!</definedName>
    <definedName name="M_170" localSheetId="1">#REF!</definedName>
    <definedName name="M_170">#REF!</definedName>
    <definedName name="M_180" localSheetId="1">#REF!</definedName>
    <definedName name="M_180">#REF!</definedName>
    <definedName name="MANDOR" localSheetId="1">'[16]Hrg Bahan'!#REF!</definedName>
    <definedName name="MANDOR">'[16]Hrg Bahan'!#REF!</definedName>
    <definedName name="Mar_All">"#ref!"</definedName>
    <definedName name="Mar_Bahapal">"#ref!"</definedName>
    <definedName name="Mar_Barumun">"#ref!"</definedName>
    <definedName name="Mar_Buaya">"#ref!"</definedName>
    <definedName name="Mar_Dua1">"#ref!"</definedName>
    <definedName name="Mar_Dua2">"#ref!"</definedName>
    <definedName name="Mar_Hantu">"#ref!"</definedName>
    <definedName name="Mar_Pane">"#ref!"</definedName>
    <definedName name="Mar_Poncan">"#ref!"</definedName>
    <definedName name="Mar_Raso">"#ref!"</definedName>
    <definedName name="Mar_Sibintang">"#ref!"</definedName>
    <definedName name="Mar_Sibuluh">"#ref!"</definedName>
    <definedName name="Mar_Ujung">"#ref!"</definedName>
    <definedName name="MarkaJlnThermo">"#ref!"</definedName>
    <definedName name="MARMER_40X40" localSheetId="1">'[16]Hrg Bahan'!#REF!</definedName>
    <definedName name="MARMER_40X40">'[16]Hrg Bahan'!#REF!</definedName>
    <definedName name="MATERIAL">"#ref!"</definedName>
    <definedName name="MATERIALKU" localSheetId="1">#REF!</definedName>
    <definedName name="MATERIALKU">#REF!</definedName>
    <definedName name="May_All">"#ref!"</definedName>
    <definedName name="May_Bahapal">"#ref!"</definedName>
    <definedName name="May_Barumun">"#ref!"</definedName>
    <definedName name="May_Buaya">"#ref!"</definedName>
    <definedName name="May_Dua1">"#ref!"</definedName>
    <definedName name="May_Dua2">"#ref!"</definedName>
    <definedName name="May_Hantu">"#ref!"</definedName>
    <definedName name="May_Pane">"#ref!"</definedName>
    <definedName name="May_Poncan">"#ref!"</definedName>
    <definedName name="May_Raso">"#ref!"</definedName>
    <definedName name="May_Sibintang">"#ref!"</definedName>
    <definedName name="May_Sibuluh">"#ref!"</definedName>
    <definedName name="May_Ujung">"#ref!"</definedName>
    <definedName name="MCB_6A" localSheetId="1">'[16]Hrg Bahan'!#REF!</definedName>
    <definedName name="MCB_6A">'[16]Hrg Bahan'!#REF!</definedName>
    <definedName name="mcv">[35]MVC!$F$7:$N$8</definedName>
    <definedName name="mdr">'[25]hrg-jadi'!$H$559</definedName>
    <definedName name="MINOR" localSheetId="1">'[10]Kuantitas &amp; Harga'!#REF!</definedName>
    <definedName name="MINOR">'[10]Kuantitas &amp; Harga'!#REF!</definedName>
    <definedName name="MK_012" localSheetId="1">#REF!</definedName>
    <definedName name="MK_012">#REF!</definedName>
    <definedName name="MK_014" localSheetId="1">#REF!</definedName>
    <definedName name="MK_014">#REF!</definedName>
    <definedName name="MK_017" localSheetId="1">#REF!</definedName>
    <definedName name="MK_017">#REF!</definedName>
    <definedName name="MK_023" localSheetId="1">#REF!</definedName>
    <definedName name="MK_023">#REF!</definedName>
    <definedName name="MK_522" localSheetId="1">#REF!</definedName>
    <definedName name="MK_522">#REF!</definedName>
    <definedName name="mmc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M" localSheetId="1" hidden="1">#REF!</definedName>
    <definedName name="MMM" hidden="1">#REF!</definedName>
    <definedName name="MMM17A">"#ref!"</definedName>
    <definedName name="MMM35A">"#ref!"</definedName>
    <definedName name="MOBILISASI" localSheetId="1">#REF!</definedName>
    <definedName name="MOBILISASI">#REF!</definedName>
    <definedName name="MR_11" localSheetId="1">#REF!</definedName>
    <definedName name="MR_11">#REF!</definedName>
    <definedName name="MR_12" localSheetId="1">#REF!</definedName>
    <definedName name="MR_12">#REF!</definedName>
    <definedName name="MR_42" localSheetId="1">#REF!</definedName>
    <definedName name="MR_42">#REF!</definedName>
    <definedName name="MUR_BAUT_ANGKER">'[16]Hrg Bahan'!$N$111</definedName>
    <definedName name="nanna79" localSheetId="3">#REF!</definedName>
    <definedName name="nanna79" localSheetId="1">#REF!</definedName>
    <definedName name="nanna79" localSheetId="6">#REF!</definedName>
    <definedName name="nanna79" localSheetId="2">#REF!</definedName>
    <definedName name="nanna79" localSheetId="7">#REF!</definedName>
    <definedName name="nanna79">#REF!</definedName>
    <definedName name="NOK_GENTENG" localSheetId="3">[16]Analisa!#REF!</definedName>
    <definedName name="NOK_GENTENG" localSheetId="1">[16]Analisa!#REF!</definedName>
    <definedName name="NOK_GENTENG">[16]Analisa!#REF!</definedName>
    <definedName name="Nov_All">"#ref!"</definedName>
    <definedName name="Nov_Bahapal">"#ref!"</definedName>
    <definedName name="Nov_Barumun">"#ref!"</definedName>
    <definedName name="Nov_Buaya">"#ref!"</definedName>
    <definedName name="Nov_Dua1">"#ref!"</definedName>
    <definedName name="Nov_Dua2">"#ref!"</definedName>
    <definedName name="Nov_Hantu">"#ref!"</definedName>
    <definedName name="Nov_Pane">"#ref!"</definedName>
    <definedName name="Nov_Poncan">"#ref!"</definedName>
    <definedName name="Nov_Raso">"#ref!"</definedName>
    <definedName name="Nov_Sibintang">"#ref!"</definedName>
    <definedName name="Nov_Sibuluh">"#ref!"</definedName>
    <definedName name="Nov_Ujung">"#ref!"</definedName>
    <definedName name="Nov02_All">"#ref!"</definedName>
    <definedName name="Nov02_Bahapal">"#ref!"</definedName>
    <definedName name="Nov02_Barumun">"#ref!"</definedName>
    <definedName name="Nov02_Buaya">"#ref!"</definedName>
    <definedName name="Nov02_Dua1">"#ref!"</definedName>
    <definedName name="Nov02_Dua2">"#ref!"</definedName>
    <definedName name="Nov02_Hantu">"#ref!"</definedName>
    <definedName name="Nov02_Pane">"#ref!"</definedName>
    <definedName name="Nov02_Poncan">"#ref!"</definedName>
    <definedName name="Nov02_Raso">"#ref!"</definedName>
    <definedName name="Nov02_Sibintang">"#ref!"</definedName>
    <definedName name="Nov02_Sibuluh">"#ref!"</definedName>
    <definedName name="Nov02_Ujung">"#ref!"</definedName>
    <definedName name="Oct_All">"#ref!"</definedName>
    <definedName name="Oct_Bahapal">"#ref!"</definedName>
    <definedName name="Oct_Barumun">"#ref!"</definedName>
    <definedName name="Oct_Buaya">"#ref!"</definedName>
    <definedName name="Oct_Dua1">"#ref!"</definedName>
    <definedName name="Oct_Dua2">"#ref!"</definedName>
    <definedName name="Oct_Hantu">"#ref!"</definedName>
    <definedName name="Oct_Pane">"#ref!"</definedName>
    <definedName name="Oct_Poncan">"#ref!"</definedName>
    <definedName name="Oct_Raso">"#ref!"</definedName>
    <definedName name="Oct_Sibintang">"#ref!"</definedName>
    <definedName name="Oct_Sibuluh">"#ref!"</definedName>
    <definedName name="Oct_Ujung">"#ref!"</definedName>
    <definedName name="Oct02_All">"#ref!"</definedName>
    <definedName name="Oct02_Bahapal">"#ref!"</definedName>
    <definedName name="Oct02_Barumun">"#ref!"</definedName>
    <definedName name="Oct02_Buaya">"#ref!"</definedName>
    <definedName name="Oct02_Dua1">"#ref!"</definedName>
    <definedName name="Oct02_Dua2">"#ref!"</definedName>
    <definedName name="Oct02_Hantu">"#ref!"</definedName>
    <definedName name="Oct02_Pane">"#ref!"</definedName>
    <definedName name="Oct02_Poncan">"#ref!"</definedName>
    <definedName name="Oct02_Raso">"#ref!"</definedName>
    <definedName name="Oct02_Sibintang">"#ref!"</definedName>
    <definedName name="Oct02_Sibuluh">"#ref!"</definedName>
    <definedName name="Oct02_Ujung">"#ref!"</definedName>
    <definedName name="oda" localSheetId="1" hidden="1">#REF!</definedName>
    <definedName name="oda" hidden="1">#REF!</definedName>
    <definedName name="OKER" localSheetId="1">'[16]Hrg Bahan'!#REF!</definedName>
    <definedName name="OKER">'[16]Hrg Bahan'!#REF!</definedName>
    <definedName name="OMC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" localSheetId="1">#REF!</definedName>
    <definedName name="p">#REF!</definedName>
    <definedName name="P_GIP_1" localSheetId="1">#REF!</definedName>
    <definedName name="P_GIP_1">#REF!</definedName>
    <definedName name="P_GIP_1_5" localSheetId="1">#REF!</definedName>
    <definedName name="P_GIP_1_5">#REF!</definedName>
    <definedName name="P_GIP_2" localSheetId="1">#REF!</definedName>
    <definedName name="P_GIP_2">#REF!</definedName>
    <definedName name="P_GIP_3" localSheetId="1">#REF!</definedName>
    <definedName name="P_GIP_3">#REF!</definedName>
    <definedName name="P_GIP_4" localSheetId="1">#REF!</definedName>
    <definedName name="P_GIP_4">#REF!</definedName>
    <definedName name="P_PVC_1" localSheetId="1">#REF!</definedName>
    <definedName name="P_PVC_1">#REF!</definedName>
    <definedName name="P_PVC_1_5" localSheetId="1">#REF!</definedName>
    <definedName name="P_PVC_1_5">#REF!</definedName>
    <definedName name="P_PVC_2" localSheetId="1">#REF!</definedName>
    <definedName name="P_PVC_2">#REF!</definedName>
    <definedName name="P_PVC_3" localSheetId="1">#REF!</definedName>
    <definedName name="P_PVC_3">#REF!</definedName>
    <definedName name="P_PVC_4" localSheetId="1">#REF!</definedName>
    <definedName name="P_PVC_4">#REF!</definedName>
    <definedName name="Page2">"#ref!"</definedName>
    <definedName name="paku">'[25]hrg-jadi'!$H$159</definedName>
    <definedName name="PAKU_3_10">'[16]Hrg Bahan'!$N$70</definedName>
    <definedName name="PAKU_BETON" localSheetId="1">'[16]Hrg Bahan'!#REF!</definedName>
    <definedName name="PAKU_BETON">'[16]Hrg Bahan'!#REF!</definedName>
    <definedName name="PAKU_DIGALVANO" localSheetId="1">'[16]Hrg Bahan'!#REF!</definedName>
    <definedName name="PAKU_DIGALVANO">'[16]Hrg Bahan'!#REF!</definedName>
    <definedName name="PAKU_DURI" localSheetId="1">'[16]Hrg Bahan'!#REF!</definedName>
    <definedName name="PAKU_DURI">'[16]Hrg Bahan'!#REF!</definedName>
    <definedName name="PAKU_ETERNIT_RR" localSheetId="1">'[16]Hrg Bahan'!#REF!</definedName>
    <definedName name="PAKU_ETERNIT_RR">'[16]Hrg Bahan'!#REF!</definedName>
    <definedName name="PAKU_GTG_ASBES" localSheetId="1">'[16]Hrg Bahan'!#REF!</definedName>
    <definedName name="PAKU_GTG_ASBES">'[16]Hrg Bahan'!#REF!</definedName>
    <definedName name="PAKU_JEMBATAN" localSheetId="1">'[16]Hrg Bahan'!#REF!</definedName>
    <definedName name="PAKU_JEMBATAN">'[16]Hrg Bahan'!#REF!</definedName>
    <definedName name="PAKU_KASO" localSheetId="1">'[16]Hrg Bahan'!#REF!</definedName>
    <definedName name="PAKU_KASO">'[16]Hrg Bahan'!#REF!</definedName>
    <definedName name="PAKU_SENG" localSheetId="1">'[16]Hrg Bahan'!#REF!</definedName>
    <definedName name="PAKU_SENG">'[16]Hrg Bahan'!#REF!</definedName>
    <definedName name="PAKU_SENG_ULIR" localSheetId="1">'[16]Hrg Bahan'!#REF!</definedName>
    <definedName name="PAKU_SENG_ULIR">'[16]Hrg Bahan'!#REF!</definedName>
    <definedName name="PAKU_SIRAP" localSheetId="1">'[16]Hrg Bahan'!#REF!</definedName>
    <definedName name="PAKU_SIRAP">'[16]Hrg Bahan'!#REF!</definedName>
    <definedName name="PAKU_SUMBAT" localSheetId="1">'[16]Hrg Bahan'!#REF!</definedName>
    <definedName name="PAKU_SUMBAT">'[16]Hrg Bahan'!#REF!</definedName>
    <definedName name="PAKU_ULIR" localSheetId="1">'[16]Hrg Bahan'!#REF!</definedName>
    <definedName name="PAKU_ULIR">'[16]Hrg Bahan'!#REF!</definedName>
    <definedName name="PAKU2" localSheetId="1">'[16]Hrg Bahan'!#REF!</definedName>
    <definedName name="PAKU2">'[16]Hrg Bahan'!#REF!</definedName>
    <definedName name="PANEL_BOX_500" localSheetId="1">'[16]Hrg Bahan'!#REF!</definedName>
    <definedName name="PANEL_BOX_500">'[16]Hrg Bahan'!#REF!</definedName>
    <definedName name="PANEL_BOX_600" localSheetId="1">'[16]Hrg Bahan'!#REF!</definedName>
    <definedName name="PANEL_BOX_600">'[16]Hrg Bahan'!#REF!</definedName>
    <definedName name="PAPAN" localSheetId="3">#REF!</definedName>
    <definedName name="PAPAN" localSheetId="1">#REF!</definedName>
    <definedName name="PAPAN" localSheetId="6">#REF!</definedName>
    <definedName name="PAPAN" localSheetId="2">#REF!</definedName>
    <definedName name="PAPAN" localSheetId="7">#REF!</definedName>
    <definedName name="PAPAN">#REF!</definedName>
    <definedName name="PAPAN_II">'[16]Hrg Bahan'!$N$31</definedName>
    <definedName name="PAPAN_III">'[16]Hrg Bahan'!$N$33</definedName>
    <definedName name="Parit">#N/A</definedName>
    <definedName name="PAS._INSTALASI" localSheetId="1">'[16]Hrg Bahan'!#REF!</definedName>
    <definedName name="PAS._INSTALASI">'[16]Hrg Bahan'!#REF!</definedName>
    <definedName name="PAS.ENGSEL_JENDELA">[16]Analisa!$M$511</definedName>
    <definedName name="PAS.ENGSEL_PINTU" localSheetId="1">[16]Analisa!#REF!</definedName>
    <definedName name="PAS.ENGSEL_PINTU">[16]Analisa!#REF!</definedName>
    <definedName name="PAS.FLOOR_DRAIN" localSheetId="1">[16]Analisa!#REF!</definedName>
    <definedName name="PAS.FLOOR_DRAIN">[16]Analisa!#REF!</definedName>
    <definedName name="PAS.HAK_ANGIN">[16]Analisa!$M$545</definedName>
    <definedName name="PAS.KRAN_AIR" localSheetId="1">[16]Analisa!#REF!</definedName>
    <definedName name="PAS.KRAN_AIR">[16]Analisa!#REF!</definedName>
    <definedName name="PAS.PAVING_BLOK" localSheetId="1">[16]Analisa!#REF!</definedName>
    <definedName name="PAS.PAVING_BLOK">[16]Analisa!#REF!</definedName>
    <definedName name="PAS.PENGURAS_AIR" localSheetId="1">[16]Analisa!#REF!</definedName>
    <definedName name="PAS.PENGURAS_AIR">[16]Analisa!#REF!</definedName>
    <definedName name="Pas_Batu">#N/A</definedName>
    <definedName name="Pas_BatuMor">"#ref!"</definedName>
    <definedName name="PASIR_BETON">'[16]Hrg Bahan'!$N$16</definedName>
    <definedName name="PASIR_PASANGAN">'[16]Hrg Bahan'!$N$15</definedName>
    <definedName name="PASIR_URUG">'[16]Hrg Bahan'!$N$14</definedName>
    <definedName name="PatokPengarah">"#ref!"</definedName>
    <definedName name="pb">'[25]hrg-jadi'!$H$46</definedName>
    <definedName name="pc">'[25]hrg-jadi'!$H$58</definedName>
    <definedName name="PC_20X20" localSheetId="1">'[16]Hrg Bahan'!#REF!</definedName>
    <definedName name="PC_20X20">'[16]Hrg Bahan'!#REF!</definedName>
    <definedName name="PC_25X25" localSheetId="1">'[16]Hrg Bahan'!#REF!</definedName>
    <definedName name="PC_25X25">'[16]Hrg Bahan'!#REF!</definedName>
    <definedName name="PEDESTRIANROLLER" localSheetId="3">#REF!</definedName>
    <definedName name="PEDESTRIANROLLER" localSheetId="1">#REF!</definedName>
    <definedName name="PEDESTRIANROLLER" localSheetId="6">#REF!</definedName>
    <definedName name="PEDESTRIANROLLER" localSheetId="2">#REF!</definedName>
    <definedName name="PEDESTRIANROLLER" localSheetId="7">#REF!</definedName>
    <definedName name="PEDESTRIANROLLER">#REF!</definedName>
    <definedName name="pek" localSheetId="3">#REF!</definedName>
    <definedName name="pek" localSheetId="1">#REF!</definedName>
    <definedName name="pek" localSheetId="6">#REF!</definedName>
    <definedName name="pek" localSheetId="2">#REF!</definedName>
    <definedName name="pek" localSheetId="7">#REF!</definedName>
    <definedName name="pek">#REF!</definedName>
    <definedName name="PEKERJA" localSheetId="3">'[16]Hrg Bahan'!#REF!</definedName>
    <definedName name="PEKERJA" localSheetId="1">'[16]Hrg Bahan'!#REF!</definedName>
    <definedName name="PEKERJA" localSheetId="6">'[16]Hrg Bahan'!#REF!</definedName>
    <definedName name="PEKERJA" localSheetId="2">'[16]Hrg Bahan'!#REF!</definedName>
    <definedName name="PEKERJA" localSheetId="7">'[16]Hrg Bahan'!#REF!</definedName>
    <definedName name="PEKERJA">'[16]Hrg Bahan'!#REF!</definedName>
    <definedName name="PELAMPUNG" localSheetId="3">'[16]Hrg Bahan'!#REF!</definedName>
    <definedName name="PELAMPUNG" localSheetId="1">'[16]Hrg Bahan'!#REF!</definedName>
    <definedName name="PELAMPUNG" localSheetId="6">'[16]Hrg Bahan'!#REF!</definedName>
    <definedName name="PELAMPUNG" localSheetId="2">'[16]Hrg Bahan'!#REF!</definedName>
    <definedName name="PELAMPUNG" localSheetId="7">'[16]Hrg Bahan'!#REF!</definedName>
    <definedName name="PELAMPUNG">'[16]Hrg Bahan'!#REF!</definedName>
    <definedName name="PEMANAS_WIKA" localSheetId="1">'[16]Hrg Bahan'!#REF!</definedName>
    <definedName name="PEMANAS_WIKA">'[16]Hrg Bahan'!#REF!</definedName>
    <definedName name="Pembongkaran">[36]NP!$L$841:$V$901</definedName>
    <definedName name="PENDAHULUAN" localSheetId="1">[22]RAB01!#REF!</definedName>
    <definedName name="PENDAHULUAN">[22]RAB01!#REF!</definedName>
    <definedName name="PENGECATAN" localSheetId="3">#REF!</definedName>
    <definedName name="PENGECATAN" localSheetId="1">#REF!</definedName>
    <definedName name="PENGECATAN" localSheetId="6">#REF!</definedName>
    <definedName name="PENGECATAN" localSheetId="2">#REF!</definedName>
    <definedName name="PENGECATAN" localSheetId="7">#REF!</definedName>
    <definedName name="PENGECATAN">#REF!</definedName>
    <definedName name="PENUTUP_KRAN">'[16]Hrg Bahan'!$N$200</definedName>
    <definedName name="PERSIAPAN" localSheetId="3">#REF!</definedName>
    <definedName name="PERSIAPAN" localSheetId="1">#REF!</definedName>
    <definedName name="PERSIAPAN" localSheetId="6">#REF!</definedName>
    <definedName name="PERSIAPAN" localSheetId="2">#REF!</definedName>
    <definedName name="PERSIAPAN" localSheetId="7">#REF!</definedName>
    <definedName name="PERSIAPAN">#REF!</definedName>
    <definedName name="PINTU" localSheetId="3">#REF!</definedName>
    <definedName name="PINTU" localSheetId="1">#REF!</definedName>
    <definedName name="PINTU" localSheetId="6">#REF!</definedName>
    <definedName name="PINTU" localSheetId="2">#REF!</definedName>
    <definedName name="PINTU" localSheetId="7">#REF!</definedName>
    <definedName name="PINTU">#REF!</definedName>
    <definedName name="PINTU_II" localSheetId="3">[16]Analisa!#REF!</definedName>
    <definedName name="PINTU_II" localSheetId="1">[16]Analisa!#REF!</definedName>
    <definedName name="PINTU_II" localSheetId="6">[16]Analisa!#REF!</definedName>
    <definedName name="PINTU_II" localSheetId="2">[16]Analisa!#REF!</definedName>
    <definedName name="PINTU_II" localSheetId="7">[16]Analisa!#REF!</definedName>
    <definedName name="PINTU_II">[16]Analisa!#REF!</definedName>
    <definedName name="PIPA_PENGURAS" localSheetId="3">'[16]Hrg Bahan'!#REF!</definedName>
    <definedName name="PIPA_PENGURAS" localSheetId="1">'[16]Hrg Bahan'!#REF!</definedName>
    <definedName name="PIPA_PENGURAS" localSheetId="6">'[16]Hrg Bahan'!#REF!</definedName>
    <definedName name="PIPA_PENGURAS" localSheetId="2">'[16]Hrg Bahan'!#REF!</definedName>
    <definedName name="PIPA_PENGURAS" localSheetId="7">'[16]Hrg Bahan'!#REF!</definedName>
    <definedName name="PIPA_PENGURAS">'[16]Hrg Bahan'!#REF!</definedName>
    <definedName name="pkj">'[25]hrg-jadi'!$H$574</definedName>
    <definedName name="plafon" localSheetId="1">'[34]AN. SNI'!#REF!</definedName>
    <definedName name="plafon">'[34]AN. SNI'!#REF!</definedName>
    <definedName name="PLAFOND" localSheetId="3">#REF!</definedName>
    <definedName name="PLAFOND" localSheetId="1">#REF!</definedName>
    <definedName name="PLAFOND" localSheetId="6">#REF!</definedName>
    <definedName name="PLAFOND" localSheetId="2">#REF!</definedName>
    <definedName name="PLAFOND" localSheetId="7">#REF!</definedName>
    <definedName name="PLAFOND">#REF!</definedName>
    <definedName name="PLAFOND_100.100" localSheetId="3">[16]Analisa!#REF!</definedName>
    <definedName name="PLAFOND_100.100" localSheetId="1">[16]Analisa!#REF!</definedName>
    <definedName name="PLAFOND_100.100">[16]Analisa!#REF!</definedName>
    <definedName name="PLAFOND_60.120" localSheetId="3">[16]Analisa!#REF!</definedName>
    <definedName name="PLAFOND_60.120" localSheetId="1">[16]Analisa!#REF!</definedName>
    <definedName name="PLAFOND_60.120">[16]Analisa!#REF!</definedName>
    <definedName name="PLAFOND_ETERNIT" localSheetId="3">[16]Analisa!#REF!</definedName>
    <definedName name="PLAFOND_ETERNIT" localSheetId="1">[16]Analisa!#REF!</definedName>
    <definedName name="PLAFOND_ETERNIT">[16]Analisa!#REF!</definedName>
    <definedName name="PLAFOND_TRIPLEKS" localSheetId="3">[16]Analisa!#REF!</definedName>
    <definedName name="PLAFOND_TRIPLEKS" localSheetId="1">[16]Analisa!#REF!</definedName>
    <definedName name="PLAFOND_TRIPLEKS">[16]Analisa!#REF!</definedName>
    <definedName name="PLAMOUR_WYBER" localSheetId="3">'[16]Hrg Bahan'!#REF!</definedName>
    <definedName name="PLAMOUR_WYBER" localSheetId="1">'[16]Hrg Bahan'!#REF!</definedName>
    <definedName name="PLAMOUR_WYBER">'[16]Hrg Bahan'!#REF!</definedName>
    <definedName name="PLAT_LANTAI" localSheetId="3">#REF!</definedName>
    <definedName name="PLAT_LANTAI" localSheetId="1">#REF!</definedName>
    <definedName name="PLAT_LANTAI" localSheetId="6">#REF!</definedName>
    <definedName name="PLAT_LANTAI" localSheetId="2">#REF!</definedName>
    <definedName name="PLAT_LANTAI" localSheetId="7">#REF!</definedName>
    <definedName name="PLAT_LANTAI">#REF!</definedName>
    <definedName name="PLEST_1_3" localSheetId="3">[16]Analisa!#REF!</definedName>
    <definedName name="PLEST_1_3" localSheetId="1">[16]Analisa!#REF!</definedName>
    <definedName name="PLEST_1_3">[16]Analisa!#REF!</definedName>
    <definedName name="PLEST_1_5" localSheetId="3">[16]Analisa!#REF!</definedName>
    <definedName name="PLEST_1_5" localSheetId="1">[16]Analisa!#REF!</definedName>
    <definedName name="PLEST_1_5">[16]Analisa!#REF!</definedName>
    <definedName name="PLEST_TRAS" localSheetId="1">[16]Analisa!#REF!</definedName>
    <definedName name="PLEST_TRAS">[16]Analisa!#REF!</definedName>
    <definedName name="PLESTERAN" localSheetId="3">#REF!</definedName>
    <definedName name="PLESTERAN" localSheetId="1">#REF!</definedName>
    <definedName name="PLESTERAN" localSheetId="6">#REF!</definedName>
    <definedName name="PLESTERAN" localSheetId="2">#REF!</definedName>
    <definedName name="PLESTERAN" localSheetId="7">#REF!</definedName>
    <definedName name="PLESTERAN">#REF!</definedName>
    <definedName name="PLINT_10X30" localSheetId="1">'[16]Hrg Bahan'!#REF!</definedName>
    <definedName name="PLINT_10X30">'[16]Hrg Bahan'!#REF!</definedName>
    <definedName name="PLINT_15X15" localSheetId="1">'[16]Hrg Bahan'!#REF!</definedName>
    <definedName name="PLINT_15X15">'[16]Hrg Bahan'!#REF!</definedName>
    <definedName name="PLINT_15X20" localSheetId="1">'[16]Hrg Bahan'!#REF!</definedName>
    <definedName name="PLINT_15X20">'[16]Hrg Bahan'!#REF!</definedName>
    <definedName name="PLINT_15X25" localSheetId="1">'[16]Hrg Bahan'!#REF!</definedName>
    <definedName name="PLINT_15X25">'[16]Hrg Bahan'!#REF!</definedName>
    <definedName name="PLINT_15X30" localSheetId="1">'[16]Hrg Bahan'!#REF!</definedName>
    <definedName name="PLINT_15X30">'[16]Hrg Bahan'!#REF!</definedName>
    <definedName name="PLINT_PC_15X20" localSheetId="1">'[16]Hrg Bahan'!#REF!</definedName>
    <definedName name="PLINT_PC_15X20">'[16]Hrg Bahan'!#REF!</definedName>
    <definedName name="POLITUR" localSheetId="1">'[16]Hrg Bahan'!#REF!</definedName>
    <definedName name="POLITUR">'[16]Hrg Bahan'!#REF!</definedName>
    <definedName name="POLOS_20.20" localSheetId="1">[16]Analisa!#REF!</definedName>
    <definedName name="POLOS_20.20">[16]Analisa!#REF!</definedName>
    <definedName name="POLOS_30.30" localSheetId="1">[16]Analisa!#REF!</definedName>
    <definedName name="POLOS_30.30">[16]Analisa!#REF!</definedName>
    <definedName name="PONDASI" localSheetId="3">#REF!</definedName>
    <definedName name="PONDASI" localSheetId="1">#REF!</definedName>
    <definedName name="PONDASI" localSheetId="6">#REF!</definedName>
    <definedName name="PONDASI" localSheetId="2">#REF!</definedName>
    <definedName name="PONDASI" localSheetId="7">#REF!</definedName>
    <definedName name="PONDASI">#REF!</definedName>
    <definedName name="PONDASI_GUNUNG_1_5" localSheetId="1">[16]Analisa!#REF!</definedName>
    <definedName name="PONDASI_GUNUNG_1_5">[16]Analisa!#REF!</definedName>
    <definedName name="PORSELIN" localSheetId="1">'[16]Hrg Bahan'!#REF!</definedName>
    <definedName name="PORSELIN">'[16]Hrg Bahan'!#REF!</definedName>
    <definedName name="pp">'[25]hrg-jadi'!$H$45</definedName>
    <definedName name="_xlnm.Print_Area" localSheetId="3" hidden="1">#REF!</definedName>
    <definedName name="_xlnm.Print_Area" localSheetId="1">'PEMBIYAAN '!#REF!</definedName>
    <definedName name="_xlnm.Print_Area" localSheetId="6" hidden="1">#REF!</definedName>
    <definedName name="_xlnm.Print_Area" localSheetId="9" hidden="1">#REF!</definedName>
    <definedName name="_xlnm.Print_Area" localSheetId="2" hidden="1">#REF!</definedName>
    <definedName name="_xlnm.Print_Area" localSheetId="4">UMUM!#REF!</definedName>
    <definedName name="_xlnm.Print_Area" localSheetId="7" hidden="1">#REF!</definedName>
    <definedName name="_xlnm.Print_Area" hidden="1">#REF!</definedName>
    <definedName name="Print_Area_MI">[37]ANALAISA!$A$1:$F$653</definedName>
    <definedName name="pro">'[25]AN-GALIAN'!$K$1</definedName>
    <definedName name="psr">[12]harga!$F$52</definedName>
    <definedName name="PTJW" localSheetId="3">#REF!</definedName>
    <definedName name="PTJW" localSheetId="1">#REF!</definedName>
    <definedName name="PTJW" localSheetId="6">#REF!</definedName>
    <definedName name="PTJW" localSheetId="2">#REF!</definedName>
    <definedName name="PTJW" localSheetId="7">#REF!</definedName>
    <definedName name="PTJW">#REF!</definedName>
    <definedName name="pu">'[25]hrg-jadi'!$H$44</definedName>
    <definedName name="PULLY" localSheetId="1">'[16]Hrg Bahan'!#REF!</definedName>
    <definedName name="PULLY">'[16]Hrg Bahan'!#REF!</definedName>
    <definedName name="PUSAT">"#ref!"</definedName>
    <definedName name="PVC_DIA.1" localSheetId="1">'[16]Hrg Bahan'!#REF!</definedName>
    <definedName name="PVC_DIA.1">'[16]Hrg Bahan'!#REF!</definedName>
    <definedName name="PVC_DIA.1_2" localSheetId="1">'[16]Hrg Bahan'!#REF!</definedName>
    <definedName name="PVC_DIA.1_2">'[16]Hrg Bahan'!#REF!</definedName>
    <definedName name="PVC_DIA.1_5" localSheetId="1">'[16]Hrg Bahan'!#REF!</definedName>
    <definedName name="PVC_DIA.1_5">'[16]Hrg Bahan'!#REF!</definedName>
    <definedName name="PVC_DIA.2" localSheetId="1">'[16]Hrg Bahan'!#REF!</definedName>
    <definedName name="PVC_DIA.2">'[16]Hrg Bahan'!#REF!</definedName>
    <definedName name="PVC_DIA.3" localSheetId="1">'[16]Hrg Bahan'!#REF!</definedName>
    <definedName name="PVC_DIA.3">'[16]Hrg Bahan'!#REF!</definedName>
    <definedName name="PVC_DIA.3_4" localSheetId="1">'[16]Hrg Bahan'!#REF!</definedName>
    <definedName name="PVC_DIA.3_4">'[16]Hrg Bahan'!#REF!</definedName>
    <definedName name="PVC_DIA.4" localSheetId="1">'[16]Hrg Bahan'!#REF!</definedName>
    <definedName name="PVC_DIA.4">'[16]Hrg Bahan'!#REF!</definedName>
    <definedName name="q">"#ref!"</definedName>
    <definedName name="qq" localSheetId="1">#REF!</definedName>
    <definedName name="qq">#REF!</definedName>
    <definedName name="RambuJlnPantul">"#ref!"</definedName>
    <definedName name="rangka" localSheetId="1">'[34]AN. SNI'!#REF!</definedName>
    <definedName name="rangka">'[34]AN. SNI'!#REF!</definedName>
    <definedName name="RANGKA_100.100" localSheetId="1">[16]Analisa!#REF!</definedName>
    <definedName name="RANGKA_100.100">[16]Analisa!#REF!</definedName>
    <definedName name="RANGKA_60.120" localSheetId="1">[16]Analisa!#REF!</definedName>
    <definedName name="RANGKA_60.120">[16]Analisa!#REF!</definedName>
    <definedName name="RANGKA_PLAFOND" localSheetId="3">#REF!</definedName>
    <definedName name="RANGKA_PLAFOND" localSheetId="1">#REF!</definedName>
    <definedName name="RANGKA_PLAFOND" localSheetId="6">#REF!</definedName>
    <definedName name="RANGKA_PLAFOND" localSheetId="2">#REF!</definedName>
    <definedName name="RANGKA_PLAFOND" localSheetId="7">#REF!</definedName>
    <definedName name="RANGKA_PLAFOND">#REF!</definedName>
    <definedName name="Rego">#N/A</definedName>
    <definedName name="rekappppp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kapppp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elPengaman">"#ref!"</definedName>
    <definedName name="RevDiv1_Bahapal">"#ref!"</definedName>
    <definedName name="RevDiv1_Barumun">"#ref!"</definedName>
    <definedName name="RevDiv1_Buaya">"#ref!"</definedName>
    <definedName name="RevDiv1_Dua1">"#ref!"</definedName>
    <definedName name="RevDiv1_Dua2">"#ref!"</definedName>
    <definedName name="RevDiv1_Hantu">"#ref!"</definedName>
    <definedName name="RevDiv1_Pane">"#ref!"</definedName>
    <definedName name="RevDiv1_Poncan">"#ref!"</definedName>
    <definedName name="RevDiv1_Raso">"#ref!"</definedName>
    <definedName name="RevDiv1_Sibintang">"#ref!"</definedName>
    <definedName name="RevDiv1_Sibuluh">"#ref!"</definedName>
    <definedName name="RevDiv1_Total">"#ref!"</definedName>
    <definedName name="RevDiv1_Ujung">"#ref!"</definedName>
    <definedName name="RevDiv2_Bahapal">"#ref!"</definedName>
    <definedName name="RevDiv2_Barumun">"#ref!"</definedName>
    <definedName name="RevDiv2_Buaya">"#ref!"</definedName>
    <definedName name="RevDiv2_Dua1">"#ref!"</definedName>
    <definedName name="RevDiv2_Dua2">"#ref!"</definedName>
    <definedName name="RevDiv2_Hantu">"#ref!"</definedName>
    <definedName name="RevDiv2_Pane">"#ref!"</definedName>
    <definedName name="RevDiv2_Poncan">"#ref!"</definedName>
    <definedName name="RevDiv2_Raso">"#ref!"</definedName>
    <definedName name="RevDiv2_Sibintang">"#ref!"</definedName>
    <definedName name="RevDiv2_Sibuluh">"#ref!"</definedName>
    <definedName name="RevDiv2_Total">"#ref!"</definedName>
    <definedName name="RevDiv2_Ujung">"#ref!"</definedName>
    <definedName name="RevDiv3_Bahapal">"#ref!"</definedName>
    <definedName name="RevDiv3_Barumun">"#ref!"</definedName>
    <definedName name="RevDiv3_Buaya">"#ref!"</definedName>
    <definedName name="RevDiv3_Dua1">"#ref!"</definedName>
    <definedName name="RevDiv3_Dua2">"#ref!"</definedName>
    <definedName name="RevDiv3_Hantu">"#ref!"</definedName>
    <definedName name="RevDiv3_Pane">"#ref!"</definedName>
    <definedName name="RevDiv3_Poncan">"#ref!"</definedName>
    <definedName name="RevDiv3_Raso">"#ref!"</definedName>
    <definedName name="RevDiv3_Sibintang">"#ref!"</definedName>
    <definedName name="RevDiv3_Sibuluh">"#ref!"</definedName>
    <definedName name="RevDiv3_Total">"#ref!"</definedName>
    <definedName name="RevDiv3_Ujung">"#ref!"</definedName>
    <definedName name="RevDiv4_Bahapal">"#ref!"</definedName>
    <definedName name="RevDiv4_Barumun">"#ref!"</definedName>
    <definedName name="RevDiv4_Buaya">"#ref!"</definedName>
    <definedName name="RevDiv4_Dua1">"#ref!"</definedName>
    <definedName name="RevDiv4_Dua2">"#ref!"</definedName>
    <definedName name="RevDiv4_Hantu">"#ref!"</definedName>
    <definedName name="RevDiv4_Pane">"#ref!"</definedName>
    <definedName name="RevDiv4_Poncan">"#ref!"</definedName>
    <definedName name="RevDiv4_Raso">"#ref!"</definedName>
    <definedName name="RevDiv4_Sibintang">"#ref!"</definedName>
    <definedName name="RevDiv4_Sibuluh">"#ref!"</definedName>
    <definedName name="RevDiv4_Total">"#ref!"</definedName>
    <definedName name="RevDiv4_Ujung">"#ref!"</definedName>
    <definedName name="RevDiv5_Bahapal">"#ref!"</definedName>
    <definedName name="RevDiv5_Barumun">"#ref!"</definedName>
    <definedName name="RevDiv5_Buaya">"#ref!"</definedName>
    <definedName name="RevDiv5_Dua1">"#ref!"</definedName>
    <definedName name="RevDiv5_Dua2">"#ref!"</definedName>
    <definedName name="RevDiv5_Hantu">"#ref!"</definedName>
    <definedName name="RevDiv5_Pane">"#ref!"</definedName>
    <definedName name="RevDiv5_Poncan">"#ref!"</definedName>
    <definedName name="RevDiv5_Raso">"#ref!"</definedName>
    <definedName name="RevDiv5_Sibintang">"#ref!"</definedName>
    <definedName name="RevDiv5_Sibuluh">"#ref!"</definedName>
    <definedName name="RevDiv5_Total">"#ref!"</definedName>
    <definedName name="RevDiv5_Ujung">"#ref!"</definedName>
    <definedName name="RevDiv6_Bahapal">"#ref!"</definedName>
    <definedName name="RevDiv6_Barumun">"#ref!"</definedName>
    <definedName name="RevDiv6_Buaya">"#ref!"</definedName>
    <definedName name="RevDiv6_Dua1">"#ref!"</definedName>
    <definedName name="RevDiv6_Dua2">"#ref!"</definedName>
    <definedName name="RevDiv6_Hantu">"#ref!"</definedName>
    <definedName name="RevDiv6_Pane">"#ref!"</definedName>
    <definedName name="RevDiv6_Poncan">"#ref!"</definedName>
    <definedName name="RevDiv6_Raso">"#ref!"</definedName>
    <definedName name="RevDiv6_Sibintang">"#ref!"</definedName>
    <definedName name="RevDiv6_Sibuluh">"#ref!"</definedName>
    <definedName name="RevDiv6_Total">"#ref!"</definedName>
    <definedName name="RevDiv6_Ujung">"#ref!"</definedName>
    <definedName name="RevDiv7_Bahapal">"#ref!"</definedName>
    <definedName name="RevDiv7_Barumun">"#ref!"</definedName>
    <definedName name="RevDiv7_Buaya">"#ref!"</definedName>
    <definedName name="RevDiv7_Dua1">"#ref!"</definedName>
    <definedName name="RevDiv7_Dua2">"#ref!"</definedName>
    <definedName name="RevDiv7_Hantu">"#ref!"</definedName>
    <definedName name="RevDiv7_Pane">"#ref!"</definedName>
    <definedName name="RevDiv7_Poncan">"#ref!"</definedName>
    <definedName name="RevDiv7_Raso">"#ref!"</definedName>
    <definedName name="RevDiv7_Sibintang">"#ref!"</definedName>
    <definedName name="RevDiv7_Sibuluh">"#ref!"</definedName>
    <definedName name="RevDiv7_Total">"#ref!"</definedName>
    <definedName name="RevDiv7_Ujung">"#ref!"</definedName>
    <definedName name="RINCIANSEWA" localSheetId="1">#REF!</definedName>
    <definedName name="RINCIANSEWA">#REF!</definedName>
    <definedName name="RINCIANSEWA2" localSheetId="1">#REF!</definedName>
    <definedName name="RINCIANSEWA2">#REF!</definedName>
    <definedName name="ROLLING_DOOR" localSheetId="1">'[16]Hrg Bahan'!#REF!</definedName>
    <definedName name="ROLLING_DOOR">'[16]Hrg Bahan'!#REF!</definedName>
    <definedName name="RUTIN" localSheetId="1">'[10]Kuantitas &amp; Harga'!#REF!</definedName>
    <definedName name="RUTIN">'[10]Kuantitas &amp; Harga'!#REF!</definedName>
    <definedName name="s">[38]ANALISA!$C$6:$E$424</definedName>
    <definedName name="SADEL_PLASTIK" localSheetId="1">'[16]Hrg Bahan'!#REF!</definedName>
    <definedName name="SADEL_PLASTIK">'[16]Hrg Bahan'!#REF!</definedName>
    <definedName name="SAKLAR_DOUBLE_H" localSheetId="1">'[16]Hrg Bahan'!#REF!</definedName>
    <definedName name="SAKLAR_DOUBLE_H">'[16]Hrg Bahan'!#REF!</definedName>
    <definedName name="SAKLAR_DOUBLE_P" localSheetId="1">'[16]Hrg Bahan'!#REF!</definedName>
    <definedName name="SAKLAR_DOUBLE_P">'[16]Hrg Bahan'!#REF!</definedName>
    <definedName name="SAKLAR_ENGKEL_H" localSheetId="1">'[16]Hrg Bahan'!#REF!</definedName>
    <definedName name="SAKLAR_ENGKEL_H">'[16]Hrg Bahan'!#REF!</definedName>
    <definedName name="SAKLAR_ENGKEL_P" localSheetId="1">'[16]Hrg Bahan'!#REF!</definedName>
    <definedName name="SAKLAR_ENGKEL_P">'[16]Hrg Bahan'!#REF!</definedName>
    <definedName name="SALURAN_RABAT" localSheetId="3">#REF!</definedName>
    <definedName name="SALURAN_RABAT" localSheetId="1">#REF!</definedName>
    <definedName name="SALURAN_RABAT" localSheetId="6">#REF!</definedName>
    <definedName name="SALURAN_RABAT" localSheetId="2">#REF!</definedName>
    <definedName name="SALURAN_RABAT" localSheetId="7">#REF!</definedName>
    <definedName name="SALURAN_RABAT">#REF!</definedName>
    <definedName name="SANITASI" localSheetId="3">#REF!</definedName>
    <definedName name="SANITASI" localSheetId="1">#REF!</definedName>
    <definedName name="SANITASI" localSheetId="6">#REF!</definedName>
    <definedName name="SANITASI" localSheetId="2">#REF!</definedName>
    <definedName name="SANITASI" localSheetId="7">#REF!</definedName>
    <definedName name="SANITASI">#REF!</definedName>
    <definedName name="SatuanBahan">[39]HBU!$F$457:$F$471</definedName>
    <definedName name="SatuanTenaga">[39]HBU!$F$472</definedName>
    <definedName name="SAY">"#ref!"</definedName>
    <definedName name="SEKRING_LOKAL_1" localSheetId="1">'[16]Hrg Bahan'!#REF!</definedName>
    <definedName name="SEKRING_LOKAL_1">'[16]Hrg Bahan'!#REF!</definedName>
    <definedName name="SEKRING_LOKAL_2" localSheetId="1">'[16]Hrg Bahan'!#REF!</definedName>
    <definedName name="SEKRING_LOKAL_2">'[16]Hrg Bahan'!#REF!</definedName>
    <definedName name="SELUBUNG_GIP_2" localSheetId="1">'[16]Hrg Bahan'!#REF!</definedName>
    <definedName name="SELUBUNG_GIP_2">'[16]Hrg Bahan'!#REF!</definedName>
    <definedName name="SELUBUNG_GIP_3" localSheetId="1">'[16]Hrg Bahan'!#REF!</definedName>
    <definedName name="SELUBUNG_GIP_3">'[16]Hrg Bahan'!#REF!</definedName>
    <definedName name="SEMEN" localSheetId="1">'[16]Hrg Bahan'!#REF!</definedName>
    <definedName name="SEMEN">'[16]Hrg Bahan'!#REF!</definedName>
    <definedName name="SEMEN_WARNA">'[16]Hrg Bahan'!$N$20</definedName>
    <definedName name="SENG_ALUMINIUM" localSheetId="1">'[16]Hrg Bahan'!#REF!</definedName>
    <definedName name="SENG_ALUMINIUM">'[16]Hrg Bahan'!#REF!</definedName>
    <definedName name="SENG_BJLS.020">'[16]Hrg Bahan'!$N$146</definedName>
    <definedName name="SENG_BJLS.022" localSheetId="1">'[16]Hrg Bahan'!#REF!</definedName>
    <definedName name="SENG_BJLS.022">'[16]Hrg Bahan'!#REF!</definedName>
    <definedName name="SENG_BJLS.029" localSheetId="1">'[16]Hrg Bahan'!#REF!</definedName>
    <definedName name="SENG_BJLS.029">'[16]Hrg Bahan'!#REF!</definedName>
    <definedName name="SENG_BJLS.031">'[16]Hrg Bahan'!$N$154</definedName>
    <definedName name="SENG_GELOMBANG">'[16]Hrg Bahan'!$N$155</definedName>
    <definedName name="SENG_ONDULINE" localSheetId="1">'[16]Hrg Bahan'!#REF!</definedName>
    <definedName name="SENG_ONDULINE">'[16]Hrg Bahan'!#REF!</definedName>
    <definedName name="SENG_SUPERDEK">'[16]Hrg Bahan'!$N$158</definedName>
    <definedName name="Sep_All">"#ref!"</definedName>
    <definedName name="Sep_Bahapal">"#ref!"</definedName>
    <definedName name="Sep_Barumun">"#ref!"</definedName>
    <definedName name="Sep_Buaya">"#ref!"</definedName>
    <definedName name="Sep_Dua1">"#ref!"</definedName>
    <definedName name="Sep_Dua2">"#ref!"</definedName>
    <definedName name="Sep_Hantu">"#ref!"</definedName>
    <definedName name="Sep_Pane">"#ref!"</definedName>
    <definedName name="Sep_Poncan">"#ref!"</definedName>
    <definedName name="Sep_Raso">"#ref!"</definedName>
    <definedName name="Sep_Sibintang">"#ref!"</definedName>
    <definedName name="Sep_Sibuluh">"#ref!"</definedName>
    <definedName name="Sep_Ujung">"#ref!"</definedName>
    <definedName name="SEPTICTANK" localSheetId="1">[16]Analisa!#REF!</definedName>
    <definedName name="SEPTICTANK">[16]Analisa!#REF!</definedName>
    <definedName name="SHOWER_TOTO" localSheetId="1">'[16]Hrg Bahan'!#REF!</definedName>
    <definedName name="SHOWER_TOTO">'[16]Hrg Bahan'!#REF!</definedName>
    <definedName name="Siap_BadanJL">"#ref!"</definedName>
    <definedName name="SIRAP" localSheetId="1">'[16]Hrg Bahan'!#REF!</definedName>
    <definedName name="SIRAP">'[16]Hrg Bahan'!#REF!</definedName>
    <definedName name="SISA" localSheetId="3">#REF!</definedName>
    <definedName name="SISA" localSheetId="1">#REF!</definedName>
    <definedName name="SISA" localSheetId="6">#REF!</definedName>
    <definedName name="SISA" localSheetId="2">#REF!</definedName>
    <definedName name="SISA" localSheetId="7">#REF!</definedName>
    <definedName name="SISA">#REF!</definedName>
    <definedName name="SLAT_ALUMINIUM">'[16]Hrg Bahan'!$N$100</definedName>
    <definedName name="SOCKET_GIP_1_2" localSheetId="1">'[16]Hrg Bahan'!#REF!</definedName>
    <definedName name="SOCKET_GIP_1_2">'[16]Hrg Bahan'!#REF!</definedName>
    <definedName name="SOCKET_GIP1" localSheetId="1">'[16]Hrg Bahan'!#REF!</definedName>
    <definedName name="SOCKET_GIP1">'[16]Hrg Bahan'!#REF!</definedName>
    <definedName name="SOCKET_GIP2" localSheetId="1">'[16]Hrg Bahan'!#REF!</definedName>
    <definedName name="SOCKET_GIP2">'[16]Hrg Bahan'!#REF!</definedName>
    <definedName name="SOCKET_GIP3" localSheetId="1">'[16]Hrg Bahan'!#REF!</definedName>
    <definedName name="SOCKET_GIP3">'[16]Hrg Bahan'!#REF!</definedName>
    <definedName name="SOCKET_GIP3_4" localSheetId="1">'[16]Hrg Bahan'!#REF!</definedName>
    <definedName name="SOCKET_GIP3_4">'[16]Hrg Bahan'!#REF!</definedName>
    <definedName name="SPL.III_BDK_20" localSheetId="3">#REF!</definedName>
    <definedName name="SPL.III_BDK_20" localSheetId="1">#REF!</definedName>
    <definedName name="SPL.III_BDK_20" localSheetId="6">#REF!</definedName>
    <definedName name="SPL.III_BDK_20" localSheetId="2">#REF!</definedName>
    <definedName name="SPL.III_BDK_20" localSheetId="7">#REF!</definedName>
    <definedName name="SPL.III_BDK_20">#REF!</definedName>
    <definedName name="SPL.III_BDK_30" localSheetId="3">#REF!</definedName>
    <definedName name="SPL.III_BDK_30" localSheetId="1">#REF!</definedName>
    <definedName name="SPL.III_BDK_30" localSheetId="6">#REF!</definedName>
    <definedName name="SPL.III_BDK_30" localSheetId="2">#REF!</definedName>
    <definedName name="SPL.III_BDK_30" localSheetId="7">#REF!</definedName>
    <definedName name="SPL.III_BDK_30">#REF!</definedName>
    <definedName name="SPL.III_PC" localSheetId="3">#REF!</definedName>
    <definedName name="SPL.III_PC" localSheetId="1">#REF!</definedName>
    <definedName name="SPL.III_PC" localSheetId="6">#REF!</definedName>
    <definedName name="SPL.III_PC" localSheetId="2">#REF!</definedName>
    <definedName name="SPL.III_PC" localSheetId="7">#REF!</definedName>
    <definedName name="SPL.III_PC">#REF!</definedName>
    <definedName name="SPL.IV_10X20" localSheetId="1">#REF!</definedName>
    <definedName name="SPL.IV_10X20">#REF!</definedName>
    <definedName name="SPL.IV_PORSEL" localSheetId="1">#REF!</definedName>
    <definedName name="SPL.IV_PORSEL">#REF!</definedName>
    <definedName name="SPL.V" localSheetId="1">#REF!</definedName>
    <definedName name="SPL.V">#REF!</definedName>
    <definedName name="SPL.VIA" localSheetId="1">#REF!</definedName>
    <definedName name="SPL.VIA">#REF!</definedName>
    <definedName name="SPL.VII_I" localSheetId="1">#REF!</definedName>
    <definedName name="SPL.VII_I">#REF!</definedName>
    <definedName name="SPL.VII_II" localSheetId="1">#REF!</definedName>
    <definedName name="SPL.VII_II">#REF!</definedName>
    <definedName name="SPL.VIII_ETER" localSheetId="1">#REF!</definedName>
    <definedName name="SPL.VIII_ETER">#REF!</definedName>
    <definedName name="SPL.VIII_GAM" localSheetId="1">#REF!</definedName>
    <definedName name="SPL.VIII_GAM">#REF!</definedName>
    <definedName name="SPL.VIII_TEAK" localSheetId="1">#REF!</definedName>
    <definedName name="SPL.VIII_TEAK">#REF!</definedName>
    <definedName name="SPL.VIII_TRIP" localSheetId="1">#REF!</definedName>
    <definedName name="SPL.VIII_TRIP">#REF!</definedName>
    <definedName name="SPL.X" localSheetId="1">#REF!</definedName>
    <definedName name="SPL.X">#REF!</definedName>
    <definedName name="SPRAYER" localSheetId="1">#REF!</definedName>
    <definedName name="SPRAYER">#REF!</definedName>
    <definedName name="ss" localSheetId="1" hidden="1">#REF!</definedName>
    <definedName name="ss" hidden="1">#REF!</definedName>
    <definedName name="ssss" localSheetId="1">#REF!</definedName>
    <definedName name="ssss">#REF!</definedName>
    <definedName name="STIKER_HITAM" localSheetId="1">'[16]Hrg Bahan'!#REF!</definedName>
    <definedName name="STIKER_HITAM">'[16]Hrg Bahan'!#REF!</definedName>
    <definedName name="STIKER_PUTIH" localSheetId="1">'[16]Hrg Bahan'!#REF!</definedName>
    <definedName name="STIKER_PUTIH">'[16]Hrg Bahan'!#REF!</definedName>
    <definedName name="STONECRUSHER" localSheetId="3">#REF!</definedName>
    <definedName name="STONECRUSHER" localSheetId="1">#REF!</definedName>
    <definedName name="STONECRUSHER" localSheetId="6">#REF!</definedName>
    <definedName name="STONECRUSHER" localSheetId="2">#REF!</definedName>
    <definedName name="STONECRUSHER" localSheetId="7">#REF!</definedName>
    <definedName name="STONECRUSHER">#REF!</definedName>
    <definedName name="STOP_KONTAK_H" localSheetId="1">'[16]Hrg Bahan'!#REF!</definedName>
    <definedName name="STOP_KONTAK_H">'[16]Hrg Bahan'!#REF!</definedName>
    <definedName name="STOP_KONTAK_P" localSheetId="1">'[16]Hrg Bahan'!#REF!</definedName>
    <definedName name="STOP_KONTAK_P">'[16]Hrg Bahan'!#REF!</definedName>
    <definedName name="STOP_KRAN_1_5" localSheetId="1">'[16]Hrg Bahan'!#REF!</definedName>
    <definedName name="STOP_KRAN_1_5">'[16]Hrg Bahan'!#REF!</definedName>
    <definedName name="STOP_KRAN_2" localSheetId="1">'[16]Hrg Bahan'!#REF!</definedName>
    <definedName name="STOP_KRAN_2">'[16]Hrg Bahan'!#REF!</definedName>
    <definedName name="STOP_KRAN_3" localSheetId="1">'[16]Hrg Bahan'!#REF!</definedName>
    <definedName name="STOP_KRAN_3">'[16]Hrg Bahan'!#REF!</definedName>
    <definedName name="STOP_KRAN_3_4" localSheetId="1">'[16]Hrg Bahan'!#REF!</definedName>
    <definedName name="STOP_KRAN_3_4">'[16]Hrg Bahan'!#REF!</definedName>
    <definedName name="STOP_KRAN_4" localSheetId="1">'[16]Hrg Bahan'!#REF!</definedName>
    <definedName name="STOP_KRAN_4">'[16]Hrg Bahan'!#REF!</definedName>
    <definedName name="STRUKTUR" localSheetId="1">'[10]Kuantitas &amp; Harga'!#REF!</definedName>
    <definedName name="STRUKTUR">'[10]Kuantitas &amp; Harga'!#REF!</definedName>
    <definedName name="SUNGKAI_PAPER" localSheetId="1">'[16]Hrg Bahan'!#REF!</definedName>
    <definedName name="SUNGKAI_PAPER">'[16]Hrg Bahan'!#REF!</definedName>
    <definedName name="T_1" localSheetId="3">#REF!</definedName>
    <definedName name="T_1" localSheetId="1">#REF!</definedName>
    <definedName name="T_1" localSheetId="6">#REF!</definedName>
    <definedName name="T_1" localSheetId="2">#REF!</definedName>
    <definedName name="T_1" localSheetId="7">#REF!</definedName>
    <definedName name="T_1">#REF!</definedName>
    <definedName name="T_2" localSheetId="3">#REF!</definedName>
    <definedName name="T_2" localSheetId="1">#REF!</definedName>
    <definedName name="T_2" localSheetId="6">#REF!</definedName>
    <definedName name="T_2" localSheetId="2">#REF!</definedName>
    <definedName name="T_2" localSheetId="7">#REF!</definedName>
    <definedName name="T_2">#REF!</definedName>
    <definedName name="Tabel" localSheetId="3">#REF!</definedName>
    <definedName name="Tabel" localSheetId="1">#REF!</definedName>
    <definedName name="Tabel" localSheetId="6">#REF!</definedName>
    <definedName name="Tabel" localSheetId="2">#REF!</definedName>
    <definedName name="Tabel" localSheetId="7">#REF!</definedName>
    <definedName name="Tabel">#REF!</definedName>
    <definedName name="Tabel_1" localSheetId="1">#REF!</definedName>
    <definedName name="Tabel_1">#REF!</definedName>
    <definedName name="tabel1" localSheetId="1">#REF!</definedName>
    <definedName name="tabel1">#REF!</definedName>
    <definedName name="TALANG_KARET">[16]Analisa!$M$465</definedName>
    <definedName name="TAMPER" localSheetId="3">#REF!</definedName>
    <definedName name="TAMPER" localSheetId="1">#REF!</definedName>
    <definedName name="TAMPER" localSheetId="6">#REF!</definedName>
    <definedName name="TAMPER" localSheetId="2">#REF!</definedName>
    <definedName name="TAMPER" localSheetId="7">#REF!</definedName>
    <definedName name="TAMPER">#REF!</definedName>
    <definedName name="TANAH" localSheetId="3">#REF!</definedName>
    <definedName name="TANAH" localSheetId="1">#REF!</definedName>
    <definedName name="TANAH" localSheetId="6">#REF!</definedName>
    <definedName name="TANAH" localSheetId="2">#REF!</definedName>
    <definedName name="TANAH" localSheetId="7">#REF!</definedName>
    <definedName name="TANAH">#REF!</definedName>
    <definedName name="TANAH_TIMBUNAN">'[16]Hrg Bahan'!$N$17</definedName>
    <definedName name="TANDEMROLLER" localSheetId="3">#REF!</definedName>
    <definedName name="TANDEMROLLER" localSheetId="1">#REF!</definedName>
    <definedName name="TANDEMROLLER" localSheetId="6">#REF!</definedName>
    <definedName name="TANDEMROLLER" localSheetId="2">#REF!</definedName>
    <definedName name="TANDEMROLLER" localSheetId="7">#REF!</definedName>
    <definedName name="TANDEMROLLER">#REF!</definedName>
    <definedName name="TANGKI_FIBER_3">'[16]Hrg Bahan'!$N$195</definedName>
    <definedName name="TANGKI_FIBER_6" localSheetId="1">'[16]Hrg Bahan'!#REF!</definedName>
    <definedName name="TANGKI_FIBER_6">'[16]Hrg Bahan'!#REF!</definedName>
    <definedName name="TAS" localSheetId="3">#REF!</definedName>
    <definedName name="TAS" localSheetId="1">#REF!</definedName>
    <definedName name="TAS" localSheetId="6">#REF!</definedName>
    <definedName name="TAS" localSheetId="2">#REF!</definedName>
    <definedName name="TAS" localSheetId="7">#REF!</definedName>
    <definedName name="TAS">#REF!</definedName>
    <definedName name="TEAK_OIL" localSheetId="3">'[16]Hrg Bahan'!#REF!</definedName>
    <definedName name="TEAK_OIL" localSheetId="1">'[16]Hrg Bahan'!#REF!</definedName>
    <definedName name="TEAK_OIL">'[16]Hrg Bahan'!#REF!</definedName>
    <definedName name="TEAKWOOD_4X8" localSheetId="3">'[16]Hrg Bahan'!#REF!</definedName>
    <definedName name="TEAKWOOD_4X8" localSheetId="1">'[16]Hrg Bahan'!#REF!</definedName>
    <definedName name="TEAKWOOD_4X8">'[16]Hrg Bahan'!#REF!</definedName>
    <definedName name="TEAKWOOD_ALUM" localSheetId="3">'[16]Hrg Bahan'!#REF!</definedName>
    <definedName name="TEAKWOOD_ALUM" localSheetId="1">'[16]Hrg Bahan'!#REF!</definedName>
    <definedName name="TEAKWOOD_ALUM">'[16]Hrg Bahan'!#REF!</definedName>
    <definedName name="TEAKWOOD_MIL" localSheetId="3">'[16]Hrg Bahan'!#REF!</definedName>
    <definedName name="TEAKWOOD_MIL" localSheetId="1">'[16]Hrg Bahan'!#REF!</definedName>
    <definedName name="TEAKWOOD_MIL">'[16]Hrg Bahan'!#REF!</definedName>
    <definedName name="TEGEL" localSheetId="3">#REF!</definedName>
    <definedName name="TEGEL" localSheetId="1">#REF!</definedName>
    <definedName name="TEGEL" localSheetId="6">#REF!</definedName>
    <definedName name="TEGEL" localSheetId="2">#REF!</definedName>
    <definedName name="TEGEL" localSheetId="7">#REF!</definedName>
    <definedName name="TEGEL">#REF!</definedName>
    <definedName name="TEMBOK_1_4" localSheetId="3">[16]Analisa!#REF!</definedName>
    <definedName name="TEMBOK_1_4" localSheetId="1">[16]Analisa!#REF!</definedName>
    <definedName name="TEMBOK_1_4">[16]Analisa!#REF!</definedName>
    <definedName name="TENAGA">[39]HBU!$E$443:$E$453</definedName>
    <definedName name="THREEWHEELROLLER" localSheetId="3">#REF!</definedName>
    <definedName name="THREEWHEELROLLER" localSheetId="1">#REF!</definedName>
    <definedName name="THREEWHEELROLLER" localSheetId="6">#REF!</definedName>
    <definedName name="THREEWHEELROLLER" localSheetId="2">#REF!</definedName>
    <definedName name="THREEWHEELROLLER" localSheetId="7">#REF!</definedName>
    <definedName name="THREEWHEELROLLER">#REF!</definedName>
    <definedName name="TIANG_PJU" localSheetId="3">'[16]Hrg Bahan'!#REF!</definedName>
    <definedName name="TIANG_PJU" localSheetId="1">'[16]Hrg Bahan'!#REF!</definedName>
    <definedName name="TIANG_PJU">'[16]Hrg Bahan'!#REF!</definedName>
    <definedName name="TIGA_RODA_40" localSheetId="3">'[16]Hrg Bahan'!#REF!</definedName>
    <definedName name="TIGA_RODA_40" localSheetId="1">'[16]Hrg Bahan'!#REF!</definedName>
    <definedName name="TIGA_RODA_40">'[16]Hrg Bahan'!#REF!</definedName>
    <definedName name="Timbun_Biasa">"#ref!"</definedName>
    <definedName name="Timbunan">#N/A</definedName>
    <definedName name="TIMBUNAN_SIRTU" localSheetId="1">[16]Analisa!#REF!</definedName>
    <definedName name="TIMBUNAN_SIRTU">[16]Analisa!#REF!</definedName>
    <definedName name="TIREROLLER" localSheetId="3">#REF!</definedName>
    <definedName name="TIREROLLER" localSheetId="1">#REF!</definedName>
    <definedName name="TIREROLLER" localSheetId="6">#REF!</definedName>
    <definedName name="TIREROLLER" localSheetId="2">#REF!</definedName>
    <definedName name="TIREROLLER" localSheetId="7">#REF!</definedName>
    <definedName name="TIREROLLER">#REF!</definedName>
    <definedName name="tk">'[25]hrg-jadi'!$H$566</definedName>
    <definedName name="Tkg">[12]harga!$F$17</definedName>
    <definedName name="TONASA_50" localSheetId="1">'[16]Hrg Bahan'!#REF!</definedName>
    <definedName name="TONASA_50">'[16]Hrg Bahan'!#REF!</definedName>
    <definedName name="tot" localSheetId="3">#REF!</definedName>
    <definedName name="tot" localSheetId="1">#REF!</definedName>
    <definedName name="tot" localSheetId="6">#REF!</definedName>
    <definedName name="tot" localSheetId="2">#REF!</definedName>
    <definedName name="tot" localSheetId="7">#REF!</definedName>
    <definedName name="tot">#REF!</definedName>
    <definedName name="TOTAL" localSheetId="3">#REF!</definedName>
    <definedName name="TOTAL" localSheetId="1">#REF!</definedName>
    <definedName name="TOTAL" localSheetId="6">#REF!</definedName>
    <definedName name="TOTAL" localSheetId="2">#REF!</definedName>
    <definedName name="TOTAL" localSheetId="7">#REF!</definedName>
    <definedName name="TOTAL">#REF!</definedName>
    <definedName name="TRACKLOADER" localSheetId="3">#REF!</definedName>
    <definedName name="TRACKLOADER" localSheetId="1">#REF!</definedName>
    <definedName name="TRACKLOADER" localSheetId="6">#REF!</definedName>
    <definedName name="TRACKLOADER" localSheetId="2">#REF!</definedName>
    <definedName name="TRACKLOADER" localSheetId="7">#REF!</definedName>
    <definedName name="TRACKLOADER">#REF!</definedName>
    <definedName name="TRASO_30X30" localSheetId="3">'[16]Hrg Bahan'!#REF!</definedName>
    <definedName name="TRASO_30X30" localSheetId="1">'[16]Hrg Bahan'!#REF!</definedName>
    <definedName name="TRASO_30X30" localSheetId="6">'[16]Hrg Bahan'!#REF!</definedName>
    <definedName name="TRASO_30X30" localSheetId="2">'[16]Hrg Bahan'!#REF!</definedName>
    <definedName name="TRASO_30X30" localSheetId="7">'[16]Hrg Bahan'!#REF!</definedName>
    <definedName name="TRASO_30X30">'[16]Hrg Bahan'!#REF!</definedName>
    <definedName name="TREAK_STANG" localSheetId="3">'[16]Hrg Bahan'!#REF!</definedName>
    <definedName name="TREAK_STANG" localSheetId="1">'[16]Hrg Bahan'!#REF!</definedName>
    <definedName name="TREAK_STANG" localSheetId="6">'[16]Hrg Bahan'!#REF!</definedName>
    <definedName name="TREAK_STANG" localSheetId="2">'[16]Hrg Bahan'!#REF!</definedName>
    <definedName name="TREAK_STANG" localSheetId="7">'[16]Hrg Bahan'!#REF!</definedName>
    <definedName name="TREAK_STANG">'[16]Hrg Bahan'!#REF!</definedName>
    <definedName name="TRIPLEX_MILAMIN" localSheetId="3">'[16]Hrg Bahan'!#REF!</definedName>
    <definedName name="TRIPLEX_MILAMIN" localSheetId="1">'[16]Hrg Bahan'!#REF!</definedName>
    <definedName name="TRIPLEX_MILAMIN" localSheetId="6">'[16]Hrg Bahan'!#REF!</definedName>
    <definedName name="TRIPLEX_MILAMIN" localSheetId="2">'[16]Hrg Bahan'!#REF!</definedName>
    <definedName name="TRIPLEX_MILAMIN" localSheetId="7">'[16]Hrg Bahan'!#REF!</definedName>
    <definedName name="TRIPLEX_MILAMIN">'[16]Hrg Bahan'!#REF!</definedName>
    <definedName name="TRIPLEX_SUNGKAI" localSheetId="3">'[16]Hrg Bahan'!#REF!</definedName>
    <definedName name="TRIPLEX_SUNGKAI" localSheetId="1">'[16]Hrg Bahan'!#REF!</definedName>
    <definedName name="TRIPLEX_SUNGKAI" localSheetId="6">'[16]Hrg Bahan'!#REF!</definedName>
    <definedName name="TRIPLEX_SUNGKAI" localSheetId="2">'[16]Hrg Bahan'!#REF!</definedName>
    <definedName name="TRIPLEX_SUNGKAI" localSheetId="7">'[16]Hrg Bahan'!#REF!</definedName>
    <definedName name="TRIPLEX_SUNGKAI">'[16]Hrg Bahan'!#REF!</definedName>
    <definedName name="tu">'[25]hrg-jadi'!$H$24</definedName>
    <definedName name="TUK._ANYAM" localSheetId="1">'[16]Hrg Bahan'!#REF!</definedName>
    <definedName name="TUK._ANYAM">'[16]Hrg Bahan'!#REF!</definedName>
    <definedName name="TUK.BATU" localSheetId="1">'[16]Hrg Bahan'!#REF!</definedName>
    <definedName name="TUK.BATU">'[16]Hrg Bahan'!#REF!</definedName>
    <definedName name="TUK.BESI" localSheetId="1">'[16]Hrg Bahan'!#REF!</definedName>
    <definedName name="TUK.BESI">'[16]Hrg Bahan'!#REF!</definedName>
    <definedName name="TUK.CAT" localSheetId="1">'[16]Hrg Bahan'!#REF!</definedName>
    <definedName name="TUK.CAT">'[16]Hrg Bahan'!#REF!</definedName>
    <definedName name="TUK.KAYU" localSheetId="1">'[16]Hrg Bahan'!#REF!</definedName>
    <definedName name="TUK.KAYU">'[16]Hrg Bahan'!#REF!</definedName>
    <definedName name="TUKANG" localSheetId="1">'[16]Hrg Bahan'!#REF!</definedName>
    <definedName name="TUKANG">'[16]Hrg Bahan'!#REF!</definedName>
    <definedName name="type200">'[40]Type 232'!$X$187</definedName>
    <definedName name="type45">'[40]Type 45'!$X$155</definedName>
    <definedName name="type54">'[40]Type 54'!$X$156</definedName>
    <definedName name="type90">'[40]Type 90'!$X$183</definedName>
    <definedName name="UNION_40" localSheetId="1">'[16]Hrg Bahan'!#REF!</definedName>
    <definedName name="UNION_40">'[16]Hrg Bahan'!#REF!</definedName>
    <definedName name="UNION_50" localSheetId="1">'[16]Hrg Bahan'!#REF!</definedName>
    <definedName name="UNION_50">'[16]Hrg Bahan'!#REF!</definedName>
    <definedName name="UPAH">"#ref!"</definedName>
    <definedName name="URAIAN">'[27]3-DIV2'!$A$1:$J$1101</definedName>
    <definedName name="URAIAN21">'[27]3-DIV2'!$A$1:$J$121</definedName>
    <definedName name="URAIAN22E">'[27]3-DIV2'!$A$122:$J$123</definedName>
    <definedName name="URAIAN22L" localSheetId="1">'[27]3-DIV2'!#REF!</definedName>
    <definedName name="URAIAN22L">'[27]3-DIV2'!#REF!</definedName>
    <definedName name="URAIAN231">'[27]3-DIV2'!$A$124:$J$243</definedName>
    <definedName name="URAIAN232">'[27]3-DIV2'!$A$244:$J$363</definedName>
    <definedName name="URAIAN233">'[27]3-DIV2'!$A$364:$J$483</definedName>
    <definedName name="Uraian234">'[27]3-DIV2'!$A$484:$J$603</definedName>
    <definedName name="Uraian235">'[27]3-DIV2'!$A$604:$J$854</definedName>
    <definedName name="Uraian236">'[27]3-DIV2'!$A$855:$J$973</definedName>
    <definedName name="URAIAN241">'[27]3-DIV2'!$A$974:$J$978</definedName>
    <definedName name="URAIAN242">'[27]3-DIV2'!$A$979:$J$1039</definedName>
    <definedName name="URAIAN243">'[27]3-DIV2'!$A$1040:$J$1101</definedName>
    <definedName name="Uraian311">"#ref!"</definedName>
    <definedName name="Uraian312">"#ref!"</definedName>
    <definedName name="Uraian313">"#ref!"</definedName>
    <definedName name="Uraian314">"#ref!"</definedName>
    <definedName name="Uraian315">"#ref!"</definedName>
    <definedName name="Uraian319">"#ref!"</definedName>
    <definedName name="Uraian322">"#ref!"</definedName>
    <definedName name="Uraian323">"#ref!"</definedName>
    <definedName name="URAIAN323L" localSheetId="1">#REF!</definedName>
    <definedName name="URAIAN323L">#REF!</definedName>
    <definedName name="Uraian324">"#ref!"</definedName>
    <definedName name="Uraian331">"#ref!"</definedName>
    <definedName name="Uraian346">"#ref!"</definedName>
    <definedName name="URAIAN421">'[28]3-DIV4'!$A$1:$J$179</definedName>
    <definedName name="URAIAN422">'[28]3-DIV4'!$A$180:$J$358</definedName>
    <definedName name="URAIAN423">'[28]3-DIV4'!$A$479:$J$717</definedName>
    <definedName name="URAIAN424">'[28]3-DIV4'!$A$359:$J$478</definedName>
    <definedName name="URAIAN425">'[28]3-DIV4'!$A$718:$J$896</definedName>
    <definedName name="URAIAN426">'[28]3-DIV4'!$A$897:$J$1016</definedName>
    <definedName name="URAIAN427">'[28]3-DIV4'!$A$1017:$J$1136</definedName>
    <definedName name="URAIAN511">"#ref!"</definedName>
    <definedName name="URAIAN512">"#ref!"</definedName>
    <definedName name="URAIAN521">"#ref!"</definedName>
    <definedName name="URAIAN522">"#ref!"</definedName>
    <definedName name="URAIAN541">"#ref!"</definedName>
    <definedName name="URAIAN542">"#ref!"</definedName>
    <definedName name="URAIAN611" localSheetId="1">#REF!</definedName>
    <definedName name="URAIAN611">#REF!</definedName>
    <definedName name="URAIAN612" localSheetId="1">#REF!</definedName>
    <definedName name="URAIAN612">#REF!</definedName>
    <definedName name="URAIAN621" localSheetId="1">#REF!</definedName>
    <definedName name="URAIAN621">#REF!</definedName>
    <definedName name="URAIAN622" localSheetId="1">#REF!</definedName>
    <definedName name="URAIAN622">#REF!</definedName>
    <definedName name="URAIAN623" localSheetId="1">#REF!</definedName>
    <definedName name="URAIAN623">#REF!</definedName>
    <definedName name="URAIAN631" localSheetId="1">#REF!</definedName>
    <definedName name="URAIAN631">#REF!</definedName>
    <definedName name="URAIAN632" localSheetId="1">#REF!</definedName>
    <definedName name="URAIAN632">#REF!</definedName>
    <definedName name="URAIAN633" localSheetId="1">#REF!</definedName>
    <definedName name="URAIAN633">#REF!</definedName>
    <definedName name="URAIAN634" localSheetId="1">#REF!</definedName>
    <definedName name="URAIAN634">#REF!</definedName>
    <definedName name="URAIAN635" localSheetId="1">#REF!</definedName>
    <definedName name="URAIAN635">#REF!</definedName>
    <definedName name="URAIAN635A" localSheetId="1">#REF!</definedName>
    <definedName name="URAIAN635A">#REF!</definedName>
    <definedName name="URAIAN636" localSheetId="1">#REF!</definedName>
    <definedName name="URAIAN636">#REF!</definedName>
    <definedName name="URAIAN641L" localSheetId="1">#REF!</definedName>
    <definedName name="URAIAN641L">#REF!</definedName>
    <definedName name="URAIAN642" localSheetId="1">#REF!</definedName>
    <definedName name="URAIAN642">#REF!</definedName>
    <definedName name="URAIAN65" localSheetId="1">#REF!</definedName>
    <definedName name="URAIAN65">#REF!</definedName>
    <definedName name="URAIAN66PERATA" localSheetId="1">#REF!</definedName>
    <definedName name="URAIAN66PERATA">#REF!</definedName>
    <definedName name="URAIAN66PERMUKAAN" localSheetId="1">#REF!</definedName>
    <definedName name="URAIAN66PERMUKAAN">#REF!</definedName>
    <definedName name="URAIAN7101" localSheetId="1">#REF!</definedName>
    <definedName name="URAIAN7101">#REF!</definedName>
    <definedName name="URAIAN7102" localSheetId="1">#REF!</definedName>
    <definedName name="URAIAN7102">#REF!</definedName>
    <definedName name="URAIAN7103" localSheetId="1">#REF!</definedName>
    <definedName name="URAIAN7103">#REF!</definedName>
    <definedName name="URAIAN711" localSheetId="1">#REF!</definedName>
    <definedName name="URAIAN711">#REF!</definedName>
    <definedName name="URAIAN712" localSheetId="1">#REF!</definedName>
    <definedName name="URAIAN712">#REF!</definedName>
    <definedName name="URAIAN713" localSheetId="1">#REF!</definedName>
    <definedName name="URAIAN713">#REF!</definedName>
    <definedName name="URAIAN714" localSheetId="1">#REF!</definedName>
    <definedName name="URAIAN714">#REF!</definedName>
    <definedName name="URAIAN715" localSheetId="1">#REF!</definedName>
    <definedName name="URAIAN715">#REF!</definedName>
    <definedName name="URAIAN716" localSheetId="1">#REF!</definedName>
    <definedName name="URAIAN716">#REF!</definedName>
    <definedName name="URAIAN717" localSheetId="1">#REF!</definedName>
    <definedName name="URAIAN717">#REF!</definedName>
    <definedName name="URAIAN718" localSheetId="1">#REF!</definedName>
    <definedName name="URAIAN718">#REF!</definedName>
    <definedName name="URAIAN721" localSheetId="1">#REF!</definedName>
    <definedName name="URAIAN721">#REF!</definedName>
    <definedName name="URAIAN731" localSheetId="1">#REF!</definedName>
    <definedName name="URAIAN731">#REF!</definedName>
    <definedName name="URAIAN732" localSheetId="1">#REF!</definedName>
    <definedName name="URAIAN732">#REF!</definedName>
    <definedName name="URAIAN733" localSheetId="1">#REF!</definedName>
    <definedName name="URAIAN733">#REF!</definedName>
    <definedName name="URAIAN734" localSheetId="1">#REF!</definedName>
    <definedName name="URAIAN734">#REF!</definedName>
    <definedName name="URAIAN735" localSheetId="1">#REF!</definedName>
    <definedName name="URAIAN735">#REF!</definedName>
    <definedName name="URAIAN744" localSheetId="1">#REF!</definedName>
    <definedName name="URAIAN744">#REF!</definedName>
    <definedName name="URAIAN745" localSheetId="1">#REF!</definedName>
    <definedName name="URAIAN745">#REF!</definedName>
    <definedName name="URAIAN7610" localSheetId="1">#REF!</definedName>
    <definedName name="URAIAN7610">#REF!</definedName>
    <definedName name="URAIAN7612a" localSheetId="1">#REF!</definedName>
    <definedName name="URAIAN7612a">#REF!</definedName>
    <definedName name="URAIAN7612b" localSheetId="1">#REF!</definedName>
    <definedName name="URAIAN7612b">#REF!</definedName>
    <definedName name="URAIAN7612c" localSheetId="1">#REF!</definedName>
    <definedName name="URAIAN7612c">#REF!</definedName>
    <definedName name="URAIAN7613a" localSheetId="1">#REF!</definedName>
    <definedName name="URAIAN7613a">#REF!</definedName>
    <definedName name="URAIAN7613b" localSheetId="1">#REF!</definedName>
    <definedName name="URAIAN7613b">#REF!</definedName>
    <definedName name="URAIAN7613c" localSheetId="1">#REF!</definedName>
    <definedName name="URAIAN7613c">#REF!</definedName>
    <definedName name="URAIAN7614a" localSheetId="1">#REF!</definedName>
    <definedName name="URAIAN7614a">#REF!</definedName>
    <definedName name="URAIAN7614b" localSheetId="1">#REF!</definedName>
    <definedName name="URAIAN7614b">#REF!</definedName>
    <definedName name="URAIAN7614d" localSheetId="1">#REF!</definedName>
    <definedName name="URAIAN7614d">#REF!</definedName>
    <definedName name="URAIAN7614e" localSheetId="1">#REF!</definedName>
    <definedName name="URAIAN7614e">#REF!</definedName>
    <definedName name="URAIAN7618" localSheetId="1">#REF!</definedName>
    <definedName name="URAIAN7618">#REF!</definedName>
    <definedName name="URAIAN7619" localSheetId="1">#REF!</definedName>
    <definedName name="URAIAN7619">#REF!</definedName>
    <definedName name="URAIAN768" localSheetId="1">#REF!</definedName>
    <definedName name="URAIAN768">#REF!</definedName>
    <definedName name="URAIAN769" localSheetId="1">#REF!</definedName>
    <definedName name="URAIAN769">#REF!</definedName>
    <definedName name="URAIAN76x" localSheetId="1">#REF!</definedName>
    <definedName name="URAIAN76x">#REF!</definedName>
    <definedName name="URAIAN771a" localSheetId="1">#REF!</definedName>
    <definedName name="URAIAN771a">#REF!</definedName>
    <definedName name="URAIAN771b" localSheetId="1">#REF!</definedName>
    <definedName name="URAIAN771b">#REF!</definedName>
    <definedName name="URAIAN771c" localSheetId="1">#REF!</definedName>
    <definedName name="URAIAN771c">#REF!</definedName>
    <definedName name="URAIAN771d" localSheetId="1">#REF!</definedName>
    <definedName name="URAIAN771d">#REF!</definedName>
    <definedName name="URAIAN772a" localSheetId="1">#REF!</definedName>
    <definedName name="URAIAN772a">#REF!</definedName>
    <definedName name="URAIAN772b" localSheetId="1">#REF!</definedName>
    <definedName name="URAIAN772b">#REF!</definedName>
    <definedName name="URAIAN772c" localSheetId="1">#REF!</definedName>
    <definedName name="URAIAN772c">#REF!</definedName>
    <definedName name="URAIAN772d" localSheetId="1">#REF!</definedName>
    <definedName name="URAIAN772d">#REF!</definedName>
    <definedName name="URAIAN79manual" localSheetId="1">#REF!</definedName>
    <definedName name="URAIAN79manual">#REF!</definedName>
    <definedName name="URAIAN79mekanis" localSheetId="1">#REF!</definedName>
    <definedName name="URAIAN79mekanis">#REF!</definedName>
    <definedName name="URAIAN811" localSheetId="1">#REF!</definedName>
    <definedName name="URAIAN811">#REF!</definedName>
    <definedName name="URAIAN812" localSheetId="1">#REF!</definedName>
    <definedName name="URAIAN812">#REF!</definedName>
    <definedName name="URAIAN813" localSheetId="1">#REF!</definedName>
    <definedName name="URAIAN813">#REF!</definedName>
    <definedName name="URAIAN814" localSheetId="1">#REF!</definedName>
    <definedName name="URAIAN814">#REF!</definedName>
    <definedName name="URAIAN815" localSheetId="1">#REF!</definedName>
    <definedName name="URAIAN815">#REF!</definedName>
    <definedName name="URAIAN817" localSheetId="1">#REF!</definedName>
    <definedName name="URAIAN817">#REF!</definedName>
    <definedName name="URAIAN818" localSheetId="1">#REF!</definedName>
    <definedName name="URAIAN818">#REF!</definedName>
    <definedName name="URAIAN819" localSheetId="1">#REF!</definedName>
    <definedName name="URAIAN819">#REF!</definedName>
    <definedName name="URAIAN82" localSheetId="1">#REF!</definedName>
    <definedName name="URAIAN82">#REF!</definedName>
    <definedName name="Uraian841" localSheetId="1">#REF!</definedName>
    <definedName name="Uraian841">#REF!</definedName>
    <definedName name="Uraian8410" localSheetId="1">#REF!</definedName>
    <definedName name="Uraian8410">#REF!</definedName>
    <definedName name="Uraian842" localSheetId="1">#REF!</definedName>
    <definedName name="Uraian842">#REF!</definedName>
    <definedName name="Uraian844" localSheetId="1">#REF!</definedName>
    <definedName name="Uraian844">#REF!</definedName>
    <definedName name="Uraian845" localSheetId="1">#REF!</definedName>
    <definedName name="Uraian845">#REF!</definedName>
    <definedName name="Uraian846" localSheetId="1">#REF!</definedName>
    <definedName name="Uraian846">#REF!</definedName>
    <definedName name="Uraian847" localSheetId="1">#REF!</definedName>
    <definedName name="Uraian847">#REF!</definedName>
    <definedName name="URAIANGEOTEKSTIL" localSheetId="1">#REF!</definedName>
    <definedName name="URAIANGEOTEKSTIL">#REF!</definedName>
    <definedName name="URINOIR_KERAMIK">'[16]Hrg Bahan'!$N$180</definedName>
    <definedName name="URINOIR_TRASO">'[16]Hrg Bahan'!$N$181</definedName>
    <definedName name="URUGAN_TANAH" localSheetId="1">[16]Analisa!#REF!</definedName>
    <definedName name="URUGAN_TANAH">[16]Analisa!#REF!</definedName>
    <definedName name="UTAIAN7614c" localSheetId="3">#REF!</definedName>
    <definedName name="UTAIAN7614c" localSheetId="1">#REF!</definedName>
    <definedName name="UTAIAN7614c" localSheetId="6">#REF!</definedName>
    <definedName name="UTAIAN7614c" localSheetId="2">#REF!</definedName>
    <definedName name="UTAIAN7614c" localSheetId="7">#REF!</definedName>
    <definedName name="UTAIAN7614c">#REF!</definedName>
    <definedName name="v" localSheetId="3">[14]RAB!#REF!</definedName>
    <definedName name="v" localSheetId="1">[14]RAB!#REF!</definedName>
    <definedName name="v">[14]RAB!#REF!</definedName>
    <definedName name="VEER_BAJA">'[16]Hrg Bahan'!$N$108</definedName>
    <definedName name="VERNIS" localSheetId="1">'[16]Hrg Bahan'!#REF!</definedName>
    <definedName name="VERNIS">'[16]Hrg Bahan'!#REF!</definedName>
    <definedName name="vi" localSheetId="1">[41]RAB!#REF!</definedName>
    <definedName name="vi">[41]RAB!#REF!</definedName>
    <definedName name="VIBROROLLER" localSheetId="3">#REF!</definedName>
    <definedName name="VIBROROLLER" localSheetId="1">#REF!</definedName>
    <definedName name="VIBROROLLER" localSheetId="6">#REF!</definedName>
    <definedName name="VIBROROLLER" localSheetId="2">#REF!</definedName>
    <definedName name="VIBROROLLER" localSheetId="7">#REF!</definedName>
    <definedName name="VIBROROLLER">#REF!</definedName>
    <definedName name="VITTING" localSheetId="3">'[16]Hrg Bahan'!#REF!</definedName>
    <definedName name="VITTING" localSheetId="1">'[16]Hrg Bahan'!#REF!</definedName>
    <definedName name="VITTING">'[16]Hrg Bahan'!#REF!</definedName>
    <definedName name="voeg" localSheetId="3">#REF!</definedName>
    <definedName name="voeg" localSheetId="1">#REF!</definedName>
    <definedName name="voeg" localSheetId="6">#REF!</definedName>
    <definedName name="voeg" localSheetId="2">#REF!</definedName>
    <definedName name="voeg" localSheetId="7">#REF!</definedName>
    <definedName name="voeg">#REF!</definedName>
    <definedName name="WALL_PAPER" localSheetId="3">'[16]Hrg Bahan'!#REF!</definedName>
    <definedName name="WALL_PAPER" localSheetId="1">'[16]Hrg Bahan'!#REF!</definedName>
    <definedName name="WALL_PAPER">'[16]Hrg Bahan'!#REF!</definedName>
    <definedName name="WARNA_20.20" localSheetId="3">[16]Analisa!#REF!</definedName>
    <definedName name="WARNA_20.20" localSheetId="1">[16]Analisa!#REF!</definedName>
    <definedName name="WARNA_20.20">[16]Analisa!#REF!</definedName>
    <definedName name="WASHTAFEL_KIA" localSheetId="3">'[16]Hrg Bahan'!#REF!</definedName>
    <definedName name="WASHTAFEL_KIA" localSheetId="1">'[16]Hrg Bahan'!#REF!</definedName>
    <definedName name="WASHTAFEL_KIA">'[16]Hrg Bahan'!#REF!</definedName>
    <definedName name="WASHTAFEL_SET" localSheetId="3">'[16]Hrg Bahan'!#REF!</definedName>
    <definedName name="WASHTAFEL_SET" localSheetId="1">'[16]Hrg Bahan'!#REF!</definedName>
    <definedName name="WASHTAFEL_SET">'[16]Hrg Bahan'!#REF!</definedName>
    <definedName name="WASHTAFEL_TOTO" localSheetId="3">'[16]Hrg Bahan'!#REF!</definedName>
    <definedName name="WASHTAFEL_TOTO" localSheetId="1">'[16]Hrg Bahan'!#REF!</definedName>
    <definedName name="WASHTAFEL_TOTO">'[16]Hrg Bahan'!#REF!</definedName>
    <definedName name="WATER_METER" localSheetId="1">'[16]Hrg Bahan'!#REF!</definedName>
    <definedName name="WATER_METER">'[16]Hrg Bahan'!#REF!</definedName>
    <definedName name="WATERPUMP" localSheetId="3">#REF!</definedName>
    <definedName name="WATERPUMP" localSheetId="1">#REF!</definedName>
    <definedName name="WATERPUMP" localSheetId="6">#REF!</definedName>
    <definedName name="WATERPUMP" localSheetId="2">#REF!</definedName>
    <definedName name="WATERPUMP" localSheetId="7">#REF!</definedName>
    <definedName name="WATERPUMP">#REF!</definedName>
    <definedName name="WATERTANKER" localSheetId="3">#REF!</definedName>
    <definedName name="WATERTANKER" localSheetId="1">#REF!</definedName>
    <definedName name="WATERTANKER" localSheetId="6">#REF!</definedName>
    <definedName name="WATERTANKER" localSheetId="2">#REF!</definedName>
    <definedName name="WATERTANKER" localSheetId="7">#REF!</definedName>
    <definedName name="WATERTANKER">#REF!</definedName>
    <definedName name="WHEELLOADER" localSheetId="3">#REF!</definedName>
    <definedName name="WHEELLOADER" localSheetId="1">#REF!</definedName>
    <definedName name="WHEELLOADER" localSheetId="6">#REF!</definedName>
    <definedName name="WHEELLOADER" localSheetId="2">#REF!</definedName>
    <definedName name="WHEELLOADER" localSheetId="7">#REF!</definedName>
    <definedName name="WHEELLOADER">#REF!</definedName>
    <definedName name="wrn.Full._.Report.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6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9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2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localSheetId="7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W" localSheetId="1">[42]Sheet1!#REF!</definedName>
    <definedName name="WW">[42]Sheet1!#REF!</definedName>
    <definedName name="Z" localSheetId="3">#REF!</definedName>
    <definedName name="Z" localSheetId="1">#REF!</definedName>
    <definedName name="Z" localSheetId="6">#REF!</definedName>
    <definedName name="Z" localSheetId="2">#REF!</definedName>
    <definedName name="Z" localSheetId="7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97" i="32" l="1"/>
  <c r="CA101" i="36"/>
  <c r="BH101" i="36"/>
  <c r="AS120" i="34"/>
  <c r="AG120" i="34"/>
  <c r="T82" i="32"/>
  <c r="AS103" i="34"/>
  <c r="AG103" i="34"/>
  <c r="BG73" i="34"/>
  <c r="AS73" i="34"/>
  <c r="BG63" i="34"/>
  <c r="AS63" i="34"/>
  <c r="T79" i="32"/>
  <c r="BG55" i="34"/>
  <c r="AS55" i="34"/>
  <c r="T78" i="32"/>
  <c r="BG47" i="34"/>
  <c r="AS47" i="34"/>
  <c r="T75" i="32"/>
  <c r="BG7" i="34"/>
  <c r="AS7" i="34"/>
  <c r="I91" i="32"/>
  <c r="BK85" i="18"/>
  <c r="T62" i="32"/>
  <c r="T69" i="32"/>
  <c r="AS91" i="20"/>
  <c r="AH107" i="20"/>
  <c r="AS107" i="20"/>
  <c r="I71" i="32"/>
  <c r="AS66" i="20"/>
  <c r="T68" i="32"/>
  <c r="AS39" i="20"/>
  <c r="AG39" i="20"/>
  <c r="BK220" i="18"/>
  <c r="AS227" i="38"/>
  <c r="T22" i="32"/>
  <c r="AS199" i="38"/>
  <c r="AG199" i="38"/>
  <c r="T21" i="32"/>
  <c r="AS185" i="38"/>
  <c r="AG185" i="38"/>
  <c r="T19" i="32"/>
  <c r="AS160" i="38"/>
  <c r="AG160" i="38"/>
  <c r="T18" i="32"/>
  <c r="AS149" i="38"/>
  <c r="AR149" i="38"/>
  <c r="AQ149" i="38"/>
  <c r="AP149" i="38"/>
  <c r="AO149" i="38"/>
  <c r="AN149" i="38"/>
  <c r="AM149" i="38"/>
  <c r="AL149" i="38"/>
  <c r="AK149" i="38"/>
  <c r="AJ149" i="38"/>
  <c r="AI149" i="38"/>
  <c r="AH149" i="38"/>
  <c r="AG149" i="38"/>
  <c r="T17" i="32"/>
  <c r="AS138" i="38"/>
  <c r="AG138" i="38"/>
  <c r="AS127" i="38"/>
  <c r="AH127" i="38"/>
  <c r="AG127" i="38"/>
  <c r="T15" i="32"/>
  <c r="BG117" i="38"/>
  <c r="AS117" i="38"/>
  <c r="AH117" i="38"/>
  <c r="AG117" i="38"/>
  <c r="T14" i="32"/>
  <c r="BG107" i="38"/>
  <c r="AS107" i="38"/>
  <c r="AG107" i="38"/>
  <c r="BG74" i="38"/>
  <c r="AS74" i="38"/>
  <c r="AG74" i="38"/>
  <c r="AS63" i="38"/>
  <c r="AG63" i="38"/>
  <c r="T9" i="32"/>
  <c r="AS52" i="38"/>
  <c r="AG52" i="38"/>
  <c r="BG41" i="38"/>
  <c r="AG41" i="38"/>
  <c r="AS41" i="38"/>
  <c r="BI41" i="38"/>
  <c r="T8" i="32"/>
  <c r="T7" i="32"/>
  <c r="AS31" i="38"/>
  <c r="AG31" i="38"/>
  <c r="AG29" i="38"/>
  <c r="T6" i="32"/>
  <c r="AS21" i="38"/>
  <c r="AG21" i="38"/>
  <c r="T5" i="32"/>
  <c r="AS10" i="38"/>
  <c r="AG10" i="38"/>
  <c r="AG7" i="38" l="1"/>
  <c r="AG18" i="38"/>
  <c r="AG39" i="38"/>
  <c r="AG49" i="38"/>
  <c r="BK263" i="18"/>
  <c r="BK124" i="18"/>
  <c r="CA85" i="18"/>
  <c r="T52" i="32"/>
  <c r="BH25" i="36"/>
  <c r="CC13" i="36"/>
  <c r="CC25" i="36"/>
  <c r="CC80" i="36"/>
  <c r="CC160" i="36"/>
  <c r="T100" i="32"/>
  <c r="BI66" i="20"/>
  <c r="BI91" i="20"/>
  <c r="CA263" i="18"/>
  <c r="BI38" i="34"/>
  <c r="T77" i="32"/>
  <c r="BI117" i="34"/>
  <c r="BH134" i="34"/>
  <c r="BI176" i="34"/>
  <c r="BI177" i="34"/>
  <c r="T88" i="32"/>
  <c r="CC197" i="36"/>
  <c r="BG106" i="20"/>
  <c r="BI106" i="20"/>
  <c r="CA39" i="18"/>
  <c r="BI80" i="20"/>
  <c r="CA259" i="18"/>
  <c r="BX258" i="18"/>
  <c r="BY258" i="18" s="1"/>
  <c r="G108" i="32"/>
  <c r="AE9" i="40"/>
  <c r="AC9" i="40"/>
  <c r="U9" i="40"/>
  <c r="S9" i="40"/>
  <c r="AE8" i="40"/>
  <c r="AA8" i="40"/>
  <c r="X8" i="40"/>
  <c r="D107" i="32"/>
  <c r="E107" i="32"/>
  <c r="F107" i="32"/>
  <c r="G107" i="32"/>
  <c r="K107" i="32"/>
  <c r="N107" i="32"/>
  <c r="O107" i="32"/>
  <c r="P107" i="32"/>
  <c r="C107" i="32"/>
  <c r="D106" i="32"/>
  <c r="E106" i="32"/>
  <c r="F106" i="32"/>
  <c r="G106" i="32"/>
  <c r="H106" i="32"/>
  <c r="I106" i="32"/>
  <c r="J106" i="32"/>
  <c r="K106" i="32"/>
  <c r="L106" i="32"/>
  <c r="M106" i="32"/>
  <c r="N106" i="32"/>
  <c r="O106" i="32"/>
  <c r="P106" i="32"/>
  <c r="Q106" i="32"/>
  <c r="R106" i="32"/>
  <c r="S106" i="32"/>
  <c r="T106" i="32"/>
  <c r="D103" i="32"/>
  <c r="E103" i="32"/>
  <c r="F103" i="32"/>
  <c r="G103" i="32"/>
  <c r="I103" i="32"/>
  <c r="K103" i="32"/>
  <c r="M103" i="32"/>
  <c r="N103" i="32"/>
  <c r="O103" i="32"/>
  <c r="P103" i="32"/>
  <c r="Q103" i="32"/>
  <c r="D91" i="32"/>
  <c r="E91" i="32"/>
  <c r="F91" i="32"/>
  <c r="G91" i="32"/>
  <c r="H91" i="32"/>
  <c r="K91" i="32"/>
  <c r="M91" i="32"/>
  <c r="N91" i="32"/>
  <c r="O91" i="32"/>
  <c r="P91" i="32"/>
  <c r="Q91" i="32"/>
  <c r="D73" i="32"/>
  <c r="E73" i="32"/>
  <c r="F73" i="32"/>
  <c r="G73" i="32"/>
  <c r="H73" i="32"/>
  <c r="J73" i="32"/>
  <c r="K73" i="32"/>
  <c r="M73" i="32"/>
  <c r="N73" i="32"/>
  <c r="O73" i="32"/>
  <c r="P73" i="32"/>
  <c r="Q73" i="32"/>
  <c r="D64" i="32"/>
  <c r="E64" i="32"/>
  <c r="F64" i="32"/>
  <c r="G64" i="32"/>
  <c r="J64" i="32"/>
  <c r="K64" i="32"/>
  <c r="N64" i="32"/>
  <c r="O64" i="32"/>
  <c r="P64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D28" i="32"/>
  <c r="E28" i="32"/>
  <c r="F28" i="32"/>
  <c r="G28" i="32"/>
  <c r="I28" i="32"/>
  <c r="J28" i="32"/>
  <c r="K28" i="32"/>
  <c r="N28" i="32"/>
  <c r="O28" i="32"/>
  <c r="P28" i="32"/>
  <c r="T80" i="32"/>
  <c r="T61" i="32"/>
  <c r="AI9" i="40" l="1"/>
  <c r="BG217" i="38" l="1"/>
  <c r="BH216" i="38"/>
  <c r="BH217" i="38" s="1"/>
  <c r="BG216" i="38"/>
  <c r="T26" i="32"/>
  <c r="R24" i="32"/>
  <c r="BX39" i="18"/>
  <c r="BI132" i="34"/>
  <c r="BI129" i="34"/>
  <c r="BI128" i="34"/>
  <c r="BF136" i="34"/>
  <c r="BI130" i="34"/>
  <c r="BI131" i="34" s="1"/>
  <c r="BI127" i="34"/>
  <c r="BI63" i="34"/>
  <c r="BI62" i="34"/>
  <c r="BG62" i="34"/>
  <c r="BG64" i="34"/>
  <c r="BK68" i="34"/>
  <c r="AT62" i="34"/>
  <c r="AU62" i="34"/>
  <c r="AX62" i="34"/>
  <c r="AW62" i="34"/>
  <c r="AV62" i="34"/>
  <c r="BI125" i="38"/>
  <c r="BI126" i="38"/>
  <c r="BI124" i="38"/>
  <c r="BI216" i="38" l="1"/>
  <c r="BI217" i="38" s="1"/>
  <c r="BI133" i="34"/>
  <c r="BI134" i="34" s="1"/>
  <c r="BI135" i="34" s="1"/>
  <c r="T16" i="40" l="1"/>
  <c r="R16" i="40"/>
  <c r="P16" i="40"/>
  <c r="O16" i="40"/>
  <c r="V16" i="40" s="1"/>
  <c r="X134" i="34"/>
  <c r="AX134" i="34" l="1"/>
  <c r="AX135" i="34"/>
  <c r="AK136" i="34"/>
  <c r="AJ136" i="34"/>
  <c r="X135" i="34"/>
  <c r="CN134" i="34"/>
  <c r="BE134" i="34"/>
  <c r="AY134" i="34"/>
  <c r="AU134" i="34"/>
  <c r="AR134" i="34"/>
  <c r="AQ134" i="34"/>
  <c r="BD134" i="34" s="1"/>
  <c r="AP134" i="34"/>
  <c r="BC134" i="34" s="1"/>
  <c r="AO134" i="34"/>
  <c r="BB134" i="34" s="1"/>
  <c r="AN134" i="34"/>
  <c r="BW134" i="34" s="1"/>
  <c r="CA134" i="34" s="1"/>
  <c r="AM134" i="34"/>
  <c r="AZ134" i="34" s="1"/>
  <c r="AL134" i="34"/>
  <c r="AK134" i="34"/>
  <c r="AI134" i="34"/>
  <c r="AH134" i="34"/>
  <c r="AG134" i="34"/>
  <c r="AT134" i="34" s="1"/>
  <c r="AF134" i="34"/>
  <c r="AJ134" i="34"/>
  <c r="Q134" i="34"/>
  <c r="BJ134" i="34" s="1"/>
  <c r="CN133" i="34"/>
  <c r="BH133" i="34"/>
  <c r="BE133" i="34"/>
  <c r="AR133" i="34"/>
  <c r="AQ133" i="34"/>
  <c r="BD133" i="34" s="1"/>
  <c r="AP133" i="34"/>
  <c r="BC133" i="34" s="1"/>
  <c r="AO133" i="34"/>
  <c r="BB133" i="34" s="1"/>
  <c r="AN133" i="34"/>
  <c r="BW133" i="34" s="1"/>
  <c r="CA133" i="34" s="1"/>
  <c r="AM133" i="34"/>
  <c r="AZ133" i="34" s="1"/>
  <c r="AL133" i="34"/>
  <c r="AY133" i="34" s="1"/>
  <c r="AK133" i="34"/>
  <c r="AX133" i="34" s="1"/>
  <c r="AI133" i="34"/>
  <c r="AH133" i="34"/>
  <c r="AU133" i="34" s="1"/>
  <c r="AG133" i="34"/>
  <c r="W133" i="34"/>
  <c r="AJ133" i="34" s="1"/>
  <c r="Q133" i="34"/>
  <c r="BJ133" i="34" s="1"/>
  <c r="AS133" i="34" l="1"/>
  <c r="AT133" i="34"/>
  <c r="BA134" i="34"/>
  <c r="BF134" i="34" s="1"/>
  <c r="AS134" i="34"/>
  <c r="BA133" i="34"/>
  <c r="BF133" i="34" s="1"/>
  <c r="AF133" i="34"/>
  <c r="BG133" i="34" s="1"/>
  <c r="BH228" i="38" l="1"/>
  <c r="BC220" i="38"/>
  <c r="BI224" i="38"/>
  <c r="AR220" i="18" l="1"/>
  <c r="DR218" i="18"/>
  <c r="BZ218" i="18"/>
  <c r="BD218" i="18"/>
  <c r="BW218" i="18" s="1"/>
  <c r="BC218" i="18"/>
  <c r="BB218" i="18"/>
  <c r="CC218" i="18" s="1"/>
  <c r="BA218" i="18"/>
  <c r="AZ218" i="18"/>
  <c r="CO218" i="18" s="1"/>
  <c r="CY218" i="18" s="1"/>
  <c r="AY218" i="18"/>
  <c r="AX218" i="18"/>
  <c r="AW218" i="18"/>
  <c r="BP218" i="18" s="1"/>
  <c r="AV218" i="18"/>
  <c r="BO218" i="18" s="1"/>
  <c r="AU218" i="18"/>
  <c r="AS218" i="18"/>
  <c r="W218" i="18"/>
  <c r="AR218" i="18" s="1"/>
  <c r="CN132" i="34"/>
  <c r="BH132" i="34"/>
  <c r="AR132" i="34"/>
  <c r="BE132" i="34" s="1"/>
  <c r="AQ132" i="34"/>
  <c r="BD132" i="34" s="1"/>
  <c r="AP132" i="34"/>
  <c r="BC132" i="34" s="1"/>
  <c r="AO132" i="34"/>
  <c r="BB132" i="34" s="1"/>
  <c r="AN132" i="34"/>
  <c r="BW132" i="34" s="1"/>
  <c r="CA132" i="34" s="1"/>
  <c r="AM132" i="34"/>
  <c r="AZ132" i="34" s="1"/>
  <c r="AL132" i="34"/>
  <c r="AY132" i="34" s="1"/>
  <c r="AK132" i="34"/>
  <c r="AX132" i="34" s="1"/>
  <c r="AJ132" i="34"/>
  <c r="AW132" i="34" s="1"/>
  <c r="AI132" i="34"/>
  <c r="AH132" i="34"/>
  <c r="AU132" i="34" s="1"/>
  <c r="AG132" i="34"/>
  <c r="W132" i="34"/>
  <c r="Q132" i="34"/>
  <c r="AF132" i="34" s="1"/>
  <c r="AJ135" i="34"/>
  <c r="W131" i="34"/>
  <c r="CN135" i="34"/>
  <c r="BH135" i="34"/>
  <c r="BC135" i="34"/>
  <c r="AR135" i="34"/>
  <c r="BE135" i="34" s="1"/>
  <c r="AQ135" i="34"/>
  <c r="BD135" i="34" s="1"/>
  <c r="AP135" i="34"/>
  <c r="AO135" i="34"/>
  <c r="BB135" i="34" s="1"/>
  <c r="AN135" i="34"/>
  <c r="BW135" i="34" s="1"/>
  <c r="CA135" i="34" s="1"/>
  <c r="AM135" i="34"/>
  <c r="AZ135" i="34" s="1"/>
  <c r="AL135" i="34"/>
  <c r="AY135" i="34" s="1"/>
  <c r="AK135" i="34"/>
  <c r="AI135" i="34"/>
  <c r="AH135" i="34"/>
  <c r="AU135" i="34" s="1"/>
  <c r="AG135" i="34"/>
  <c r="AT135" i="34" s="1"/>
  <c r="Q135" i="34"/>
  <c r="AF135" i="34" s="1"/>
  <c r="CN131" i="34"/>
  <c r="BH131" i="34"/>
  <c r="AR131" i="34"/>
  <c r="BE131" i="34" s="1"/>
  <c r="AQ131" i="34"/>
  <c r="BD131" i="34" s="1"/>
  <c r="AP131" i="34"/>
  <c r="BC131" i="34" s="1"/>
  <c r="AO131" i="34"/>
  <c r="BB131" i="34" s="1"/>
  <c r="AN131" i="34"/>
  <c r="BW131" i="34" s="1"/>
  <c r="CA131" i="34" s="1"/>
  <c r="AM131" i="34"/>
  <c r="AZ131" i="34" s="1"/>
  <c r="AL131" i="34"/>
  <c r="AY131" i="34" s="1"/>
  <c r="AK131" i="34"/>
  <c r="AX131" i="34" s="1"/>
  <c r="AJ131" i="34"/>
  <c r="AI131" i="34"/>
  <c r="AV131" i="34" s="1"/>
  <c r="AH131" i="34"/>
  <c r="AG131" i="34"/>
  <c r="AT131" i="34" s="1"/>
  <c r="Q131" i="34"/>
  <c r="BJ131" i="34" s="1"/>
  <c r="CA41" i="18"/>
  <c r="W42" i="18"/>
  <c r="BF229" i="38"/>
  <c r="AZ230" i="38"/>
  <c r="BA230" i="38"/>
  <c r="BB230" i="38"/>
  <c r="BC230" i="38"/>
  <c r="AU230" i="38"/>
  <c r="AV230" i="38"/>
  <c r="AW230" i="38"/>
  <c r="AX230" i="38"/>
  <c r="AY230" i="38"/>
  <c r="AT230" i="38"/>
  <c r="BF228" i="38"/>
  <c r="BF227" i="38"/>
  <c r="BF224" i="38"/>
  <c r="AY226" i="38"/>
  <c r="BG225" i="38"/>
  <c r="BG224" i="38"/>
  <c r="BF225" i="38"/>
  <c r="BF226" i="38"/>
  <c r="AX226" i="38"/>
  <c r="AY225" i="38"/>
  <c r="AU225" i="38"/>
  <c r="AU226" i="38"/>
  <c r="BI226" i="38"/>
  <c r="BB226" i="38"/>
  <c r="AO226" i="38"/>
  <c r="BC229" i="38"/>
  <c r="BA229" i="38"/>
  <c r="AZ229" i="38"/>
  <c r="AZ225" i="38"/>
  <c r="AP227" i="38"/>
  <c r="AN227" i="38"/>
  <c r="AM227" i="38"/>
  <c r="CB218" i="18" l="1"/>
  <c r="AS132" i="34"/>
  <c r="BG132" i="34" s="1"/>
  <c r="BA132" i="34"/>
  <c r="BK218" i="18"/>
  <c r="BY218" i="18" s="1"/>
  <c r="BS218" i="18"/>
  <c r="BX218" i="18" s="1"/>
  <c r="BJ132" i="34"/>
  <c r="AT132" i="34"/>
  <c r="BF132" i="34" s="1"/>
  <c r="BA135" i="34"/>
  <c r="BF135" i="34" s="1"/>
  <c r="AF131" i="34"/>
  <c r="AS135" i="34"/>
  <c r="BJ135" i="34"/>
  <c r="AS131" i="34"/>
  <c r="BA131" i="34"/>
  <c r="AU131" i="34"/>
  <c r="BG228" i="38"/>
  <c r="BG226" i="38"/>
  <c r="BG227" i="38"/>
  <c r="BI228" i="38" s="1"/>
  <c r="BI225" i="38"/>
  <c r="BF131" i="34" l="1"/>
  <c r="BK131" i="34"/>
  <c r="BG131" i="34"/>
  <c r="BF248" i="38" l="1"/>
  <c r="BH246" i="38"/>
  <c r="BI244" i="38"/>
  <c r="BG244" i="38"/>
  <c r="BF247" i="38"/>
  <c r="AS244" i="38"/>
  <c r="BF245" i="38"/>
  <c r="BF243" i="38"/>
  <c r="BH245" i="38"/>
  <c r="AY247" i="38"/>
  <c r="AX247" i="38"/>
  <c r="AY243" i="38"/>
  <c r="AX243" i="38"/>
  <c r="AW243" i="38"/>
  <c r="AV243" i="38"/>
  <c r="AU243" i="38"/>
  <c r="AT243" i="38"/>
  <c r="AG243" i="38"/>
  <c r="AQ100" i="36"/>
  <c r="BI100" i="36" s="1"/>
  <c r="CN118" i="34" l="1"/>
  <c r="BH118" i="34"/>
  <c r="AR118" i="34"/>
  <c r="BE118" i="34" s="1"/>
  <c r="AQ118" i="34"/>
  <c r="BD118" i="34" s="1"/>
  <c r="AP118" i="34"/>
  <c r="BC118" i="34" s="1"/>
  <c r="AO118" i="34"/>
  <c r="BB118" i="34" s="1"/>
  <c r="AN118" i="34"/>
  <c r="BW118" i="34" s="1"/>
  <c r="CA118" i="34" s="1"/>
  <c r="AM118" i="34"/>
  <c r="AZ118" i="34" s="1"/>
  <c r="AL118" i="34"/>
  <c r="AY118" i="34" s="1"/>
  <c r="AK118" i="34"/>
  <c r="AX118" i="34" s="1"/>
  <c r="AJ118" i="34"/>
  <c r="AW118" i="34" s="1"/>
  <c r="AI118" i="34"/>
  <c r="AV118" i="34" s="1"/>
  <c r="AH118" i="34"/>
  <c r="AU118" i="34" s="1"/>
  <c r="AG118" i="34"/>
  <c r="AT118" i="34" s="1"/>
  <c r="Q118" i="34"/>
  <c r="BJ118" i="34" s="1"/>
  <c r="CN117" i="34"/>
  <c r="BH117" i="34"/>
  <c r="AR117" i="34"/>
  <c r="BE117" i="34" s="1"/>
  <c r="AQ117" i="34"/>
  <c r="BD117" i="34" s="1"/>
  <c r="AP117" i="34"/>
  <c r="BC117" i="34" s="1"/>
  <c r="AO117" i="34"/>
  <c r="BB117" i="34" s="1"/>
  <c r="AN117" i="34"/>
  <c r="BA117" i="34" s="1"/>
  <c r="AM117" i="34"/>
  <c r="AZ117" i="34" s="1"/>
  <c r="AL117" i="34"/>
  <c r="AY117" i="34" s="1"/>
  <c r="AK117" i="34"/>
  <c r="AX117" i="34" s="1"/>
  <c r="AJ117" i="34"/>
  <c r="AW117" i="34" s="1"/>
  <c r="AI117" i="34"/>
  <c r="AV117" i="34" s="1"/>
  <c r="AH117" i="34"/>
  <c r="AU117" i="34" s="1"/>
  <c r="AG117" i="34"/>
  <c r="AT117" i="34" s="1"/>
  <c r="Q117" i="34"/>
  <c r="AF117" i="34" s="1"/>
  <c r="BJ117" i="34" l="1"/>
  <c r="AF118" i="34"/>
  <c r="BW117" i="34"/>
  <c r="CA117" i="34" s="1"/>
  <c r="AS118" i="34"/>
  <c r="BA118" i="34"/>
  <c r="BF118" i="34" s="1"/>
  <c r="AS117" i="34"/>
  <c r="BG117" i="34" s="1"/>
  <c r="BF117" i="34"/>
  <c r="BG118" i="34" l="1"/>
  <c r="AU105" i="20"/>
  <c r="AH98" i="20"/>
  <c r="AU98" i="20" s="1"/>
  <c r="BJ74" i="38"/>
  <c r="CN72" i="38" l="1"/>
  <c r="BW72" i="38"/>
  <c r="CA72" i="38" s="1"/>
  <c r="BH72" i="38"/>
  <c r="BB72" i="38"/>
  <c r="BA72" i="38"/>
  <c r="AZ72" i="38"/>
  <c r="AY72" i="38"/>
  <c r="AX72" i="38"/>
  <c r="AR72" i="38"/>
  <c r="BE72" i="38" s="1"/>
  <c r="AQ72" i="38"/>
  <c r="BD72" i="38" s="1"/>
  <c r="AP72" i="38"/>
  <c r="BC72" i="38" s="1"/>
  <c r="AO72" i="38"/>
  <c r="AN72" i="38"/>
  <c r="AM72" i="38"/>
  <c r="AL72" i="38"/>
  <c r="AK72" i="38"/>
  <c r="AJ72" i="38"/>
  <c r="AW72" i="38" s="1"/>
  <c r="AI72" i="38"/>
  <c r="AV72" i="38" s="1"/>
  <c r="AH72" i="38"/>
  <c r="AU72" i="38" s="1"/>
  <c r="AG72" i="38"/>
  <c r="Q72" i="38"/>
  <c r="AF72" i="38" s="1"/>
  <c r="C9" i="40"/>
  <c r="V170" i="36"/>
  <c r="AP170" i="36" s="1"/>
  <c r="CA170" i="36" s="1"/>
  <c r="CB170" i="36"/>
  <c r="CC170" i="36" s="1"/>
  <c r="AA9" i="40"/>
  <c r="AB9" i="40"/>
  <c r="Q9" i="40"/>
  <c r="R9" i="40"/>
  <c r="BF72" i="38" l="1"/>
  <c r="BJ72" i="38"/>
  <c r="AS72" i="38"/>
  <c r="BG72" i="38" l="1"/>
  <c r="BI72" i="38"/>
  <c r="W9" i="40" l="1"/>
  <c r="Y9" i="40" l="1"/>
  <c r="P9" i="40" l="1"/>
  <c r="Z9" i="40"/>
  <c r="AG9" i="40" l="1"/>
  <c r="AH9" i="40" l="1"/>
  <c r="AA109" i="32" l="1"/>
  <c r="BB89" i="36"/>
  <c r="BT89" i="36" s="1"/>
  <c r="BB90" i="36"/>
  <c r="BT90" i="36" s="1"/>
  <c r="BB91" i="36"/>
  <c r="BB92" i="36"/>
  <c r="BA88" i="36"/>
  <c r="BS88" i="36" s="1"/>
  <c r="BB88" i="36"/>
  <c r="BT88" i="36" l="1"/>
  <c r="BT93" i="36" s="1"/>
  <c r="BB95" i="36"/>
  <c r="M9" i="40"/>
  <c r="AK9" i="40" s="1"/>
  <c r="G9" i="40" l="1"/>
  <c r="AO9" i="40" s="1"/>
  <c r="F9" i="40" l="1"/>
  <c r="AN9" i="40" s="1"/>
  <c r="AK47" i="20" l="1"/>
  <c r="U98" i="32" l="1"/>
  <c r="U96" i="32"/>
  <c r="U87" i="32"/>
  <c r="BH129" i="34"/>
  <c r="BH235" i="38"/>
  <c r="BH234" i="38"/>
  <c r="AJ9" i="40"/>
  <c r="AO225" i="38" l="1"/>
  <c r="BB225" i="38" s="1"/>
  <c r="AP225" i="38"/>
  <c r="BC225" i="38" s="1"/>
  <c r="BL136" i="34"/>
  <c r="BL102" i="20"/>
  <c r="BL99" i="20"/>
  <c r="BL98" i="20"/>
  <c r="BL243" i="38"/>
  <c r="BL245" i="38" s="1"/>
  <c r="BL234" i="38"/>
  <c r="BL225" i="38"/>
  <c r="BL215" i="38"/>
  <c r="BM126" i="38"/>
  <c r="BL125" i="38"/>
  <c r="BL124" i="38"/>
  <c r="BL73" i="38"/>
  <c r="BL74" i="38" s="1"/>
  <c r="BL71" i="38"/>
  <c r="BL70" i="38"/>
  <c r="BL62" i="38"/>
  <c r="BL60" i="38"/>
  <c r="BL59" i="38"/>
  <c r="AI130" i="34"/>
  <c r="CN129" i="34"/>
  <c r="AR129" i="34"/>
  <c r="BE129" i="34" s="1"/>
  <c r="AQ129" i="34"/>
  <c r="BD129" i="34" s="1"/>
  <c r="AP129" i="34"/>
  <c r="BC129" i="34" s="1"/>
  <c r="AO129" i="34"/>
  <c r="BB129" i="34" s="1"/>
  <c r="AN129" i="34"/>
  <c r="BW129" i="34" s="1"/>
  <c r="CA129" i="34" s="1"/>
  <c r="AM129" i="34"/>
  <c r="AZ129" i="34" s="1"/>
  <c r="AL129" i="34"/>
  <c r="AY129" i="34" s="1"/>
  <c r="AK129" i="34"/>
  <c r="AX129" i="34" s="1"/>
  <c r="AJ129" i="34"/>
  <c r="AW129" i="34" s="1"/>
  <c r="AI129" i="34"/>
  <c r="AV129" i="34" s="1"/>
  <c r="AG129" i="34"/>
  <c r="AT129" i="34" s="1"/>
  <c r="U129" i="34"/>
  <c r="AH129" i="34" s="1"/>
  <c r="Q129" i="34"/>
  <c r="BJ129" i="34" s="1"/>
  <c r="BC137" i="36"/>
  <c r="BC136" i="36"/>
  <c r="BC138" i="36" s="1"/>
  <c r="BC100" i="36"/>
  <c r="BB93" i="36"/>
  <c r="BT95" i="36" s="1"/>
  <c r="X63" i="20"/>
  <c r="X62" i="20"/>
  <c r="CN61" i="20"/>
  <c r="BL61" i="20"/>
  <c r="BH61" i="20"/>
  <c r="AR61" i="20"/>
  <c r="BE61" i="20" s="1"/>
  <c r="AQ61" i="20"/>
  <c r="BD61" i="20" s="1"/>
  <c r="AP61" i="20"/>
  <c r="BC61" i="20" s="1"/>
  <c r="AO61" i="20"/>
  <c r="BB61" i="20" s="1"/>
  <c r="AN61" i="20"/>
  <c r="BW61" i="20" s="1"/>
  <c r="CA61" i="20" s="1"/>
  <c r="AM61" i="20"/>
  <c r="AL61" i="20"/>
  <c r="AK61" i="20"/>
  <c r="AI61" i="20"/>
  <c r="AH61" i="20"/>
  <c r="AU61" i="20" s="1"/>
  <c r="AG61" i="20"/>
  <c r="AT61" i="20" s="1"/>
  <c r="AF61" i="20"/>
  <c r="W61" i="20"/>
  <c r="AJ61" i="20" s="1"/>
  <c r="Q61" i="20"/>
  <c r="BJ61" i="20" s="1"/>
  <c r="CN60" i="20"/>
  <c r="BL60" i="20"/>
  <c r="BH60" i="20"/>
  <c r="AR60" i="20"/>
  <c r="BE60" i="20" s="1"/>
  <c r="AQ60" i="20"/>
  <c r="BD60" i="20" s="1"/>
  <c r="AP60" i="20"/>
  <c r="BC60" i="20" s="1"/>
  <c r="AO60" i="20"/>
  <c r="BB60" i="20" s="1"/>
  <c r="AN60" i="20"/>
  <c r="BW60" i="20" s="1"/>
  <c r="CA60" i="20" s="1"/>
  <c r="AM60" i="20"/>
  <c r="AL60" i="20"/>
  <c r="AK60" i="20"/>
  <c r="AI60" i="20"/>
  <c r="AH60" i="20"/>
  <c r="AU60" i="20" s="1"/>
  <c r="AG60" i="20"/>
  <c r="W60" i="20"/>
  <c r="AJ60" i="20" s="1"/>
  <c r="AW60" i="20" s="1"/>
  <c r="BK60" i="20" s="1"/>
  <c r="BM60" i="20" s="1"/>
  <c r="Q60" i="20"/>
  <c r="BJ60" i="20" s="1"/>
  <c r="BC101" i="36" l="1"/>
  <c r="BU103" i="36" s="1"/>
  <c r="BU100" i="36"/>
  <c r="BU101" i="36" s="1"/>
  <c r="AS60" i="20"/>
  <c r="AF60" i="20"/>
  <c r="BL127" i="38"/>
  <c r="BG60" i="20"/>
  <c r="AU129" i="34"/>
  <c r="BK129" i="34" s="1"/>
  <c r="AS129" i="34"/>
  <c r="BA129" i="34"/>
  <c r="BF129" i="34" s="1"/>
  <c r="AW61" i="20"/>
  <c r="BF61" i="20" s="1"/>
  <c r="AT60" i="20"/>
  <c r="BF60" i="20" s="1"/>
  <c r="AS61" i="20"/>
  <c r="BG61" i="20" s="1"/>
  <c r="BG129" i="34" l="1"/>
  <c r="BM129" i="34"/>
  <c r="BK61" i="20"/>
  <c r="BM61" i="20" s="1"/>
  <c r="BN61" i="20" s="1"/>
  <c r="AB266" i="18" l="1"/>
  <c r="AQ30" i="37"/>
  <c r="AB267" i="18" l="1"/>
  <c r="AB268" i="18" s="1"/>
  <c r="BA137" i="36"/>
  <c r="BB137" i="36"/>
  <c r="BB136" i="36"/>
  <c r="BB138" i="36" s="1"/>
  <c r="BA136" i="36"/>
  <c r="Q54" i="34" l="1"/>
  <c r="BL59" i="20"/>
  <c r="BL56" i="20" l="1"/>
  <c r="AW64" i="20"/>
  <c r="BK64" i="20" s="1"/>
  <c r="AJ62" i="20"/>
  <c r="W63" i="20"/>
  <c r="W59" i="20"/>
  <c r="CN62" i="20"/>
  <c r="BH62" i="20"/>
  <c r="AR62" i="20"/>
  <c r="BE62" i="20" s="1"/>
  <c r="AQ62" i="20"/>
  <c r="BD62" i="20" s="1"/>
  <c r="AP62" i="20"/>
  <c r="BC62" i="20" s="1"/>
  <c r="AO62" i="20"/>
  <c r="BB62" i="20" s="1"/>
  <c r="AN62" i="20"/>
  <c r="BW62" i="20" s="1"/>
  <c r="CA62" i="20" s="1"/>
  <c r="AM62" i="20"/>
  <c r="AL62" i="20"/>
  <c r="AK62" i="20"/>
  <c r="AI62" i="20"/>
  <c r="AH62" i="20"/>
  <c r="AU62" i="20" s="1"/>
  <c r="AG62" i="20"/>
  <c r="AT62" i="20" s="1"/>
  <c r="Q62" i="20"/>
  <c r="AF62" i="20" s="1"/>
  <c r="W56" i="20"/>
  <c r="AS62" i="20" l="1"/>
  <c r="BG62" i="20" s="1"/>
  <c r="AW62" i="20"/>
  <c r="BK62" i="20" s="1"/>
  <c r="BJ62" i="20"/>
  <c r="BF62" i="20" l="1"/>
  <c r="CF59" i="36"/>
  <c r="CH82" i="36"/>
  <c r="BB100" i="36"/>
  <c r="BB13" i="36"/>
  <c r="BB12" i="36"/>
  <c r="BU54" i="36"/>
  <c r="BC47" i="36"/>
  <c r="BD47" i="36"/>
  <c r="BE47" i="36"/>
  <c r="BF47" i="36"/>
  <c r="BG47" i="36"/>
  <c r="BC48" i="36"/>
  <c r="BD48" i="36"/>
  <c r="BE48" i="36"/>
  <c r="BF48" i="36"/>
  <c r="BG48" i="36"/>
  <c r="BC50" i="36"/>
  <c r="BD50" i="36"/>
  <c r="BE50" i="36"/>
  <c r="BF50" i="36"/>
  <c r="BG50" i="36"/>
  <c r="BC51" i="36"/>
  <c r="BD51" i="36"/>
  <c r="BE51" i="36"/>
  <c r="BF51" i="36"/>
  <c r="BG51" i="36"/>
  <c r="BC53" i="36"/>
  <c r="BD53" i="36"/>
  <c r="BV53" i="36" s="1"/>
  <c r="BE53" i="36"/>
  <c r="BW53" i="36" s="1"/>
  <c r="BF53" i="36"/>
  <c r="BX53" i="36" s="1"/>
  <c r="BG53" i="36"/>
  <c r="BY53" i="36" s="1"/>
  <c r="BC54" i="36"/>
  <c r="BD54" i="36"/>
  <c r="BV54" i="36" s="1"/>
  <c r="BE54" i="36"/>
  <c r="BW54" i="36" s="1"/>
  <c r="BF54" i="36"/>
  <c r="BX54" i="36" s="1"/>
  <c r="BG54" i="36"/>
  <c r="BY54" i="36" s="1"/>
  <c r="BC55" i="36"/>
  <c r="BU55" i="36" s="1"/>
  <c r="BD55" i="36"/>
  <c r="BV55" i="36" s="1"/>
  <c r="BE55" i="36"/>
  <c r="BW55" i="36" s="1"/>
  <c r="BF55" i="36"/>
  <c r="BX55" i="36" s="1"/>
  <c r="BG55" i="36"/>
  <c r="BY55" i="36" s="1"/>
  <c r="BC56" i="36"/>
  <c r="BU56" i="36" s="1"/>
  <c r="BD56" i="36"/>
  <c r="BV56" i="36" s="1"/>
  <c r="BE56" i="36"/>
  <c r="BW56" i="36" s="1"/>
  <c r="BF56" i="36"/>
  <c r="BX56" i="36" s="1"/>
  <c r="BG56" i="36"/>
  <c r="BY56" i="36" s="1"/>
  <c r="BC57" i="36"/>
  <c r="BU57" i="36" s="1"/>
  <c r="BD57" i="36"/>
  <c r="BV57" i="36" s="1"/>
  <c r="BE57" i="36"/>
  <c r="BW57" i="36" s="1"/>
  <c r="BF57" i="36"/>
  <c r="BX57" i="36" s="1"/>
  <c r="BG57" i="36"/>
  <c r="BY57" i="36" s="1"/>
  <c r="BC58" i="36"/>
  <c r="BU58" i="36" s="1"/>
  <c r="BD58" i="36"/>
  <c r="BV58" i="36" s="1"/>
  <c r="BE58" i="36"/>
  <c r="BW58" i="36" s="1"/>
  <c r="BF58" i="36"/>
  <c r="BX58" i="36" s="1"/>
  <c r="BG58" i="36"/>
  <c r="BY58" i="36" s="1"/>
  <c r="BC59" i="36"/>
  <c r="BU59" i="36" s="1"/>
  <c r="BD59" i="36"/>
  <c r="BV59" i="36" s="1"/>
  <c r="BE59" i="36"/>
  <c r="BW59" i="36" s="1"/>
  <c r="BF59" i="36"/>
  <c r="BX59" i="36" s="1"/>
  <c r="BG59" i="36"/>
  <c r="BY59" i="36" s="1"/>
  <c r="BC60" i="36"/>
  <c r="BD60" i="36"/>
  <c r="BE60" i="36"/>
  <c r="BF60" i="36"/>
  <c r="BG60" i="36"/>
  <c r="BC61" i="36"/>
  <c r="BU61" i="36" s="1"/>
  <c r="BD61" i="36"/>
  <c r="BV61" i="36" s="1"/>
  <c r="BE61" i="36"/>
  <c r="BW61" i="36" s="1"/>
  <c r="BF61" i="36"/>
  <c r="BX61" i="36" s="1"/>
  <c r="BG61" i="36"/>
  <c r="BY61" i="36" s="1"/>
  <c r="BC62" i="36"/>
  <c r="BU62" i="36" s="1"/>
  <c r="BD62" i="36"/>
  <c r="BV62" i="36" s="1"/>
  <c r="BE62" i="36"/>
  <c r="BW62" i="36" s="1"/>
  <c r="BF62" i="36"/>
  <c r="BX62" i="36" s="1"/>
  <c r="BG62" i="36"/>
  <c r="BY62" i="36" s="1"/>
  <c r="BC63" i="36"/>
  <c r="BU63" i="36" s="1"/>
  <c r="BD63" i="36"/>
  <c r="BV63" i="36" s="1"/>
  <c r="BE63" i="36"/>
  <c r="BW63" i="36" s="1"/>
  <c r="BF63" i="36"/>
  <c r="BX63" i="36" s="1"/>
  <c r="BG63" i="36"/>
  <c r="BY63" i="36" s="1"/>
  <c r="BC64" i="36"/>
  <c r="BU64" i="36" s="1"/>
  <c r="BD64" i="36"/>
  <c r="BV64" i="36" s="1"/>
  <c r="BE64" i="36"/>
  <c r="BW64" i="36" s="1"/>
  <c r="BF64" i="36"/>
  <c r="BX64" i="36" s="1"/>
  <c r="BG64" i="36"/>
  <c r="BY64" i="36" s="1"/>
  <c r="BC66" i="36"/>
  <c r="BU66" i="36" s="1"/>
  <c r="BD66" i="36"/>
  <c r="BV66" i="36" s="1"/>
  <c r="BE66" i="36"/>
  <c r="BW66" i="36" s="1"/>
  <c r="BF66" i="36"/>
  <c r="BX66" i="36" s="1"/>
  <c r="BG66" i="36"/>
  <c r="BY66" i="36" s="1"/>
  <c r="BC67" i="36"/>
  <c r="BU67" i="36" s="1"/>
  <c r="BD67" i="36"/>
  <c r="BV67" i="36" s="1"/>
  <c r="BE67" i="36"/>
  <c r="BW67" i="36" s="1"/>
  <c r="BF67" i="36"/>
  <c r="BX67" i="36" s="1"/>
  <c r="BG67" i="36"/>
  <c r="BY67" i="36" s="1"/>
  <c r="BC68" i="36"/>
  <c r="BU68" i="36" s="1"/>
  <c r="BD68" i="36"/>
  <c r="BV68" i="36" s="1"/>
  <c r="BE68" i="36"/>
  <c r="BW68" i="36" s="1"/>
  <c r="BF68" i="36"/>
  <c r="BX68" i="36" s="1"/>
  <c r="BG68" i="36"/>
  <c r="BY68" i="36" s="1"/>
  <c r="BC69" i="36"/>
  <c r="BU69" i="36" s="1"/>
  <c r="BD69" i="36"/>
  <c r="BV69" i="36" s="1"/>
  <c r="BE69" i="36"/>
  <c r="BW69" i="36" s="1"/>
  <c r="BF69" i="36"/>
  <c r="BX69" i="36" s="1"/>
  <c r="BG69" i="36"/>
  <c r="BY69" i="36" s="1"/>
  <c r="BC70" i="36"/>
  <c r="BU70" i="36" s="1"/>
  <c r="BD70" i="36"/>
  <c r="BV70" i="36" s="1"/>
  <c r="BE70" i="36"/>
  <c r="BW70" i="36" s="1"/>
  <c r="BF70" i="36"/>
  <c r="BX70" i="36" s="1"/>
  <c r="BG70" i="36"/>
  <c r="BY70" i="36" s="1"/>
  <c r="BC72" i="36"/>
  <c r="BU72" i="36" s="1"/>
  <c r="BD72" i="36"/>
  <c r="BV72" i="36" s="1"/>
  <c r="BE72" i="36"/>
  <c r="BW72" i="36" s="1"/>
  <c r="BF72" i="36"/>
  <c r="BX72" i="36" s="1"/>
  <c r="BG72" i="36"/>
  <c r="BY72" i="36" s="1"/>
  <c r="BC73" i="36"/>
  <c r="BU73" i="36" s="1"/>
  <c r="BD73" i="36"/>
  <c r="BV73" i="36" s="1"/>
  <c r="BE73" i="36"/>
  <c r="BW73" i="36" s="1"/>
  <c r="BF73" i="36"/>
  <c r="BX73" i="36" s="1"/>
  <c r="BG73" i="36"/>
  <c r="BY73" i="36" s="1"/>
  <c r="BC74" i="36"/>
  <c r="BU74" i="36" s="1"/>
  <c r="BD74" i="36"/>
  <c r="BV74" i="36" s="1"/>
  <c r="BE74" i="36"/>
  <c r="BW74" i="36" s="1"/>
  <c r="BF74" i="36"/>
  <c r="BX74" i="36" s="1"/>
  <c r="BG74" i="36"/>
  <c r="BY74" i="36" s="1"/>
  <c r="BC76" i="36"/>
  <c r="BU76" i="36" s="1"/>
  <c r="BD76" i="36"/>
  <c r="BV76" i="36" s="1"/>
  <c r="BE76" i="36"/>
  <c r="BW76" i="36" s="1"/>
  <c r="BF76" i="36"/>
  <c r="BX76" i="36" s="1"/>
  <c r="BG76" i="36"/>
  <c r="BY76" i="36" s="1"/>
  <c r="BC78" i="36"/>
  <c r="BD78" i="36"/>
  <c r="BE78" i="36"/>
  <c r="BF78" i="36"/>
  <c r="BG78" i="36"/>
  <c r="BC79" i="36"/>
  <c r="BD79" i="36"/>
  <c r="BE79" i="36"/>
  <c r="BF79" i="36"/>
  <c r="BG79" i="36"/>
  <c r="BB47" i="36"/>
  <c r="BB48" i="36"/>
  <c r="BB50" i="36"/>
  <c r="BB51" i="36"/>
  <c r="BB53" i="36"/>
  <c r="BT53" i="36" s="1"/>
  <c r="BB54" i="36"/>
  <c r="BT54" i="36" s="1"/>
  <c r="BB55" i="36"/>
  <c r="BT55" i="36" s="1"/>
  <c r="BB56" i="36"/>
  <c r="BT56" i="36" s="1"/>
  <c r="BB57" i="36"/>
  <c r="BT57" i="36" s="1"/>
  <c r="BB58" i="36"/>
  <c r="BT58" i="36" s="1"/>
  <c r="BB59" i="36"/>
  <c r="BT59" i="36" s="1"/>
  <c r="BB60" i="36"/>
  <c r="BB61" i="36"/>
  <c r="BT61" i="36" s="1"/>
  <c r="BB62" i="36"/>
  <c r="BT62" i="36" s="1"/>
  <c r="BB63" i="36"/>
  <c r="BT63" i="36" s="1"/>
  <c r="BB64" i="36"/>
  <c r="BT64" i="36" s="1"/>
  <c r="BB66" i="36"/>
  <c r="BT66" i="36" s="1"/>
  <c r="BB67" i="36"/>
  <c r="BT67" i="36" s="1"/>
  <c r="BB68" i="36"/>
  <c r="BT68" i="36" s="1"/>
  <c r="BB69" i="36"/>
  <c r="BT69" i="36" s="1"/>
  <c r="BB70" i="36"/>
  <c r="BT70" i="36" s="1"/>
  <c r="BB72" i="36"/>
  <c r="BT72" i="36" s="1"/>
  <c r="BB73" i="36"/>
  <c r="BT73" i="36" s="1"/>
  <c r="BB74" i="36"/>
  <c r="BT74" i="36" s="1"/>
  <c r="BB76" i="36"/>
  <c r="BT76" i="36" s="1"/>
  <c r="BB78" i="36"/>
  <c r="BB79" i="36"/>
  <c r="BL168" i="34"/>
  <c r="BL169" i="34" s="1"/>
  <c r="BB101" i="36" l="1"/>
  <c r="BT103" i="36" s="1"/>
  <c r="BT100" i="36"/>
  <c r="BT101" i="36" s="1"/>
  <c r="BC80" i="36"/>
  <c r="BV80" i="36"/>
  <c r="BY80" i="36"/>
  <c r="BG80" i="36"/>
  <c r="BX80" i="36"/>
  <c r="BB25" i="36"/>
  <c r="BF80" i="36"/>
  <c r="BW80" i="36"/>
  <c r="BD80" i="36"/>
  <c r="BU53" i="36"/>
  <c r="BU80" i="36" s="1"/>
  <c r="BE80" i="36"/>
  <c r="BT80" i="36"/>
  <c r="BB80" i="36"/>
  <c r="BL40" i="38"/>
  <c r="BL39" i="38"/>
  <c r="BL38" i="38"/>
  <c r="BL41" i="38" s="1"/>
  <c r="BD33" i="18"/>
  <c r="BD22" i="18"/>
  <c r="BC31" i="18"/>
  <c r="BC30" i="18"/>
  <c r="CN128" i="34"/>
  <c r="BH128" i="34"/>
  <c r="AR128" i="34"/>
  <c r="BE128" i="34" s="1"/>
  <c r="AQ128" i="34"/>
  <c r="BD128" i="34" s="1"/>
  <c r="AP128" i="34"/>
  <c r="BC128" i="34" s="1"/>
  <c r="AO128" i="34"/>
  <c r="BB128" i="34" s="1"/>
  <c r="AN128" i="34"/>
  <c r="BW128" i="34" s="1"/>
  <c r="CA128" i="34" s="1"/>
  <c r="AM128" i="34"/>
  <c r="AZ128" i="34" s="1"/>
  <c r="AL128" i="34"/>
  <c r="AY128" i="34" s="1"/>
  <c r="AK128" i="34"/>
  <c r="AX128" i="34" s="1"/>
  <c r="AJ128" i="34"/>
  <c r="AW128" i="34" s="1"/>
  <c r="AI128" i="34"/>
  <c r="AV128" i="34" s="1"/>
  <c r="AH128" i="34"/>
  <c r="AU128" i="34" s="1"/>
  <c r="AG128" i="34"/>
  <c r="Q128" i="34"/>
  <c r="BN68" i="20"/>
  <c r="V58" i="20"/>
  <c r="AI58" i="20" s="1"/>
  <c r="V57" i="20"/>
  <c r="AI57" i="20" s="1"/>
  <c r="AI56" i="20"/>
  <c r="AV56" i="20" s="1"/>
  <c r="V55" i="20"/>
  <c r="AI55" i="20" s="1"/>
  <c r="AV55" i="20" s="1"/>
  <c r="V54" i="20"/>
  <c r="AI54" i="20" s="1"/>
  <c r="V53" i="20"/>
  <c r="AI53" i="20" s="1"/>
  <c r="AV53" i="20" s="1"/>
  <c r="AI47" i="20"/>
  <c r="CN58" i="20"/>
  <c r="BH58" i="20"/>
  <c r="AR58" i="20"/>
  <c r="BE58" i="20" s="1"/>
  <c r="AQ58" i="20"/>
  <c r="BD58" i="20" s="1"/>
  <c r="AP58" i="20"/>
  <c r="BC58" i="20" s="1"/>
  <c r="AO58" i="20"/>
  <c r="BB58" i="20" s="1"/>
  <c r="AN58" i="20"/>
  <c r="BW58" i="20" s="1"/>
  <c r="CA58" i="20" s="1"/>
  <c r="AM58" i="20"/>
  <c r="AL58" i="20"/>
  <c r="AK58" i="20"/>
  <c r="AJ58" i="20"/>
  <c r="AH58" i="20"/>
  <c r="AU58" i="20" s="1"/>
  <c r="AG58" i="20"/>
  <c r="AT58" i="20" s="1"/>
  <c r="Q58" i="20"/>
  <c r="BJ58" i="20" s="1"/>
  <c r="CN57" i="20"/>
  <c r="BH57" i="20"/>
  <c r="AR57" i="20"/>
  <c r="BE57" i="20" s="1"/>
  <c r="AQ57" i="20"/>
  <c r="BD57" i="20" s="1"/>
  <c r="AP57" i="20"/>
  <c r="BC57" i="20" s="1"/>
  <c r="AO57" i="20"/>
  <c r="BB57" i="20" s="1"/>
  <c r="AN57" i="20"/>
  <c r="BW57" i="20" s="1"/>
  <c r="CA57" i="20" s="1"/>
  <c r="AM57" i="20"/>
  <c r="AL57" i="20"/>
  <c r="AK57" i="20"/>
  <c r="AJ57" i="20"/>
  <c r="AH57" i="20"/>
  <c r="AU57" i="20" s="1"/>
  <c r="AG57" i="20"/>
  <c r="AT57" i="20" s="1"/>
  <c r="Q57" i="20"/>
  <c r="BJ57" i="20" s="1"/>
  <c r="CN56" i="20"/>
  <c r="BH56" i="20"/>
  <c r="AR56" i="20"/>
  <c r="BE56" i="20" s="1"/>
  <c r="AQ56" i="20"/>
  <c r="BD56" i="20" s="1"/>
  <c r="AP56" i="20"/>
  <c r="BC56" i="20" s="1"/>
  <c r="AO56" i="20"/>
  <c r="BB56" i="20" s="1"/>
  <c r="AN56" i="20"/>
  <c r="BW56" i="20" s="1"/>
  <c r="CA56" i="20" s="1"/>
  <c r="AM56" i="20"/>
  <c r="AL56" i="20"/>
  <c r="AK56" i="20"/>
  <c r="AJ56" i="20"/>
  <c r="AH56" i="20"/>
  <c r="AU56" i="20" s="1"/>
  <c r="AG56" i="20"/>
  <c r="Q56" i="20"/>
  <c r="AF56" i="20" s="1"/>
  <c r="CN55" i="20"/>
  <c r="BH55" i="20"/>
  <c r="AR55" i="20"/>
  <c r="BE55" i="20" s="1"/>
  <c r="AQ55" i="20"/>
  <c r="BD55" i="20" s="1"/>
  <c r="AP55" i="20"/>
  <c r="BC55" i="20" s="1"/>
  <c r="AO55" i="20"/>
  <c r="BB55" i="20" s="1"/>
  <c r="AN55" i="20"/>
  <c r="BW55" i="20" s="1"/>
  <c r="CA55" i="20" s="1"/>
  <c r="AM55" i="20"/>
  <c r="AL55" i="20"/>
  <c r="AK55" i="20"/>
  <c r="AJ55" i="20"/>
  <c r="AH55" i="20"/>
  <c r="AU55" i="20" s="1"/>
  <c r="AG55" i="20"/>
  <c r="AT55" i="20" s="1"/>
  <c r="Q55" i="20"/>
  <c r="AF55" i="20" s="1"/>
  <c r="CN54" i="20"/>
  <c r="BH54" i="20"/>
  <c r="AR54" i="20"/>
  <c r="BE54" i="20" s="1"/>
  <c r="AQ54" i="20"/>
  <c r="BD54" i="20" s="1"/>
  <c r="AP54" i="20"/>
  <c r="BC54" i="20" s="1"/>
  <c r="AO54" i="20"/>
  <c r="BB54" i="20" s="1"/>
  <c r="AN54" i="20"/>
  <c r="BW54" i="20" s="1"/>
  <c r="CA54" i="20" s="1"/>
  <c r="AM54" i="20"/>
  <c r="AL54" i="20"/>
  <c r="AK54" i="20"/>
  <c r="AJ54" i="20"/>
  <c r="AH54" i="20"/>
  <c r="AU54" i="20" s="1"/>
  <c r="AG54" i="20"/>
  <c r="AT54" i="20" s="1"/>
  <c r="Q54" i="20"/>
  <c r="AF54" i="20" s="1"/>
  <c r="CN53" i="20"/>
  <c r="BH53" i="20"/>
  <c r="AR53" i="20"/>
  <c r="BE53" i="20" s="1"/>
  <c r="AQ53" i="20"/>
  <c r="BD53" i="20" s="1"/>
  <c r="AP53" i="20"/>
  <c r="BC53" i="20" s="1"/>
  <c r="AO53" i="20"/>
  <c r="BB53" i="20" s="1"/>
  <c r="AN53" i="20"/>
  <c r="BW53" i="20" s="1"/>
  <c r="CA53" i="20" s="1"/>
  <c r="AM53" i="20"/>
  <c r="AL53" i="20"/>
  <c r="AK53" i="20"/>
  <c r="AJ53" i="20"/>
  <c r="AH53" i="20"/>
  <c r="AU53" i="20" s="1"/>
  <c r="AG53" i="20"/>
  <c r="AT53" i="20" s="1"/>
  <c r="Q53" i="20"/>
  <c r="AF53" i="20" s="1"/>
  <c r="CN59" i="20"/>
  <c r="BH59" i="20"/>
  <c r="AR59" i="20"/>
  <c r="BE59" i="20" s="1"/>
  <c r="AQ59" i="20"/>
  <c r="BD59" i="20" s="1"/>
  <c r="AP59" i="20"/>
  <c r="BC59" i="20" s="1"/>
  <c r="AO59" i="20"/>
  <c r="BB59" i="20" s="1"/>
  <c r="AN59" i="20"/>
  <c r="BW59" i="20" s="1"/>
  <c r="CA59" i="20" s="1"/>
  <c r="AM59" i="20"/>
  <c r="AL59" i="20"/>
  <c r="AK59" i="20"/>
  <c r="AJ59" i="20"/>
  <c r="AI59" i="20"/>
  <c r="AH59" i="20"/>
  <c r="AU59" i="20" s="1"/>
  <c r="AG59" i="20"/>
  <c r="Q59" i="20"/>
  <c r="CN63" i="20"/>
  <c r="BH63" i="20"/>
  <c r="AR63" i="20"/>
  <c r="BE63" i="20" s="1"/>
  <c r="AQ63" i="20"/>
  <c r="BD63" i="20" s="1"/>
  <c r="AP63" i="20"/>
  <c r="BC63" i="20" s="1"/>
  <c r="AO63" i="20"/>
  <c r="BB63" i="20" s="1"/>
  <c r="AN63" i="20"/>
  <c r="BW63" i="20" s="1"/>
  <c r="CA63" i="20" s="1"/>
  <c r="AM63" i="20"/>
  <c r="AL63" i="20"/>
  <c r="AK63" i="20"/>
  <c r="AJ63" i="20"/>
  <c r="AI63" i="20"/>
  <c r="AH63" i="20"/>
  <c r="AU63" i="20" s="1"/>
  <c r="AG63" i="20"/>
  <c r="AT63" i="20" s="1"/>
  <c r="Q63" i="20"/>
  <c r="BJ63" i="20" s="1"/>
  <c r="AH52" i="20"/>
  <c r="S49" i="20"/>
  <c r="S50" i="20"/>
  <c r="S51" i="20"/>
  <c r="S52" i="20"/>
  <c r="AS128" i="34" l="1"/>
  <c r="BA128" i="34"/>
  <c r="AW58" i="20"/>
  <c r="BK58" i="20" s="1"/>
  <c r="AF58" i="20"/>
  <c r="AW57" i="20"/>
  <c r="BK57" i="20" s="1"/>
  <c r="AW59" i="20"/>
  <c r="BK59" i="20" s="1"/>
  <c r="BM59" i="20" s="1"/>
  <c r="AW56" i="20"/>
  <c r="BK56" i="20" s="1"/>
  <c r="BM56" i="20" s="1"/>
  <c r="AW63" i="20"/>
  <c r="BK63" i="20" s="1"/>
  <c r="AV58" i="20"/>
  <c r="AT128" i="34"/>
  <c r="BF128" i="34" s="1"/>
  <c r="BJ128" i="34"/>
  <c r="AV57" i="20"/>
  <c r="AV54" i="20"/>
  <c r="AS58" i="20"/>
  <c r="AS57" i="20"/>
  <c r="AF57" i="20"/>
  <c r="AS56" i="20"/>
  <c r="BG56" i="20" s="1"/>
  <c r="BF55" i="20"/>
  <c r="AT56" i="20"/>
  <c r="AS55" i="20"/>
  <c r="BG55" i="20" s="1"/>
  <c r="BJ55" i="20"/>
  <c r="BJ56" i="20"/>
  <c r="AS54" i="20"/>
  <c r="BG54" i="20" s="1"/>
  <c r="AS53" i="20"/>
  <c r="BG53" i="20" s="1"/>
  <c r="BF53" i="20"/>
  <c r="AF59" i="20"/>
  <c r="BJ53" i="20"/>
  <c r="BJ54" i="20"/>
  <c r="AS59" i="20"/>
  <c r="AT59" i="20"/>
  <c r="BJ59" i="20"/>
  <c r="AS63" i="20"/>
  <c r="AF63" i="20"/>
  <c r="BL66" i="20"/>
  <c r="CN50" i="20"/>
  <c r="AR50" i="20"/>
  <c r="BE50" i="20" s="1"/>
  <c r="AQ50" i="20"/>
  <c r="BD50" i="20" s="1"/>
  <c r="AP50" i="20"/>
  <c r="BC50" i="20" s="1"/>
  <c r="AO50" i="20"/>
  <c r="BB50" i="20" s="1"/>
  <c r="AN50" i="20"/>
  <c r="BW50" i="20" s="1"/>
  <c r="CA50" i="20" s="1"/>
  <c r="AM50" i="20"/>
  <c r="AL50" i="20"/>
  <c r="AK50" i="20"/>
  <c r="AJ50" i="20"/>
  <c r="AI50" i="20"/>
  <c r="AH50" i="20"/>
  <c r="AU50" i="20" s="1"/>
  <c r="AG50" i="20"/>
  <c r="AT50" i="20" s="1"/>
  <c r="Q50" i="20"/>
  <c r="BJ50" i="20" s="1"/>
  <c r="CN49" i="20"/>
  <c r="AR49" i="20"/>
  <c r="BE49" i="20" s="1"/>
  <c r="AQ49" i="20"/>
  <c r="BD49" i="20" s="1"/>
  <c r="AP49" i="20"/>
  <c r="BC49" i="20" s="1"/>
  <c r="AO49" i="20"/>
  <c r="BB49" i="20" s="1"/>
  <c r="AN49" i="20"/>
  <c r="BW49" i="20" s="1"/>
  <c r="CA49" i="20" s="1"/>
  <c r="AM49" i="20"/>
  <c r="AL49" i="20"/>
  <c r="AK49" i="20"/>
  <c r="AJ49" i="20"/>
  <c r="AI49" i="20"/>
  <c r="AH49" i="20"/>
  <c r="AU49" i="20" s="1"/>
  <c r="AG49" i="20"/>
  <c r="AT49" i="20" s="1"/>
  <c r="Q49" i="20"/>
  <c r="CN51" i="20"/>
  <c r="AR51" i="20"/>
  <c r="BE51" i="20" s="1"/>
  <c r="AQ51" i="20"/>
  <c r="BD51" i="20" s="1"/>
  <c r="AP51" i="20"/>
  <c r="BC51" i="20" s="1"/>
  <c r="AO51" i="20"/>
  <c r="BB51" i="20" s="1"/>
  <c r="AN51" i="20"/>
  <c r="BW51" i="20" s="1"/>
  <c r="CA51" i="20" s="1"/>
  <c r="AM51" i="20"/>
  <c r="AL51" i="20"/>
  <c r="AK51" i="20"/>
  <c r="AJ51" i="20"/>
  <c r="AI51" i="20"/>
  <c r="AH51" i="20"/>
  <c r="AU51" i="20" s="1"/>
  <c r="AG51" i="20"/>
  <c r="AT51" i="20" s="1"/>
  <c r="Q51" i="20"/>
  <c r="CN48" i="20"/>
  <c r="BH48" i="20"/>
  <c r="AR48" i="20"/>
  <c r="BE48" i="20" s="1"/>
  <c r="AQ48" i="20"/>
  <c r="BD48" i="20" s="1"/>
  <c r="AP48" i="20"/>
  <c r="BC48" i="20" s="1"/>
  <c r="AO48" i="20"/>
  <c r="BB48" i="20" s="1"/>
  <c r="AN48" i="20"/>
  <c r="BW48" i="20" s="1"/>
  <c r="CA48" i="20" s="1"/>
  <c r="AM48" i="20"/>
  <c r="AL48" i="20"/>
  <c r="AK48" i="20"/>
  <c r="AJ48" i="20"/>
  <c r="AI48" i="20"/>
  <c r="AH48" i="20"/>
  <c r="AU48" i="20" s="1"/>
  <c r="AG48" i="20"/>
  <c r="AT48" i="20" s="1"/>
  <c r="Q48" i="20"/>
  <c r="AF48" i="20" s="1"/>
  <c r="BG128" i="34" l="1"/>
  <c r="BF57" i="20"/>
  <c r="BF56" i="20"/>
  <c r="BF58" i="20"/>
  <c r="BF59" i="20"/>
  <c r="BF63" i="20"/>
  <c r="BN63" i="20"/>
  <c r="BG58" i="20"/>
  <c r="AV66" i="20"/>
  <c r="BF54" i="20"/>
  <c r="BM66" i="20"/>
  <c r="BM69" i="20" s="1"/>
  <c r="BN69" i="20" s="1"/>
  <c r="BG57" i="20"/>
  <c r="BG59" i="20"/>
  <c r="BG63" i="20"/>
  <c r="BJ51" i="20"/>
  <c r="AF51" i="20"/>
  <c r="AF50" i="20"/>
  <c r="BJ49" i="20"/>
  <c r="AF49" i="20"/>
  <c r="BF49" i="20"/>
  <c r="BF50" i="20"/>
  <c r="AS50" i="20"/>
  <c r="AS49" i="20"/>
  <c r="AS51" i="20"/>
  <c r="BF51" i="20"/>
  <c r="BF48" i="20"/>
  <c r="AS48" i="20"/>
  <c r="BJ48" i="20"/>
  <c r="CF136" i="36"/>
  <c r="CH141" i="36"/>
  <c r="CH27" i="36"/>
  <c r="CH28" i="36" s="1"/>
  <c r="CH29" i="36" s="1"/>
  <c r="CH30" i="36" s="1"/>
  <c r="CF12" i="36"/>
  <c r="BA59" i="36"/>
  <c r="DR107" i="18"/>
  <c r="BZ107" i="18"/>
  <c r="BJ107" i="18"/>
  <c r="BI107" i="18"/>
  <c r="BH107" i="18"/>
  <c r="BG107" i="18"/>
  <c r="BF107" i="18"/>
  <c r="BE107" i="18"/>
  <c r="BD107" i="18"/>
  <c r="BW107" i="18" s="1"/>
  <c r="BC107" i="18"/>
  <c r="BV107" i="18" s="1"/>
  <c r="BB107" i="18"/>
  <c r="BU107" i="18" s="1"/>
  <c r="BA107" i="18"/>
  <c r="BT107" i="18" s="1"/>
  <c r="AZ107" i="18"/>
  <c r="CO107" i="18" s="1"/>
  <c r="CY107" i="18" s="1"/>
  <c r="AX107" i="18"/>
  <c r="BQ107" i="18" s="1"/>
  <c r="AW107" i="18"/>
  <c r="BP107" i="18" s="1"/>
  <c r="AV107" i="18"/>
  <c r="BO107" i="18" s="1"/>
  <c r="AU107" i="18"/>
  <c r="AT107" i="18"/>
  <c r="AS107" i="18"/>
  <c r="W107" i="18"/>
  <c r="AR107" i="18" s="1"/>
  <c r="W104" i="18"/>
  <c r="AR104" i="18" s="1"/>
  <c r="W101" i="18"/>
  <c r="AS104" i="18"/>
  <c r="AT104" i="18"/>
  <c r="AU104" i="18"/>
  <c r="AV104" i="18"/>
  <c r="BO104" i="18" s="1"/>
  <c r="AW104" i="18"/>
  <c r="BP104" i="18" s="1"/>
  <c r="AX104" i="18"/>
  <c r="BQ104" i="18" s="1"/>
  <c r="AY104" i="18"/>
  <c r="BR104" i="18" s="1"/>
  <c r="AZ104" i="18"/>
  <c r="BS104" i="18" s="1"/>
  <c r="BA104" i="18"/>
  <c r="BT104" i="18" s="1"/>
  <c r="BB104" i="18"/>
  <c r="BU104" i="18" s="1"/>
  <c r="BC104" i="18"/>
  <c r="BV104" i="18" s="1"/>
  <c r="BD104" i="18"/>
  <c r="BW104" i="18" s="1"/>
  <c r="BE104" i="18"/>
  <c r="BF104" i="18"/>
  <c r="BG104" i="18"/>
  <c r="BH104" i="18"/>
  <c r="BI104" i="18"/>
  <c r="BJ104" i="18"/>
  <c r="DR105" i="18"/>
  <c r="BJ105" i="18"/>
  <c r="BI105" i="18"/>
  <c r="BH105" i="18"/>
  <c r="BG105" i="18"/>
  <c r="BF105" i="18"/>
  <c r="BE105" i="18"/>
  <c r="BD105" i="18"/>
  <c r="BW105" i="18" s="1"/>
  <c r="BC105" i="18"/>
  <c r="BV105" i="18" s="1"/>
  <c r="BB105" i="18"/>
  <c r="BU105" i="18" s="1"/>
  <c r="BA105" i="18"/>
  <c r="BT105" i="18" s="1"/>
  <c r="AZ105" i="18"/>
  <c r="CO105" i="18" s="1"/>
  <c r="CY105" i="18" s="1"/>
  <c r="AY105" i="18"/>
  <c r="BR105" i="18" s="1"/>
  <c r="AX105" i="18"/>
  <c r="AW105" i="18"/>
  <c r="BP105" i="18" s="1"/>
  <c r="AV105" i="18"/>
  <c r="BO105" i="18" s="1"/>
  <c r="AU105" i="18"/>
  <c r="AT105" i="18"/>
  <c r="AS105" i="18"/>
  <c r="BL105" i="18" s="1"/>
  <c r="W105" i="18"/>
  <c r="BK107" i="18" l="1"/>
  <c r="BY107" i="18" s="1"/>
  <c r="BG51" i="20"/>
  <c r="BG50" i="20"/>
  <c r="BG49" i="20"/>
  <c r="BG48" i="20"/>
  <c r="BL107" i="18"/>
  <c r="CB107" i="18"/>
  <c r="BS107" i="18"/>
  <c r="BK105" i="18"/>
  <c r="BK104" i="18"/>
  <c r="BL104" i="18"/>
  <c r="BQ105" i="18"/>
  <c r="AR105" i="18"/>
  <c r="BS105" i="18"/>
  <c r="BX107" i="18" l="1"/>
  <c r="BX105" i="18"/>
  <c r="BZ105" i="18"/>
  <c r="BY105" i="18"/>
  <c r="CA107" i="18" l="1"/>
  <c r="C10" i="42"/>
  <c r="C11" i="42"/>
  <c r="E5" i="42"/>
  <c r="E6" i="42"/>
  <c r="E7" i="42" s="1"/>
  <c r="E4" i="42"/>
  <c r="F3" i="42"/>
  <c r="E3" i="42"/>
  <c r="F4" i="42" l="1"/>
  <c r="F6" i="42"/>
  <c r="F5" i="42"/>
  <c r="F9" i="42" l="1"/>
  <c r="F7" i="42"/>
  <c r="F8" i="42"/>
  <c r="BL13" i="20" l="1"/>
  <c r="CN13" i="20"/>
  <c r="CA13" i="20"/>
  <c r="BH13" i="20"/>
  <c r="AQ13" i="20"/>
  <c r="BD13" i="20" s="1"/>
  <c r="AP13" i="20"/>
  <c r="BC13" i="20" s="1"/>
  <c r="AO13" i="20"/>
  <c r="BK13" i="20" s="1"/>
  <c r="BM13" i="20" s="1"/>
  <c r="AN13" i="20"/>
  <c r="AM13" i="20"/>
  <c r="AL13" i="20"/>
  <c r="AK13" i="20"/>
  <c r="AJ13" i="20"/>
  <c r="AI13" i="20"/>
  <c r="AH13" i="20"/>
  <c r="AG13" i="20"/>
  <c r="AT13" i="20" s="1"/>
  <c r="Q13" i="20"/>
  <c r="BJ13" i="20" s="1"/>
  <c r="BL12" i="20"/>
  <c r="BL11" i="20"/>
  <c r="BL14" i="20"/>
  <c r="AO11" i="20"/>
  <c r="AO12" i="20"/>
  <c r="BB12" i="20" s="1"/>
  <c r="AO14" i="20"/>
  <c r="BB14" i="20" s="1"/>
  <c r="CN14" i="20"/>
  <c r="CA14" i="20"/>
  <c r="BH14" i="20"/>
  <c r="AQ14" i="20"/>
  <c r="BD14" i="20" s="1"/>
  <c r="AP14" i="20"/>
  <c r="BC14" i="20" s="1"/>
  <c r="AN14" i="20"/>
  <c r="AM14" i="20"/>
  <c r="AL14" i="20"/>
  <c r="AK14" i="20"/>
  <c r="AJ14" i="20"/>
  <c r="AI14" i="20"/>
  <c r="AH14" i="20"/>
  <c r="AG14" i="20"/>
  <c r="AT14" i="20" s="1"/>
  <c r="Q14" i="20"/>
  <c r="AF14" i="20" s="1"/>
  <c r="CN12" i="20"/>
  <c r="CA12" i="20"/>
  <c r="BH12" i="20"/>
  <c r="BI10" i="20" s="1"/>
  <c r="AQ12" i="20"/>
  <c r="BD12" i="20" s="1"/>
  <c r="AP12" i="20"/>
  <c r="BC12" i="20" s="1"/>
  <c r="AN12" i="20"/>
  <c r="AM12" i="20"/>
  <c r="AL12" i="20"/>
  <c r="AK12" i="20"/>
  <c r="AJ12" i="20"/>
  <c r="AI12" i="20"/>
  <c r="AH12" i="20"/>
  <c r="AG12" i="20"/>
  <c r="AT12" i="20" s="1"/>
  <c r="Q12" i="20"/>
  <c r="BJ12" i="20" s="1"/>
  <c r="CN11" i="20"/>
  <c r="CA11" i="20"/>
  <c r="BH11" i="20"/>
  <c r="AQ11" i="20"/>
  <c r="BD11" i="20" s="1"/>
  <c r="AP11" i="20"/>
  <c r="BC11" i="20" s="1"/>
  <c r="AN11" i="20"/>
  <c r="AM11" i="20"/>
  <c r="AL11" i="20"/>
  <c r="AK11" i="20"/>
  <c r="AJ11" i="20"/>
  <c r="AI11" i="20"/>
  <c r="AH11" i="20"/>
  <c r="AG11" i="20"/>
  <c r="AT11" i="20" s="1"/>
  <c r="Q11" i="20"/>
  <c r="AF11" i="20" s="1"/>
  <c r="M147" i="18"/>
  <c r="CD262" i="18"/>
  <c r="AT260" i="18"/>
  <c r="AT261" i="18"/>
  <c r="CD261" i="18"/>
  <c r="CD260" i="18"/>
  <c r="CD263" i="18" s="1"/>
  <c r="BF13" i="20" l="1"/>
  <c r="AF13" i="20"/>
  <c r="BK14" i="20"/>
  <c r="BM14" i="20" s="1"/>
  <c r="AS13" i="20"/>
  <c r="BI13" i="20" s="1"/>
  <c r="BK12" i="20"/>
  <c r="BM12" i="20" s="1"/>
  <c r="BB11" i="20"/>
  <c r="BK11" i="20" s="1"/>
  <c r="BM11" i="20" s="1"/>
  <c r="AS14" i="20"/>
  <c r="BI14" i="20" s="1"/>
  <c r="BJ14" i="20"/>
  <c r="BJ11" i="20"/>
  <c r="AS11" i="20"/>
  <c r="BI11" i="20" s="1"/>
  <c r="BF12" i="20"/>
  <c r="BF14" i="20"/>
  <c r="AF12" i="20"/>
  <c r="AS12" i="20"/>
  <c r="BI12" i="20" s="1"/>
  <c r="BG11" i="20" l="1"/>
  <c r="BM19" i="20"/>
  <c r="BM20" i="20" s="1"/>
  <c r="BL20" i="20" s="1"/>
  <c r="BM15" i="20"/>
  <c r="BG13" i="20"/>
  <c r="BF11" i="20"/>
  <c r="BD19" i="20" s="1"/>
  <c r="BG14" i="20"/>
  <c r="BG12" i="20"/>
  <c r="BN57" i="34"/>
  <c r="BN65" i="34"/>
  <c r="BL62" i="34"/>
  <c r="CH103" i="36"/>
  <c r="CF100" i="36"/>
  <c r="CF47" i="36"/>
  <c r="CF48" i="36"/>
  <c r="CF50" i="36"/>
  <c r="CF51" i="36"/>
  <c r="CE52" i="36"/>
  <c r="CG52" i="36" s="1"/>
  <c r="CE65" i="36"/>
  <c r="CG65" i="36" s="1"/>
  <c r="CE71" i="36"/>
  <c r="CG71" i="36" s="1"/>
  <c r="CE75" i="36"/>
  <c r="CG75" i="36" s="1"/>
  <c r="CE77" i="36"/>
  <c r="CG77" i="36" s="1"/>
  <c r="CF78" i="36"/>
  <c r="CF79" i="36"/>
  <c r="BL54" i="34"/>
  <c r="BL8" i="20"/>
  <c r="BM226" i="38"/>
  <c r="BL192" i="38"/>
  <c r="BL194" i="38"/>
  <c r="BL199" i="38" s="1"/>
  <c r="BL177" i="38"/>
  <c r="BL180" i="38"/>
  <c r="AI217" i="18"/>
  <c r="CF80" i="36" l="1"/>
  <c r="DR219" i="18"/>
  <c r="BZ219" i="18"/>
  <c r="BD219" i="18"/>
  <c r="BC219" i="18"/>
  <c r="BA219" i="18"/>
  <c r="AZ219" i="18"/>
  <c r="CO219" i="18" s="1"/>
  <c r="CY219" i="18" s="1"/>
  <c r="AY219" i="18"/>
  <c r="AX219" i="18"/>
  <c r="AW219" i="18"/>
  <c r="BP219" i="18" s="1"/>
  <c r="AV219" i="18"/>
  <c r="BO219" i="18" s="1"/>
  <c r="AU219" i="18"/>
  <c r="AS219" i="18"/>
  <c r="BB219" i="18"/>
  <c r="CC219" i="18" s="1"/>
  <c r="W219" i="18"/>
  <c r="CB219" i="18" s="1"/>
  <c r="BM260" i="18"/>
  <c r="CC260" i="18" s="1"/>
  <c r="DR260" i="18"/>
  <c r="BD260" i="18"/>
  <c r="BW260" i="18" s="1"/>
  <c r="BC260" i="18"/>
  <c r="BV260" i="18" s="1"/>
  <c r="BB260" i="18"/>
  <c r="BU260" i="18" s="1"/>
  <c r="BA260" i="18"/>
  <c r="BT260" i="18" s="1"/>
  <c r="AZ260" i="18"/>
  <c r="CO260" i="18" s="1"/>
  <c r="CY260" i="18" s="1"/>
  <c r="AY260" i="18"/>
  <c r="BR260" i="18" s="1"/>
  <c r="AX260" i="18"/>
  <c r="BQ260" i="18" s="1"/>
  <c r="AW260" i="18"/>
  <c r="BP260" i="18" s="1"/>
  <c r="AV260" i="18"/>
  <c r="AU260" i="18"/>
  <c r="BN260" i="18" s="1"/>
  <c r="AS260" i="18"/>
  <c r="BL260" i="18" s="1"/>
  <c r="W260" i="18"/>
  <c r="AR260" i="18" s="1"/>
  <c r="BY260" i="18" s="1"/>
  <c r="DR261" i="18"/>
  <c r="BD261" i="18"/>
  <c r="BW261" i="18" s="1"/>
  <c r="BC261" i="18"/>
  <c r="BV261" i="18" s="1"/>
  <c r="BB261" i="18"/>
  <c r="BU261" i="18" s="1"/>
  <c r="BA261" i="18"/>
  <c r="BT261" i="18" s="1"/>
  <c r="AZ261" i="18"/>
  <c r="CO261" i="18" s="1"/>
  <c r="CY261" i="18" s="1"/>
  <c r="AY261" i="18"/>
  <c r="BR261" i="18" s="1"/>
  <c r="AX261" i="18"/>
  <c r="BQ261" i="18" s="1"/>
  <c r="AW261" i="18"/>
  <c r="BP261" i="18" s="1"/>
  <c r="AV261" i="18"/>
  <c r="BO261" i="18" s="1"/>
  <c r="AU261" i="18"/>
  <c r="BN261" i="18" s="1"/>
  <c r="BM261" i="18"/>
  <c r="AS261" i="18"/>
  <c r="BL261" i="18" s="1"/>
  <c r="W261" i="18"/>
  <c r="AR261" i="18" s="1"/>
  <c r="BY261" i="18" s="1"/>
  <c r="DR262" i="18"/>
  <c r="BD262" i="18"/>
  <c r="BW262" i="18" s="1"/>
  <c r="BC262" i="18"/>
  <c r="BV262" i="18" s="1"/>
  <c r="BB262" i="18"/>
  <c r="BU262" i="18" s="1"/>
  <c r="BA262" i="18"/>
  <c r="BT262" i="18" s="1"/>
  <c r="AZ262" i="18"/>
  <c r="BS262" i="18" s="1"/>
  <c r="AY262" i="18"/>
  <c r="BR262" i="18" s="1"/>
  <c r="AX262" i="18"/>
  <c r="BQ262" i="18" s="1"/>
  <c r="AW262" i="18"/>
  <c r="BP262" i="18" s="1"/>
  <c r="AV262" i="18"/>
  <c r="BO262" i="18" s="1"/>
  <c r="AU262" i="18"/>
  <c r="BN262" i="18" s="1"/>
  <c r="AT262" i="18"/>
  <c r="AS262" i="18"/>
  <c r="BL262" i="18" s="1"/>
  <c r="W262" i="18"/>
  <c r="CB262" i="18" s="1"/>
  <c r="M155" i="18"/>
  <c r="AY131" i="18"/>
  <c r="M139" i="18"/>
  <c r="CE260" i="18" l="1"/>
  <c r="BM262" i="18"/>
  <c r="CC261" i="18"/>
  <c r="CE261" i="18" s="1"/>
  <c r="BK219" i="18"/>
  <c r="BS260" i="18"/>
  <c r="BS219" i="18"/>
  <c r="BX219" i="18" s="1"/>
  <c r="CB260" i="18"/>
  <c r="BK260" i="18"/>
  <c r="BZ260" i="18" s="1"/>
  <c r="BO260" i="18"/>
  <c r="BS261" i="18"/>
  <c r="BX261" i="18" s="1"/>
  <c r="CO262" i="18"/>
  <c r="CY262" i="18" s="1"/>
  <c r="CB261" i="18"/>
  <c r="BK261" i="18"/>
  <c r="BZ261" i="18" s="1"/>
  <c r="AR262" i="18"/>
  <c r="BY262" i="18" s="1"/>
  <c r="BK262" i="18"/>
  <c r="BZ262" i="18" s="1"/>
  <c r="BY219" i="18" l="1"/>
  <c r="BX260" i="18"/>
  <c r="BX262" i="18"/>
  <c r="CC262" i="18"/>
  <c r="CE262" i="18" s="1"/>
  <c r="CE263" i="18" s="1"/>
  <c r="AI216" i="18"/>
  <c r="BB216" i="18" s="1"/>
  <c r="DR216" i="18"/>
  <c r="BZ216" i="18"/>
  <c r="BD216" i="18"/>
  <c r="BW216" i="18" s="1"/>
  <c r="BC216" i="18"/>
  <c r="BV216" i="18" s="1"/>
  <c r="BA216" i="18"/>
  <c r="AZ216" i="18"/>
  <c r="CO216" i="18" s="1"/>
  <c r="CY216" i="18" s="1"/>
  <c r="AY216" i="18"/>
  <c r="AX216" i="18"/>
  <c r="AW216" i="18"/>
  <c r="BP216" i="18" s="1"/>
  <c r="AV216" i="18"/>
  <c r="BO216" i="18" s="1"/>
  <c r="AU216" i="18"/>
  <c r="AS216" i="18"/>
  <c r="W216" i="18"/>
  <c r="AR216" i="18" s="1"/>
  <c r="BX267" i="18" l="1"/>
  <c r="CC263" i="18"/>
  <c r="BK216" i="18"/>
  <c r="CB216" i="18"/>
  <c r="BS216" i="18"/>
  <c r="BU220" i="18"/>
  <c r="BX216" i="18" l="1"/>
  <c r="BY216" i="18" s="1"/>
  <c r="BB217" i="18"/>
  <c r="AI215" i="18"/>
  <c r="BB215" i="18" s="1"/>
  <c r="DR215" i="18"/>
  <c r="BZ215" i="18"/>
  <c r="BD215" i="18"/>
  <c r="BW215" i="18" s="1"/>
  <c r="BC215" i="18"/>
  <c r="BV215" i="18" s="1"/>
  <c r="AZ215" i="18"/>
  <c r="CO215" i="18" s="1"/>
  <c r="CY215" i="18" s="1"/>
  <c r="AY215" i="18"/>
  <c r="AX215" i="18"/>
  <c r="AW215" i="18"/>
  <c r="BP215" i="18" s="1"/>
  <c r="AV215" i="18"/>
  <c r="BO215" i="18" s="1"/>
  <c r="AU215" i="18"/>
  <c r="AS215" i="18"/>
  <c r="BA215" i="18"/>
  <c r="W215" i="18"/>
  <c r="AR215" i="18" s="1"/>
  <c r="DR217" i="18"/>
  <c r="BZ217" i="18"/>
  <c r="BD217" i="18"/>
  <c r="BW217" i="18" s="1"/>
  <c r="BC217" i="18"/>
  <c r="BV217" i="18" s="1"/>
  <c r="AZ217" i="18"/>
  <c r="CO217" i="18" s="1"/>
  <c r="CY217" i="18" s="1"/>
  <c r="AY217" i="18"/>
  <c r="AX217" i="18"/>
  <c r="AW217" i="18"/>
  <c r="BP217" i="18" s="1"/>
  <c r="AV217" i="18"/>
  <c r="BO217" i="18" s="1"/>
  <c r="AU217" i="18"/>
  <c r="AS217" i="18"/>
  <c r="BA217" i="18"/>
  <c r="W217" i="18"/>
  <c r="AR217" i="18" s="1"/>
  <c r="DR214" i="18"/>
  <c r="BZ214" i="18"/>
  <c r="BD214" i="18"/>
  <c r="BW214" i="18" s="1"/>
  <c r="BC214" i="18"/>
  <c r="BV214" i="18" s="1"/>
  <c r="BB214" i="18"/>
  <c r="AZ214" i="18"/>
  <c r="CO214" i="18" s="1"/>
  <c r="CY214" i="18" s="1"/>
  <c r="AY214" i="18"/>
  <c r="AX214" i="18"/>
  <c r="AW214" i="18"/>
  <c r="BP214" i="18" s="1"/>
  <c r="AV214" i="18"/>
  <c r="BO214" i="18" s="1"/>
  <c r="AU214" i="18"/>
  <c r="AS214" i="18"/>
  <c r="AH214" i="18"/>
  <c r="BA214" i="18" s="1"/>
  <c r="W214" i="18"/>
  <c r="AR214" i="18" s="1"/>
  <c r="AH213" i="18"/>
  <c r="DR212" i="18"/>
  <c r="BZ212" i="18"/>
  <c r="BD212" i="18"/>
  <c r="BW212" i="18" s="1"/>
  <c r="BC212" i="18"/>
  <c r="BV212" i="18" s="1"/>
  <c r="BB212" i="18"/>
  <c r="BU212" i="18" s="1"/>
  <c r="BA212" i="18"/>
  <c r="AZ212" i="18"/>
  <c r="BS212" i="18" s="1"/>
  <c r="AY212" i="18"/>
  <c r="AX212" i="18"/>
  <c r="AW212" i="18"/>
  <c r="BP212" i="18" s="1"/>
  <c r="AV212" i="18"/>
  <c r="BO212" i="18" s="1"/>
  <c r="AU212" i="18"/>
  <c r="AS212" i="18"/>
  <c r="W212" i="18"/>
  <c r="AR212" i="18" s="1"/>
  <c r="BL227" i="38"/>
  <c r="BX227" i="38"/>
  <c r="BY227" i="38"/>
  <c r="BZ227" i="38"/>
  <c r="CD113" i="18"/>
  <c r="BL18" i="38"/>
  <c r="BL21" i="38" s="1"/>
  <c r="BH17" i="38"/>
  <c r="DR211" i="18"/>
  <c r="BD211" i="18"/>
  <c r="BW211" i="18" s="1"/>
  <c r="BC211" i="18"/>
  <c r="BV211" i="18" s="1"/>
  <c r="BB211" i="18"/>
  <c r="BU211" i="18" s="1"/>
  <c r="BA211" i="18"/>
  <c r="BT211" i="18" s="1"/>
  <c r="AZ211" i="18"/>
  <c r="CO211" i="18" s="1"/>
  <c r="CY211" i="18" s="1"/>
  <c r="AY211" i="18"/>
  <c r="AX211" i="18"/>
  <c r="AW211" i="18"/>
  <c r="BP211" i="18" s="1"/>
  <c r="AV211" i="18"/>
  <c r="BO211" i="18" s="1"/>
  <c r="AU211" i="18"/>
  <c r="AS211" i="18"/>
  <c r="W211" i="18"/>
  <c r="CB211" i="18" s="1"/>
  <c r="BJ84" i="18"/>
  <c r="BI84" i="18"/>
  <c r="BH84" i="18"/>
  <c r="BG84" i="18"/>
  <c r="BF84" i="18"/>
  <c r="BJ83" i="18"/>
  <c r="BI83" i="18"/>
  <c r="BH83" i="18"/>
  <c r="BG83" i="18"/>
  <c r="BF83" i="18"/>
  <c r="BJ81" i="18"/>
  <c r="BI81" i="18"/>
  <c r="BH81" i="18"/>
  <c r="BG81" i="18"/>
  <c r="BF81" i="18"/>
  <c r="BJ80" i="18"/>
  <c r="BI80" i="18"/>
  <c r="BH80" i="18"/>
  <c r="BG80" i="18"/>
  <c r="BF80" i="18"/>
  <c r="BJ79" i="18"/>
  <c r="BI79" i="18"/>
  <c r="BH79" i="18"/>
  <c r="BG79" i="18"/>
  <c r="BF79" i="18"/>
  <c r="BJ77" i="18"/>
  <c r="BI77" i="18"/>
  <c r="BH77" i="18"/>
  <c r="BG77" i="18"/>
  <c r="BF77" i="18"/>
  <c r="BJ76" i="18"/>
  <c r="BI76" i="18"/>
  <c r="BH76" i="18"/>
  <c r="BG76" i="18"/>
  <c r="BF76" i="18"/>
  <c r="BJ75" i="18"/>
  <c r="BI75" i="18"/>
  <c r="BH75" i="18"/>
  <c r="BG75" i="18"/>
  <c r="BF75" i="18"/>
  <c r="BJ73" i="18"/>
  <c r="BI73" i="18"/>
  <c r="BH73" i="18"/>
  <c r="BG73" i="18"/>
  <c r="BF73" i="18"/>
  <c r="BJ71" i="18"/>
  <c r="BI71" i="18"/>
  <c r="BH71" i="18"/>
  <c r="BG71" i="18"/>
  <c r="BF71" i="18"/>
  <c r="BJ70" i="18"/>
  <c r="BI70" i="18"/>
  <c r="BH70" i="18"/>
  <c r="BG70" i="18"/>
  <c r="BF70" i="18"/>
  <c r="BJ69" i="18"/>
  <c r="BI69" i="18"/>
  <c r="BH69" i="18"/>
  <c r="BG69" i="18"/>
  <c r="BF69" i="18"/>
  <c r="BJ68" i="18"/>
  <c r="BI68" i="18"/>
  <c r="BH68" i="18"/>
  <c r="BG68" i="18"/>
  <c r="BF68" i="18"/>
  <c r="BJ67" i="18"/>
  <c r="BI67" i="18"/>
  <c r="BH67" i="18"/>
  <c r="BG67" i="18"/>
  <c r="BF67" i="18"/>
  <c r="BJ66" i="18"/>
  <c r="BI66" i="18"/>
  <c r="BH66" i="18"/>
  <c r="BG66" i="18"/>
  <c r="BF66" i="18"/>
  <c r="BJ65" i="18"/>
  <c r="BI65" i="18"/>
  <c r="BH65" i="18"/>
  <c r="BG65" i="18"/>
  <c r="BF65" i="18"/>
  <c r="BJ64" i="18"/>
  <c r="BI64" i="18"/>
  <c r="BH64" i="18"/>
  <c r="BG64" i="18"/>
  <c r="BF64" i="18"/>
  <c r="BJ63" i="18"/>
  <c r="BI63" i="18"/>
  <c r="BH63" i="18"/>
  <c r="BG63" i="18"/>
  <c r="BF63" i="18"/>
  <c r="BJ62" i="18"/>
  <c r="BI62" i="18"/>
  <c r="BH62" i="18"/>
  <c r="BG62" i="18"/>
  <c r="BF62" i="18"/>
  <c r="BJ60" i="18"/>
  <c r="BI60" i="18"/>
  <c r="BH60" i="18"/>
  <c r="BG60" i="18"/>
  <c r="BF60" i="18"/>
  <c r="BJ59" i="18"/>
  <c r="BI59" i="18"/>
  <c r="BH59" i="18"/>
  <c r="BG59" i="18"/>
  <c r="BF59" i="18"/>
  <c r="BJ58" i="18"/>
  <c r="BI58" i="18"/>
  <c r="BH58" i="18"/>
  <c r="BG58" i="18"/>
  <c r="BF58" i="18"/>
  <c r="BJ57" i="18"/>
  <c r="BI57" i="18"/>
  <c r="BH57" i="18"/>
  <c r="BG57" i="18"/>
  <c r="BF57" i="18"/>
  <c r="BJ56" i="18"/>
  <c r="BI56" i="18"/>
  <c r="BH56" i="18"/>
  <c r="BG56" i="18"/>
  <c r="BF56" i="18"/>
  <c r="BJ55" i="18"/>
  <c r="BI55" i="18"/>
  <c r="BH55" i="18"/>
  <c r="BG55" i="18"/>
  <c r="BF55" i="18"/>
  <c r="BJ54" i="18"/>
  <c r="BI54" i="18"/>
  <c r="BH54" i="18"/>
  <c r="BG54" i="18"/>
  <c r="BF54" i="18"/>
  <c r="BJ53" i="18"/>
  <c r="BI53" i="18"/>
  <c r="BH53" i="18"/>
  <c r="BG53" i="18"/>
  <c r="BF53" i="18"/>
  <c r="BJ52" i="18"/>
  <c r="BI52" i="18"/>
  <c r="BH52" i="18"/>
  <c r="BG52" i="18"/>
  <c r="BF52" i="18"/>
  <c r="BJ51" i="18"/>
  <c r="BI51" i="18"/>
  <c r="BH51" i="18"/>
  <c r="BG51" i="18"/>
  <c r="BF51" i="18"/>
  <c r="BJ50" i="18"/>
  <c r="BI50" i="18"/>
  <c r="BH50" i="18"/>
  <c r="BG50" i="18"/>
  <c r="BF50" i="18"/>
  <c r="BJ49" i="18"/>
  <c r="BI49" i="18"/>
  <c r="BH49" i="18"/>
  <c r="BG49" i="18"/>
  <c r="BF49" i="18"/>
  <c r="BJ44" i="18"/>
  <c r="BI44" i="18"/>
  <c r="BH44" i="18"/>
  <c r="BG44" i="18"/>
  <c r="BF44" i="18"/>
  <c r="BJ43" i="18"/>
  <c r="BI43" i="18"/>
  <c r="BH43" i="18"/>
  <c r="BG43" i="18"/>
  <c r="BF43" i="18"/>
  <c r="BJ42" i="18"/>
  <c r="BI42" i="18"/>
  <c r="BH42" i="18"/>
  <c r="BG42" i="18"/>
  <c r="BF42" i="18"/>
  <c r="BJ41" i="18"/>
  <c r="BI41" i="18"/>
  <c r="BH41" i="18"/>
  <c r="BG41" i="18"/>
  <c r="BF41" i="18"/>
  <c r="BJ40" i="18"/>
  <c r="BI40" i="18"/>
  <c r="BH40" i="18"/>
  <c r="BG40" i="18"/>
  <c r="BF40" i="18"/>
  <c r="BJ39" i="18"/>
  <c r="BI39" i="18"/>
  <c r="BH39" i="18"/>
  <c r="BG39" i="18"/>
  <c r="BF39" i="18"/>
  <c r="BJ38" i="18"/>
  <c r="BI38" i="18"/>
  <c r="BH38" i="18"/>
  <c r="BG38" i="18"/>
  <c r="BF38" i="18"/>
  <c r="BJ37" i="18"/>
  <c r="BI37" i="18"/>
  <c r="BH37" i="18"/>
  <c r="BG37" i="18"/>
  <c r="BF37" i="18"/>
  <c r="BJ36" i="18"/>
  <c r="BI36" i="18"/>
  <c r="BH36" i="18"/>
  <c r="BG36" i="18"/>
  <c r="BF36" i="18"/>
  <c r="BJ35" i="18"/>
  <c r="BI35" i="18"/>
  <c r="BH35" i="18"/>
  <c r="BG35" i="18"/>
  <c r="BF35" i="18"/>
  <c r="BJ34" i="18"/>
  <c r="BI34" i="18"/>
  <c r="BH34" i="18"/>
  <c r="BG34" i="18"/>
  <c r="BF34" i="18"/>
  <c r="BJ33" i="18"/>
  <c r="BI33" i="18"/>
  <c r="BH33" i="18"/>
  <c r="BG33" i="18"/>
  <c r="BF33" i="18"/>
  <c r="BJ32" i="18"/>
  <c r="BI32" i="18"/>
  <c r="BH32" i="18"/>
  <c r="BG32" i="18"/>
  <c r="BF32" i="18"/>
  <c r="BJ31" i="18"/>
  <c r="BI31" i="18"/>
  <c r="BH31" i="18"/>
  <c r="BG31" i="18"/>
  <c r="BF31" i="18"/>
  <c r="BJ30" i="18"/>
  <c r="BI30" i="18"/>
  <c r="BH30" i="18"/>
  <c r="BG30" i="18"/>
  <c r="BF30" i="18"/>
  <c r="BJ29" i="18"/>
  <c r="BI29" i="18"/>
  <c r="BH29" i="18"/>
  <c r="BG29" i="18"/>
  <c r="BF29" i="18"/>
  <c r="BJ28" i="18"/>
  <c r="BI28" i="18"/>
  <c r="BH28" i="18"/>
  <c r="BG28" i="18"/>
  <c r="BF28" i="18"/>
  <c r="BJ27" i="18"/>
  <c r="BI27" i="18"/>
  <c r="BH27" i="18"/>
  <c r="BG27" i="18"/>
  <c r="BF27" i="18"/>
  <c r="BJ26" i="18"/>
  <c r="BI26" i="18"/>
  <c r="BH26" i="18"/>
  <c r="BG26" i="18"/>
  <c r="BF26" i="18"/>
  <c r="BJ25" i="18"/>
  <c r="BI25" i="18"/>
  <c r="BH25" i="18"/>
  <c r="BG25" i="18"/>
  <c r="BF25" i="18"/>
  <c r="BJ24" i="18"/>
  <c r="BI24" i="18"/>
  <c r="BH24" i="18"/>
  <c r="BG24" i="18"/>
  <c r="BF24" i="18"/>
  <c r="BJ23" i="18"/>
  <c r="BI23" i="18"/>
  <c r="BH23" i="18"/>
  <c r="BG23" i="18"/>
  <c r="BF23" i="18"/>
  <c r="BJ22" i="18"/>
  <c r="BI22" i="18"/>
  <c r="BH22" i="18"/>
  <c r="BG22" i="18"/>
  <c r="BF22" i="18"/>
  <c r="BJ21" i="18"/>
  <c r="BI21" i="18"/>
  <c r="BH21" i="18"/>
  <c r="BG21" i="18"/>
  <c r="BF21" i="18"/>
  <c r="BJ20" i="18"/>
  <c r="BI20" i="18"/>
  <c r="BH20" i="18"/>
  <c r="BG20" i="18"/>
  <c r="BF20" i="18"/>
  <c r="BJ19" i="18"/>
  <c r="BI19" i="18"/>
  <c r="BH19" i="18"/>
  <c r="BG19" i="18"/>
  <c r="BF19" i="18"/>
  <c r="BJ18" i="18"/>
  <c r="BI18" i="18"/>
  <c r="BH18" i="18"/>
  <c r="BG18" i="18"/>
  <c r="BF18" i="18"/>
  <c r="BJ17" i="18"/>
  <c r="BI17" i="18"/>
  <c r="BH17" i="18"/>
  <c r="BG17" i="18"/>
  <c r="BF17" i="18"/>
  <c r="BJ16" i="18"/>
  <c r="BI16" i="18"/>
  <c r="BH16" i="18"/>
  <c r="BG16" i="18"/>
  <c r="BF16" i="18"/>
  <c r="BJ15" i="18"/>
  <c r="BI15" i="18"/>
  <c r="BH15" i="18"/>
  <c r="BG15" i="18"/>
  <c r="BF15" i="18"/>
  <c r="BJ14" i="18"/>
  <c r="BI14" i="18"/>
  <c r="BH14" i="18"/>
  <c r="BG14" i="18"/>
  <c r="BF14" i="18"/>
  <c r="BJ13" i="18"/>
  <c r="BI13" i="18"/>
  <c r="BH13" i="18"/>
  <c r="BG13" i="18"/>
  <c r="BF13" i="18"/>
  <c r="BJ12" i="18"/>
  <c r="BI12" i="18"/>
  <c r="BH12" i="18"/>
  <c r="BG12" i="18"/>
  <c r="BF12" i="18"/>
  <c r="BJ11" i="18"/>
  <c r="BI11" i="18"/>
  <c r="BH11" i="18"/>
  <c r="BG11" i="18"/>
  <c r="BF11" i="18"/>
  <c r="BJ10" i="18"/>
  <c r="BI10" i="18"/>
  <c r="BH10" i="18"/>
  <c r="BG10" i="18"/>
  <c r="BF10" i="18"/>
  <c r="BJ9" i="18"/>
  <c r="BI9" i="18"/>
  <c r="BH9" i="18"/>
  <c r="BG9" i="18"/>
  <c r="BF9" i="18"/>
  <c r="BJ8" i="18"/>
  <c r="BI8" i="18"/>
  <c r="BH8" i="18"/>
  <c r="BG8" i="18"/>
  <c r="BF8" i="18"/>
  <c r="BJ7" i="18"/>
  <c r="BI7" i="18"/>
  <c r="BH7" i="18"/>
  <c r="BG7" i="18"/>
  <c r="BF7" i="18"/>
  <c r="BJ6" i="18"/>
  <c r="BI6" i="18"/>
  <c r="BH6" i="18"/>
  <c r="BG6" i="18"/>
  <c r="BF6" i="18"/>
  <c r="BJ5" i="18"/>
  <c r="BI5" i="18"/>
  <c r="BH5" i="18"/>
  <c r="BG5" i="18"/>
  <c r="BF5" i="18"/>
  <c r="BE84" i="18"/>
  <c r="BE83" i="18"/>
  <c r="BE81" i="18"/>
  <c r="BE80" i="18"/>
  <c r="BE79" i="18"/>
  <c r="BE77" i="18"/>
  <c r="BE76" i="18"/>
  <c r="BE75" i="18"/>
  <c r="BE73" i="18"/>
  <c r="BE71" i="18"/>
  <c r="BE70" i="18"/>
  <c r="BE69" i="18"/>
  <c r="BE68" i="18"/>
  <c r="BE67" i="18"/>
  <c r="BE66" i="18"/>
  <c r="BE65" i="18"/>
  <c r="BE64" i="18"/>
  <c r="BE63" i="18"/>
  <c r="BE62" i="18"/>
  <c r="BE60" i="18"/>
  <c r="BE59" i="18"/>
  <c r="BE58" i="18"/>
  <c r="BE57" i="18"/>
  <c r="BE56" i="18"/>
  <c r="BE55" i="18"/>
  <c r="BE54" i="18"/>
  <c r="BE53" i="18"/>
  <c r="BE52" i="18"/>
  <c r="BE51" i="18"/>
  <c r="BE50" i="18"/>
  <c r="BE49" i="18"/>
  <c r="BE44" i="18"/>
  <c r="BE43" i="18"/>
  <c r="BE42" i="18"/>
  <c r="BE41" i="18"/>
  <c r="BE40" i="18"/>
  <c r="BE39" i="18"/>
  <c r="BE38" i="18"/>
  <c r="BE37" i="18"/>
  <c r="BE36" i="18"/>
  <c r="BE35" i="18"/>
  <c r="CS35" i="18" s="1"/>
  <c r="BE34" i="18"/>
  <c r="BE33" i="18"/>
  <c r="CS33" i="18" s="1"/>
  <c r="BE32" i="18"/>
  <c r="BE31" i="18"/>
  <c r="BE30" i="18"/>
  <c r="BE29" i="18"/>
  <c r="BE28" i="18"/>
  <c r="BE27" i="18"/>
  <c r="BE26" i="18"/>
  <c r="BE25" i="18"/>
  <c r="BE24" i="18"/>
  <c r="BE23" i="18"/>
  <c r="BE22" i="18"/>
  <c r="BE21" i="18"/>
  <c r="BE20" i="18"/>
  <c r="BE19" i="18"/>
  <c r="BE18" i="18"/>
  <c r="BE17" i="18"/>
  <c r="BE16" i="18"/>
  <c r="BE15" i="18"/>
  <c r="BE14" i="18"/>
  <c r="BE13" i="18"/>
  <c r="BE12" i="18"/>
  <c r="BE11" i="18"/>
  <c r="BE10" i="18"/>
  <c r="BE9" i="18"/>
  <c r="BE8" i="18"/>
  <c r="BE7" i="18"/>
  <c r="BE6" i="18"/>
  <c r="BE5" i="18"/>
  <c r="BK103" i="18"/>
  <c r="BJ123" i="18"/>
  <c r="BI123" i="18"/>
  <c r="BH123" i="18"/>
  <c r="BG123" i="18"/>
  <c r="BF123" i="18"/>
  <c r="BE123" i="18"/>
  <c r="BJ122" i="18"/>
  <c r="BI122" i="18"/>
  <c r="BH122" i="18"/>
  <c r="BG122" i="18"/>
  <c r="BF122" i="18"/>
  <c r="BE122" i="18"/>
  <c r="BJ121" i="18"/>
  <c r="BI121" i="18"/>
  <c r="BH121" i="18"/>
  <c r="BG121" i="18"/>
  <c r="BF121" i="18"/>
  <c r="BE121" i="18"/>
  <c r="BJ120" i="18"/>
  <c r="BI120" i="18"/>
  <c r="BH120" i="18"/>
  <c r="BG120" i="18"/>
  <c r="BF120" i="18"/>
  <c r="BE120" i="18"/>
  <c r="BJ119" i="18"/>
  <c r="BI119" i="18"/>
  <c r="BH119" i="18"/>
  <c r="BG119" i="18"/>
  <c r="BF119" i="18"/>
  <c r="BE119" i="18"/>
  <c r="BJ118" i="18"/>
  <c r="BI118" i="18"/>
  <c r="BH118" i="18"/>
  <c r="BG118" i="18"/>
  <c r="BF118" i="18"/>
  <c r="BE118" i="18"/>
  <c r="BJ117" i="18"/>
  <c r="BI117" i="18"/>
  <c r="BH117" i="18"/>
  <c r="BG117" i="18"/>
  <c r="BF117" i="18"/>
  <c r="BE117" i="18"/>
  <c r="BJ116" i="18"/>
  <c r="BI116" i="18"/>
  <c r="BH116" i="18"/>
  <c r="BG116" i="18"/>
  <c r="BF116" i="18"/>
  <c r="BE116" i="18"/>
  <c r="BJ115" i="18"/>
  <c r="BI115" i="18"/>
  <c r="BH115" i="18"/>
  <c r="BG115" i="18"/>
  <c r="BF115" i="18"/>
  <c r="BE115" i="18"/>
  <c r="BJ114" i="18"/>
  <c r="BI114" i="18"/>
  <c r="BH114" i="18"/>
  <c r="BG114" i="18"/>
  <c r="BF114" i="18"/>
  <c r="BE114" i="18"/>
  <c r="BJ113" i="18"/>
  <c r="BI113" i="18"/>
  <c r="BH113" i="18"/>
  <c r="BG113" i="18"/>
  <c r="BF113" i="18"/>
  <c r="BE113" i="18"/>
  <c r="BJ112" i="18"/>
  <c r="BI112" i="18"/>
  <c r="BH112" i="18"/>
  <c r="BG112" i="18"/>
  <c r="BF112" i="18"/>
  <c r="BE112" i="18"/>
  <c r="BJ111" i="18"/>
  <c r="BI111" i="18"/>
  <c r="BH111" i="18"/>
  <c r="BG111" i="18"/>
  <c r="BF111" i="18"/>
  <c r="BE111" i="18"/>
  <c r="BJ110" i="18"/>
  <c r="BI110" i="18"/>
  <c r="BH110" i="18"/>
  <c r="BG110" i="18"/>
  <c r="BF110" i="18"/>
  <c r="BE110" i="18"/>
  <c r="BJ109" i="18"/>
  <c r="BI109" i="18"/>
  <c r="BH109" i="18"/>
  <c r="BG109" i="18"/>
  <c r="BF109" i="18"/>
  <c r="BE109" i="18"/>
  <c r="BJ108" i="18"/>
  <c r="BI108" i="18"/>
  <c r="BH108" i="18"/>
  <c r="BG108" i="18"/>
  <c r="BF108" i="18"/>
  <c r="BE108" i="18"/>
  <c r="BJ106" i="18"/>
  <c r="BI106" i="18"/>
  <c r="BH106" i="18"/>
  <c r="BG106" i="18"/>
  <c r="BF106" i="18"/>
  <c r="BE106" i="18"/>
  <c r="BJ102" i="18"/>
  <c r="BI102" i="18"/>
  <c r="BH102" i="18"/>
  <c r="BG102" i="18"/>
  <c r="BF102" i="18"/>
  <c r="BE102" i="18"/>
  <c r="BJ101" i="18"/>
  <c r="BI101" i="18"/>
  <c r="BH101" i="18"/>
  <c r="BG101" i="18"/>
  <c r="BF101" i="18"/>
  <c r="BE101" i="18"/>
  <c r="BJ100" i="18"/>
  <c r="BI100" i="18"/>
  <c r="BH100" i="18"/>
  <c r="BG100" i="18"/>
  <c r="BF100" i="18"/>
  <c r="BE100" i="18"/>
  <c r="BJ99" i="18"/>
  <c r="BI99" i="18"/>
  <c r="BH99" i="18"/>
  <c r="BG99" i="18"/>
  <c r="BF99" i="18"/>
  <c r="BE99" i="18"/>
  <c r="BJ98" i="18"/>
  <c r="BI98" i="18"/>
  <c r="BH98" i="18"/>
  <c r="BG98" i="18"/>
  <c r="BF98" i="18"/>
  <c r="BE98" i="18"/>
  <c r="BJ97" i="18"/>
  <c r="BI97" i="18"/>
  <c r="BH97" i="18"/>
  <c r="BG97" i="18"/>
  <c r="BF97" i="18"/>
  <c r="BE97" i="18"/>
  <c r="BJ96" i="18"/>
  <c r="BI96" i="18"/>
  <c r="BH96" i="18"/>
  <c r="BG96" i="18"/>
  <c r="BF96" i="18"/>
  <c r="BE96" i="18"/>
  <c r="BJ95" i="18"/>
  <c r="BI95" i="18"/>
  <c r="BH95" i="18"/>
  <c r="BG95" i="18"/>
  <c r="BF95" i="18"/>
  <c r="BE95" i="18"/>
  <c r="BJ94" i="18"/>
  <c r="BI94" i="18"/>
  <c r="BH94" i="18"/>
  <c r="BG94" i="18"/>
  <c r="BF94" i="18"/>
  <c r="BE94" i="18"/>
  <c r="BJ93" i="18"/>
  <c r="BI93" i="18"/>
  <c r="BH93" i="18"/>
  <c r="BG93" i="18"/>
  <c r="BF93" i="18"/>
  <c r="BE93" i="18"/>
  <c r="W94" i="18"/>
  <c r="W95" i="18"/>
  <c r="W96" i="18"/>
  <c r="W97" i="18"/>
  <c r="W98" i="18"/>
  <c r="W99" i="18"/>
  <c r="W100" i="18"/>
  <c r="W102" i="18"/>
  <c r="CB102" i="18" s="1"/>
  <c r="W103" i="18"/>
  <c r="W106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93" i="18"/>
  <c r="BK48" i="18"/>
  <c r="BK61" i="18"/>
  <c r="BK72" i="18"/>
  <c r="BK74" i="18"/>
  <c r="BK78" i="18"/>
  <c r="BK82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5" i="18"/>
  <c r="BU214" i="18" l="1"/>
  <c r="BB220" i="18"/>
  <c r="BX212" i="18"/>
  <c r="BH85" i="18"/>
  <c r="BG85" i="18"/>
  <c r="BE85" i="18"/>
  <c r="CS85" i="18"/>
  <c r="BK215" i="18"/>
  <c r="BS215" i="18"/>
  <c r="BX215" i="18" s="1"/>
  <c r="CB215" i="18"/>
  <c r="BS217" i="18"/>
  <c r="BX217" i="18" s="1"/>
  <c r="CB217" i="18"/>
  <c r="BK217" i="18"/>
  <c r="BY217" i="18" s="1"/>
  <c r="BK214" i="18"/>
  <c r="BS214" i="18"/>
  <c r="BX214" i="18" s="1"/>
  <c r="CB214" i="18"/>
  <c r="BK212" i="18"/>
  <c r="CB212" i="18"/>
  <c r="CO212" i="18"/>
  <c r="CY212" i="18" s="1"/>
  <c r="BE124" i="18"/>
  <c r="BF85" i="18"/>
  <c r="BF124" i="18"/>
  <c r="BK211" i="18"/>
  <c r="BJ124" i="18"/>
  <c r="BS211" i="18"/>
  <c r="BX211" i="18" s="1"/>
  <c r="BI85" i="18"/>
  <c r="BJ85" i="18"/>
  <c r="AR211" i="18"/>
  <c r="BG124" i="18"/>
  <c r="BH124" i="18"/>
  <c r="BI124" i="18"/>
  <c r="BY214" i="18" l="1"/>
  <c r="BY215" i="18"/>
  <c r="BY212" i="18"/>
  <c r="BY211" i="18"/>
  <c r="BL103" i="38" l="1"/>
  <c r="BC76" i="18"/>
  <c r="AI116" i="38" l="1"/>
  <c r="AI115" i="38"/>
  <c r="AI114" i="38"/>
  <c r="CD119" i="18"/>
  <c r="CD115" i="18"/>
  <c r="BC84" i="18"/>
  <c r="BV84" i="18" s="1"/>
  <c r="CF127" i="36"/>
  <c r="CF128" i="36"/>
  <c r="CF129" i="36"/>
  <c r="CF130" i="36"/>
  <c r="CF131" i="36"/>
  <c r="CF13" i="36"/>
  <c r="BL105" i="38"/>
  <c r="BL106" i="38"/>
  <c r="BL7" i="20"/>
  <c r="BL114" i="38"/>
  <c r="BL115" i="38"/>
  <c r="BL104" i="38"/>
  <c r="CD126" i="18" l="1"/>
  <c r="BL55" i="34"/>
  <c r="BL71" i="34"/>
  <c r="BL73" i="34" s="1"/>
  <c r="BH71" i="34"/>
  <c r="BL63" i="34"/>
  <c r="BL9" i="20" l="1"/>
  <c r="BL5" i="20"/>
  <c r="BL116" i="38"/>
  <c r="CN107" i="20"/>
  <c r="CN106" i="20"/>
  <c r="CN105" i="20"/>
  <c r="CN104" i="20"/>
  <c r="CN103" i="20"/>
  <c r="CN102" i="20"/>
  <c r="CN101" i="20"/>
  <c r="CN100" i="20"/>
  <c r="CN91" i="20"/>
  <c r="CN90" i="20"/>
  <c r="CN89" i="20"/>
  <c r="CN88" i="20"/>
  <c r="CN87" i="20"/>
  <c r="CN86" i="20"/>
  <c r="BW86" i="20"/>
  <c r="CA86" i="20" s="1"/>
  <c r="CN85" i="20"/>
  <c r="CN84" i="20"/>
  <c r="CN83" i="20"/>
  <c r="CN82" i="20"/>
  <c r="CN81" i="20"/>
  <c r="CN80" i="20"/>
  <c r="CN79" i="20"/>
  <c r="CN78" i="20"/>
  <c r="CN77" i="20"/>
  <c r="BW77" i="20"/>
  <c r="CA77" i="20" s="1"/>
  <c r="CN76" i="20"/>
  <c r="BW76" i="20"/>
  <c r="CA76" i="20" s="1"/>
  <c r="CN75" i="20"/>
  <c r="CN66" i="20"/>
  <c r="CN65" i="20"/>
  <c r="CN64" i="20"/>
  <c r="BW64" i="20"/>
  <c r="CA64" i="20" s="1"/>
  <c r="CN52" i="20"/>
  <c r="CN39" i="20"/>
  <c r="CN38" i="20"/>
  <c r="CN37" i="20"/>
  <c r="CN36" i="20"/>
  <c r="CN35" i="20"/>
  <c r="CN34" i="20"/>
  <c r="CN33" i="20"/>
  <c r="CN115" i="20"/>
  <c r="CN114" i="20"/>
  <c r="BK112" i="20"/>
  <c r="CN99" i="20"/>
  <c r="CN98" i="20"/>
  <c r="CN74" i="20"/>
  <c r="CN73" i="20"/>
  <c r="BW73" i="20"/>
  <c r="CA73" i="20" s="1"/>
  <c r="BK71" i="20"/>
  <c r="CN47" i="20"/>
  <c r="CN46" i="20"/>
  <c r="BK44" i="20"/>
  <c r="CN32" i="20"/>
  <c r="CN31" i="20"/>
  <c r="BK29" i="20"/>
  <c r="CN24" i="20"/>
  <c r="CN23" i="20"/>
  <c r="BK21" i="20"/>
  <c r="CN15" i="20"/>
  <c r="CN10" i="20"/>
  <c r="CN9" i="20"/>
  <c r="CN7" i="20"/>
  <c r="CN6" i="20"/>
  <c r="CA6" i="20"/>
  <c r="CN5" i="20"/>
  <c r="CN245" i="38"/>
  <c r="CN236" i="38"/>
  <c r="CN227" i="38"/>
  <c r="CN226" i="38"/>
  <c r="CN217" i="38"/>
  <c r="CN208" i="38"/>
  <c r="CN199" i="38"/>
  <c r="CN198" i="38"/>
  <c r="CN197" i="38"/>
  <c r="CN196" i="38"/>
  <c r="CN195" i="38"/>
  <c r="CN194" i="38"/>
  <c r="CN185" i="38"/>
  <c r="CN184" i="38"/>
  <c r="CN183" i="38"/>
  <c r="CN182" i="38"/>
  <c r="CN181" i="38"/>
  <c r="CN180" i="38"/>
  <c r="CN179" i="38"/>
  <c r="CN170" i="38"/>
  <c r="CN169" i="38"/>
  <c r="CN160" i="38"/>
  <c r="CN159" i="38"/>
  <c r="CN158" i="38"/>
  <c r="BW158" i="38"/>
  <c r="CA158" i="38" s="1"/>
  <c r="CN149" i="38"/>
  <c r="BW149" i="38"/>
  <c r="CA149" i="38" s="1"/>
  <c r="CN148" i="38"/>
  <c r="BW148" i="38"/>
  <c r="CA148" i="38" s="1"/>
  <c r="CN147" i="38"/>
  <c r="BW147" i="38"/>
  <c r="CA147" i="38" s="1"/>
  <c r="CN138" i="38"/>
  <c r="CN137" i="38"/>
  <c r="CN136" i="38"/>
  <c r="CN127" i="38"/>
  <c r="CN126" i="38"/>
  <c r="CN117" i="38"/>
  <c r="BL117" i="38"/>
  <c r="CN116" i="38"/>
  <c r="CN107" i="38"/>
  <c r="BL107" i="38"/>
  <c r="CN106" i="38"/>
  <c r="CN105" i="38"/>
  <c r="CN96" i="38"/>
  <c r="CN95" i="38"/>
  <c r="CN94" i="38"/>
  <c r="CN85" i="38"/>
  <c r="CN84" i="38"/>
  <c r="CN83" i="38"/>
  <c r="CN73" i="38"/>
  <c r="CN63" i="38"/>
  <c r="CN62" i="38"/>
  <c r="CN61" i="38"/>
  <c r="CN52" i="38"/>
  <c r="CN51" i="38"/>
  <c r="CN50" i="38"/>
  <c r="CN41" i="38"/>
  <c r="CN40" i="38"/>
  <c r="CN31" i="38"/>
  <c r="CN30" i="38"/>
  <c r="CN21" i="38"/>
  <c r="CN20" i="38"/>
  <c r="CN19" i="38"/>
  <c r="CN10" i="38"/>
  <c r="CN9" i="38"/>
  <c r="CN8" i="38"/>
  <c r="CN244" i="38"/>
  <c r="CN243" i="38"/>
  <c r="CN235" i="38"/>
  <c r="CN234" i="38"/>
  <c r="CN225" i="38"/>
  <c r="CN224" i="38"/>
  <c r="BK222" i="38"/>
  <c r="CN216" i="38"/>
  <c r="CN215" i="38"/>
  <c r="CN207" i="38"/>
  <c r="CN206" i="38"/>
  <c r="BK204" i="38"/>
  <c r="CN193" i="38"/>
  <c r="CN192" i="38"/>
  <c r="CN178" i="38"/>
  <c r="CN177" i="38"/>
  <c r="CN168" i="38"/>
  <c r="CN167" i="38"/>
  <c r="BK165" i="38"/>
  <c r="CN157" i="38"/>
  <c r="CN156" i="38"/>
  <c r="BK154" i="38"/>
  <c r="CN146" i="38"/>
  <c r="BW146" i="38"/>
  <c r="CA146" i="38" s="1"/>
  <c r="CN145" i="38"/>
  <c r="BW145" i="38"/>
  <c r="CA145" i="38" s="1"/>
  <c r="BK143" i="38"/>
  <c r="CN135" i="38"/>
  <c r="CN134" i="38"/>
  <c r="CN125" i="38"/>
  <c r="CN124" i="38"/>
  <c r="CN93" i="38"/>
  <c r="CN92" i="38"/>
  <c r="BK90" i="38"/>
  <c r="CN82" i="38"/>
  <c r="CN81" i="38"/>
  <c r="BK79" i="38"/>
  <c r="CN71" i="38"/>
  <c r="CN70" i="38"/>
  <c r="CN60" i="38"/>
  <c r="CN59" i="38"/>
  <c r="CN49" i="38"/>
  <c r="CN48" i="38"/>
  <c r="BK46" i="38"/>
  <c r="CN39" i="38"/>
  <c r="CN38" i="38"/>
  <c r="CN29" i="38"/>
  <c r="CN28" i="38"/>
  <c r="BK26" i="38"/>
  <c r="CN18" i="38"/>
  <c r="CN17" i="38"/>
  <c r="BK15" i="38"/>
  <c r="CN7" i="38"/>
  <c r="CN6" i="38"/>
  <c r="BK4" i="38"/>
  <c r="DR263" i="18"/>
  <c r="DR259" i="18"/>
  <c r="DR258" i="18"/>
  <c r="DR249" i="18"/>
  <c r="DR248" i="18"/>
  <c r="DR247" i="18"/>
  <c r="DR246" i="18"/>
  <c r="CO246" i="18"/>
  <c r="CY246" i="18" s="1"/>
  <c r="DR245" i="18"/>
  <c r="DR244" i="18"/>
  <c r="CO244" i="18"/>
  <c r="CY244" i="18" s="1"/>
  <c r="DR243" i="18"/>
  <c r="DR242" i="18"/>
  <c r="DR241" i="18"/>
  <c r="DR240" i="18"/>
  <c r="DR239" i="18"/>
  <c r="DR238" i="18"/>
  <c r="DR237" i="18"/>
  <c r="DR236" i="18"/>
  <c r="DR235" i="18"/>
  <c r="DR234" i="18"/>
  <c r="DR233" i="18"/>
  <c r="DR232" i="18"/>
  <c r="DR231" i="18"/>
  <c r="DR230" i="18"/>
  <c r="DR229" i="18"/>
  <c r="DR220" i="18"/>
  <c r="DR213" i="18"/>
  <c r="DR210" i="18"/>
  <c r="DR209" i="18"/>
  <c r="DR208" i="18"/>
  <c r="DR207" i="18"/>
  <c r="DR206" i="18"/>
  <c r="DR205" i="18"/>
  <c r="DR204" i="18"/>
  <c r="DR203" i="18"/>
  <c r="DR202" i="18"/>
  <c r="DR201" i="18"/>
  <c r="DR200" i="18"/>
  <c r="DR199" i="18"/>
  <c r="DR198" i="18"/>
  <c r="DR197" i="18"/>
  <c r="DR196" i="18"/>
  <c r="DR195" i="18"/>
  <c r="DR194" i="18"/>
  <c r="DR193" i="18"/>
  <c r="DR192" i="18"/>
  <c r="DR191" i="18"/>
  <c r="DR190" i="18"/>
  <c r="DR189" i="18"/>
  <c r="DR188" i="18"/>
  <c r="DR187" i="18"/>
  <c r="DR186" i="18"/>
  <c r="DR185" i="18"/>
  <c r="DR184" i="18"/>
  <c r="DR183" i="18"/>
  <c r="DR182" i="18"/>
  <c r="DR273" i="18"/>
  <c r="DR272" i="18"/>
  <c r="CC270" i="18"/>
  <c r="DR257" i="18"/>
  <c r="DR256" i="18"/>
  <c r="CC254" i="18"/>
  <c r="DR228" i="18"/>
  <c r="DR227" i="18"/>
  <c r="CC225" i="18"/>
  <c r="DR181" i="18"/>
  <c r="DR180" i="18"/>
  <c r="CC178" i="18"/>
  <c r="DR173" i="18"/>
  <c r="DR172" i="18"/>
  <c r="CC170" i="18"/>
  <c r="DR164" i="18"/>
  <c r="DR163" i="18"/>
  <c r="CC161" i="18"/>
  <c r="DR156" i="18"/>
  <c r="DR155" i="18"/>
  <c r="CC153" i="18"/>
  <c r="DR148" i="18"/>
  <c r="DR147" i="18"/>
  <c r="CC145" i="18"/>
  <c r="DR140" i="18"/>
  <c r="DR139" i="18"/>
  <c r="CC137" i="18"/>
  <c r="DR131" i="18"/>
  <c r="DR130" i="18"/>
  <c r="CO130" i="18"/>
  <c r="CY130" i="18" s="1"/>
  <c r="DR129" i="18"/>
  <c r="CO129" i="18"/>
  <c r="CY129" i="18" s="1"/>
  <c r="DR128" i="18"/>
  <c r="CO128" i="18"/>
  <c r="CY128" i="18" s="1"/>
  <c r="DR127" i="18"/>
  <c r="CO127" i="18"/>
  <c r="CY127" i="18" s="1"/>
  <c r="DR126" i="18"/>
  <c r="CO126" i="18"/>
  <c r="CY126" i="18" s="1"/>
  <c r="DR125" i="18"/>
  <c r="CO125" i="18"/>
  <c r="CY125" i="18" s="1"/>
  <c r="DR124" i="18"/>
  <c r="DR123" i="18"/>
  <c r="DR122" i="18"/>
  <c r="DR121" i="18"/>
  <c r="DR120" i="18"/>
  <c r="DR119" i="18"/>
  <c r="DR118" i="18"/>
  <c r="DR117" i="18"/>
  <c r="DR116" i="18"/>
  <c r="DR115" i="18"/>
  <c r="DR114" i="18"/>
  <c r="DR111" i="18"/>
  <c r="DR110" i="18"/>
  <c r="DR109" i="18"/>
  <c r="DR108" i="18"/>
  <c r="DR106" i="18"/>
  <c r="DR104" i="18"/>
  <c r="DR103" i="18"/>
  <c r="CO103" i="18"/>
  <c r="CY103" i="18" s="1"/>
  <c r="DR102" i="18"/>
  <c r="DR101" i="18"/>
  <c r="DR100" i="18"/>
  <c r="DR99" i="18"/>
  <c r="DR98" i="18"/>
  <c r="DR97" i="18"/>
  <c r="DR96" i="18"/>
  <c r="DR95" i="18"/>
  <c r="DR94" i="18"/>
  <c r="DR93" i="18"/>
  <c r="CC91" i="18"/>
  <c r="DR85" i="18"/>
  <c r="DR84" i="18"/>
  <c r="CY84" i="18"/>
  <c r="DR83" i="18"/>
  <c r="CY83" i="18"/>
  <c r="DR82" i="18"/>
  <c r="CY82" i="18"/>
  <c r="DR81" i="18"/>
  <c r="CY81" i="18"/>
  <c r="DR80" i="18"/>
  <c r="CY80" i="18"/>
  <c r="DR79" i="18"/>
  <c r="CY79" i="18"/>
  <c r="DR78" i="18"/>
  <c r="CY78" i="18"/>
  <c r="DR77" i="18"/>
  <c r="CY77" i="18"/>
  <c r="DR76" i="18"/>
  <c r="CY76" i="18"/>
  <c r="DR75" i="18"/>
  <c r="CY75" i="18"/>
  <c r="DR74" i="18"/>
  <c r="CY74" i="18"/>
  <c r="DR73" i="18"/>
  <c r="CY73" i="18"/>
  <c r="DR72" i="18"/>
  <c r="CY72" i="18"/>
  <c r="DR71" i="18"/>
  <c r="CY71" i="18"/>
  <c r="DR70" i="18"/>
  <c r="CY70" i="18"/>
  <c r="DR69" i="18"/>
  <c r="CY69" i="18"/>
  <c r="DR68" i="18"/>
  <c r="CY68" i="18"/>
  <c r="DR67" i="18"/>
  <c r="CY67" i="18"/>
  <c r="DR66" i="18"/>
  <c r="CY66" i="18"/>
  <c r="DR65" i="18"/>
  <c r="CY65" i="18"/>
  <c r="DR64" i="18"/>
  <c r="CY64" i="18"/>
  <c r="DR63" i="18"/>
  <c r="CY63" i="18"/>
  <c r="DR62" i="18"/>
  <c r="CY62" i="18"/>
  <c r="DR61" i="18"/>
  <c r="CY61" i="18"/>
  <c r="DR60" i="18"/>
  <c r="CY60" i="18"/>
  <c r="DR59" i="18"/>
  <c r="CY59" i="18"/>
  <c r="DR58" i="18"/>
  <c r="CY58" i="18"/>
  <c r="DR57" i="18"/>
  <c r="CY57" i="18"/>
  <c r="DR56" i="18"/>
  <c r="CY56" i="18"/>
  <c r="DR55" i="18"/>
  <c r="CY55" i="18"/>
  <c r="DR54" i="18"/>
  <c r="CY54" i="18"/>
  <c r="DR53" i="18"/>
  <c r="CY53" i="18"/>
  <c r="DR52" i="18"/>
  <c r="CY52" i="18"/>
  <c r="DR51" i="18"/>
  <c r="CY51" i="18"/>
  <c r="DR50" i="18"/>
  <c r="CY50" i="18"/>
  <c r="DR49" i="18"/>
  <c r="CY49" i="18"/>
  <c r="DR48" i="18"/>
  <c r="CY48" i="18"/>
  <c r="DR47" i="18"/>
  <c r="CY47" i="18"/>
  <c r="DR46" i="18"/>
  <c r="CY46" i="18"/>
  <c r="DR45" i="18"/>
  <c r="CY45" i="18"/>
  <c r="DR44" i="18"/>
  <c r="CY44" i="18"/>
  <c r="DR43" i="18"/>
  <c r="CY43" i="18"/>
  <c r="DR42" i="18"/>
  <c r="CY42" i="18"/>
  <c r="DR41" i="18"/>
  <c r="CY41" i="18"/>
  <c r="DR40" i="18"/>
  <c r="CY40" i="18"/>
  <c r="DR39" i="18"/>
  <c r="CY39" i="18"/>
  <c r="DR38" i="18"/>
  <c r="CY38" i="18"/>
  <c r="DR37" i="18"/>
  <c r="CY37" i="18"/>
  <c r="DR36" i="18"/>
  <c r="CY36" i="18"/>
  <c r="DR35" i="18"/>
  <c r="DR34" i="18"/>
  <c r="CY34" i="18"/>
  <c r="DR33" i="18"/>
  <c r="DR32" i="18"/>
  <c r="CY32" i="18"/>
  <c r="DR31" i="18"/>
  <c r="CY31" i="18"/>
  <c r="DR30" i="18"/>
  <c r="CY30" i="18"/>
  <c r="DR29" i="18"/>
  <c r="CY29" i="18"/>
  <c r="DR28" i="18"/>
  <c r="CY28" i="18"/>
  <c r="DR27" i="18"/>
  <c r="CY27" i="18"/>
  <c r="DR26" i="18"/>
  <c r="CY26" i="18"/>
  <c r="DR25" i="18"/>
  <c r="CY25" i="18"/>
  <c r="DR24" i="18"/>
  <c r="CY24" i="18"/>
  <c r="DR23" i="18"/>
  <c r="CY23" i="18"/>
  <c r="DR22" i="18"/>
  <c r="CY22" i="18"/>
  <c r="DR21" i="18"/>
  <c r="CY21" i="18"/>
  <c r="DR20" i="18"/>
  <c r="CY20" i="18"/>
  <c r="DR19" i="18"/>
  <c r="CY19" i="18"/>
  <c r="DR18" i="18"/>
  <c r="CY18" i="18"/>
  <c r="DR17" i="18"/>
  <c r="CY17" i="18"/>
  <c r="DR16" i="18"/>
  <c r="CY16" i="18"/>
  <c r="DR15" i="18"/>
  <c r="CY15" i="18"/>
  <c r="DR14" i="18"/>
  <c r="CY14" i="18"/>
  <c r="DR13" i="18"/>
  <c r="CY13" i="18"/>
  <c r="DR12" i="18"/>
  <c r="CY12" i="18"/>
  <c r="DR11" i="18"/>
  <c r="CY11" i="18"/>
  <c r="DR10" i="18"/>
  <c r="CY10" i="18"/>
  <c r="DR9" i="18"/>
  <c r="CY9" i="18"/>
  <c r="DR8" i="18"/>
  <c r="CY8" i="18"/>
  <c r="DR7" i="18"/>
  <c r="CY7" i="18"/>
  <c r="DR6" i="18"/>
  <c r="CY6" i="18"/>
  <c r="DR5" i="18"/>
  <c r="CY5" i="18"/>
  <c r="CC3" i="18"/>
  <c r="CN196" i="34"/>
  <c r="CN195" i="34"/>
  <c r="CN194" i="34"/>
  <c r="BK192" i="34"/>
  <c r="CN187" i="34"/>
  <c r="CN186" i="34"/>
  <c r="BW186" i="34"/>
  <c r="CA186" i="34" s="1"/>
  <c r="CN185" i="34"/>
  <c r="BK183" i="34"/>
  <c r="CN178" i="34"/>
  <c r="CN177" i="34"/>
  <c r="CN176" i="34"/>
  <c r="BK174" i="34"/>
  <c r="CN169" i="34"/>
  <c r="CN168" i="34"/>
  <c r="CN161" i="34"/>
  <c r="BW161" i="34"/>
  <c r="CA161" i="34" s="1"/>
  <c r="CN160" i="34"/>
  <c r="CN159" i="34"/>
  <c r="CN158" i="34"/>
  <c r="CN157" i="34"/>
  <c r="CN156" i="34"/>
  <c r="CN155" i="34"/>
  <c r="CN154" i="34"/>
  <c r="CN153" i="34"/>
  <c r="CN152" i="34"/>
  <c r="CN151" i="34"/>
  <c r="CN150" i="34"/>
  <c r="CN149" i="34"/>
  <c r="CN148" i="34"/>
  <c r="CN147" i="34"/>
  <c r="CN146" i="34"/>
  <c r="CN145" i="34"/>
  <c r="CN144" i="34"/>
  <c r="CN143" i="34"/>
  <c r="CN136" i="34"/>
  <c r="CN130" i="34"/>
  <c r="CN127" i="34"/>
  <c r="BK125" i="34"/>
  <c r="CN120" i="34"/>
  <c r="BW120" i="34"/>
  <c r="CA120" i="34" s="1"/>
  <c r="CN119" i="34"/>
  <c r="CN116" i="34"/>
  <c r="CN115" i="34"/>
  <c r="CN114" i="34"/>
  <c r="CN113" i="34"/>
  <c r="CN112" i="34"/>
  <c r="CN111" i="34"/>
  <c r="CN110" i="34"/>
  <c r="BK108" i="34"/>
  <c r="CN103" i="34"/>
  <c r="BW103" i="34"/>
  <c r="CA103" i="34" s="1"/>
  <c r="CN102" i="34"/>
  <c r="CN101" i="34"/>
  <c r="CN100" i="34"/>
  <c r="CN99" i="34"/>
  <c r="CN98" i="34"/>
  <c r="CN97" i="34"/>
  <c r="CN96" i="34"/>
  <c r="CN95" i="34"/>
  <c r="CN94" i="34"/>
  <c r="BK92" i="34"/>
  <c r="CN87" i="34"/>
  <c r="CN86" i="34"/>
  <c r="CN85" i="34"/>
  <c r="CN84" i="34"/>
  <c r="CN83" i="34"/>
  <c r="CN82" i="34"/>
  <c r="CN81" i="34"/>
  <c r="CN80" i="34"/>
  <c r="BW80" i="34"/>
  <c r="CA80" i="34" s="1"/>
  <c r="BK78" i="34"/>
  <c r="CN73" i="34"/>
  <c r="CN72" i="34"/>
  <c r="CN71" i="34"/>
  <c r="CN70" i="34"/>
  <c r="CN63" i="34"/>
  <c r="CN56" i="34"/>
  <c r="BW56" i="34"/>
  <c r="CA56" i="34" s="1"/>
  <c r="CN55" i="34"/>
  <c r="CN48" i="34"/>
  <c r="BW48" i="34"/>
  <c r="CA48" i="34" s="1"/>
  <c r="CN47" i="34"/>
  <c r="CN46" i="34"/>
  <c r="CN45" i="34"/>
  <c r="BW45" i="34"/>
  <c r="CA45" i="34" s="1"/>
  <c r="BK43" i="34"/>
  <c r="CN38" i="34"/>
  <c r="CN37" i="34"/>
  <c r="CN36" i="34"/>
  <c r="CN35" i="34"/>
  <c r="CN34" i="34"/>
  <c r="CN33" i="34"/>
  <c r="CN32" i="34"/>
  <c r="CN31" i="34"/>
  <c r="BW31" i="34"/>
  <c r="CA31" i="34" s="1"/>
  <c r="CN30" i="34"/>
  <c r="CN29" i="34"/>
  <c r="CN28" i="34"/>
  <c r="CN27" i="34"/>
  <c r="CN26" i="34"/>
  <c r="CN25" i="34"/>
  <c r="BW25" i="34"/>
  <c r="CA25" i="34" s="1"/>
  <c r="BK23" i="34"/>
  <c r="CN7" i="34"/>
  <c r="CN6" i="34"/>
  <c r="BK4" i="34"/>
  <c r="CN18" i="34"/>
  <c r="CN17" i="34"/>
  <c r="CN16" i="34"/>
  <c r="CN15" i="34"/>
  <c r="CN14" i="34"/>
  <c r="BW14" i="34"/>
  <c r="CA14" i="34" s="1"/>
  <c r="BK12" i="34"/>
  <c r="CF101" i="36"/>
  <c r="AY100" i="36"/>
  <c r="CF92" i="36"/>
  <c r="CF93" i="36" s="1"/>
  <c r="CU206" i="36"/>
  <c r="DH205" i="36"/>
  <c r="CF205" i="36"/>
  <c r="DH204" i="36"/>
  <c r="CE202" i="36"/>
  <c r="DH197" i="36"/>
  <c r="DH196" i="36"/>
  <c r="DH195" i="36"/>
  <c r="DH194" i="36"/>
  <c r="DH193" i="36"/>
  <c r="DH192" i="36"/>
  <c r="DH191" i="36"/>
  <c r="DH190" i="36"/>
  <c r="DH189" i="36"/>
  <c r="DH188" i="36"/>
  <c r="DH187" i="36"/>
  <c r="DH186" i="36"/>
  <c r="DH185" i="36"/>
  <c r="DH184" i="36"/>
  <c r="DH183" i="36"/>
  <c r="DH182" i="36"/>
  <c r="DH181" i="36"/>
  <c r="DH180" i="36"/>
  <c r="DH179" i="36"/>
  <c r="DH178" i="36"/>
  <c r="DH177" i="36"/>
  <c r="DH176" i="36"/>
  <c r="DH175" i="36"/>
  <c r="DH174" i="36"/>
  <c r="CQ174" i="36"/>
  <c r="CU174" i="36" s="1"/>
  <c r="DH173" i="36"/>
  <c r="DH172" i="36"/>
  <c r="DH171" i="36"/>
  <c r="DH169" i="36"/>
  <c r="DH168" i="36"/>
  <c r="DH167" i="36"/>
  <c r="CQ167" i="36"/>
  <c r="CU167" i="36" s="1"/>
  <c r="CE165" i="36"/>
  <c r="DH160" i="36"/>
  <c r="DH159" i="36"/>
  <c r="DH158" i="36"/>
  <c r="DH157" i="36"/>
  <c r="DH156" i="36"/>
  <c r="DH155" i="36"/>
  <c r="DH154" i="36"/>
  <c r="CQ154" i="36"/>
  <c r="CU154" i="36" s="1"/>
  <c r="DH153" i="36"/>
  <c r="DH152" i="36"/>
  <c r="CQ152" i="36"/>
  <c r="CU152" i="36" s="1"/>
  <c r="DH151" i="36"/>
  <c r="DH150" i="36"/>
  <c r="DH149" i="36"/>
  <c r="DH148" i="36"/>
  <c r="DH147" i="36"/>
  <c r="DH146" i="36"/>
  <c r="DH145" i="36"/>
  <c r="CQ145" i="36"/>
  <c r="CU145" i="36" s="1"/>
  <c r="CE143" i="36"/>
  <c r="DH119" i="36"/>
  <c r="DH118" i="36"/>
  <c r="DH117" i="36"/>
  <c r="DH116" i="36"/>
  <c r="DH115" i="36"/>
  <c r="DH114" i="36"/>
  <c r="DH113" i="36"/>
  <c r="CQ113" i="36"/>
  <c r="CU113" i="36" s="1"/>
  <c r="DH112" i="36"/>
  <c r="DH111" i="36"/>
  <c r="DH110" i="36"/>
  <c r="DH109" i="36"/>
  <c r="DH108" i="36"/>
  <c r="CQ108" i="36"/>
  <c r="CU108" i="36" s="1"/>
  <c r="CE106" i="36"/>
  <c r="DH93" i="36"/>
  <c r="DH92" i="36"/>
  <c r="DH91" i="36"/>
  <c r="CQ91" i="36"/>
  <c r="CU91" i="36" s="1"/>
  <c r="DH90" i="36"/>
  <c r="DH89" i="36"/>
  <c r="DH88" i="36"/>
  <c r="DH87" i="36"/>
  <c r="CQ87" i="36"/>
  <c r="CU87" i="36" s="1"/>
  <c r="CE85" i="36"/>
  <c r="DH80" i="36"/>
  <c r="DH79" i="36"/>
  <c r="DH78" i="36"/>
  <c r="DH77" i="36"/>
  <c r="CQ77" i="36"/>
  <c r="CU77" i="36" s="1"/>
  <c r="DH76" i="36"/>
  <c r="DH75" i="36"/>
  <c r="CQ75" i="36"/>
  <c r="CU75" i="36" s="1"/>
  <c r="DH74" i="36"/>
  <c r="DH73" i="36"/>
  <c r="DH72" i="36"/>
  <c r="DH71" i="36"/>
  <c r="CQ71" i="36"/>
  <c r="CU71" i="36" s="1"/>
  <c r="DH70" i="36"/>
  <c r="DH69" i="36"/>
  <c r="DH68" i="36"/>
  <c r="DH67" i="36"/>
  <c r="DH66" i="36"/>
  <c r="DH65" i="36"/>
  <c r="CQ65" i="36"/>
  <c r="CU65" i="36" s="1"/>
  <c r="DH64" i="36"/>
  <c r="DH63" i="36"/>
  <c r="DH62" i="36"/>
  <c r="DH61" i="36"/>
  <c r="DH60" i="36"/>
  <c r="DH59" i="36"/>
  <c r="DH58" i="36"/>
  <c r="DH57" i="36"/>
  <c r="DH56" i="36"/>
  <c r="DH55" i="36"/>
  <c r="DH54" i="36"/>
  <c r="DH53" i="36"/>
  <c r="DH52" i="36"/>
  <c r="CQ52" i="36"/>
  <c r="CU52" i="36" s="1"/>
  <c r="DH51" i="36"/>
  <c r="CU51" i="36"/>
  <c r="DH50" i="36"/>
  <c r="CU50" i="36"/>
  <c r="DH49" i="36"/>
  <c r="CU49" i="36"/>
  <c r="DH48" i="36"/>
  <c r="CU48" i="36"/>
  <c r="DH47" i="36"/>
  <c r="CU47" i="36"/>
  <c r="DH46" i="36"/>
  <c r="CQ46" i="36"/>
  <c r="CU46" i="36" s="1"/>
  <c r="CE44" i="36"/>
  <c r="DH39" i="36"/>
  <c r="DH38" i="36"/>
  <c r="DH37" i="36"/>
  <c r="DH36" i="36"/>
  <c r="DH35" i="36"/>
  <c r="DH34" i="36"/>
  <c r="DH33" i="36"/>
  <c r="DH32" i="36"/>
  <c r="CF10" i="36"/>
  <c r="CF9" i="36"/>
  <c r="CF8" i="36"/>
  <c r="CF7" i="36"/>
  <c r="CF6" i="36"/>
  <c r="AY7" i="36"/>
  <c r="AY8" i="36"/>
  <c r="AY9" i="36"/>
  <c r="AY10" i="36"/>
  <c r="AY6" i="36"/>
  <c r="AY12" i="36"/>
  <c r="CQ12" i="36" s="1"/>
  <c r="AY13" i="36"/>
  <c r="CQ13" i="36" s="1"/>
  <c r="CF134" i="36"/>
  <c r="CF133" i="36"/>
  <c r="CF132" i="36"/>
  <c r="CB131" i="36"/>
  <c r="CB128" i="36"/>
  <c r="CB129" i="36"/>
  <c r="CB130" i="36"/>
  <c r="CB132" i="36"/>
  <c r="CB133" i="36"/>
  <c r="CB134" i="36"/>
  <c r="CB136" i="36"/>
  <c r="CB137" i="36"/>
  <c r="CF126" i="36"/>
  <c r="A127" i="36"/>
  <c r="A128" i="36" s="1"/>
  <c r="A129" i="36" s="1"/>
  <c r="A130" i="36" s="1"/>
  <c r="A131" i="36" s="1"/>
  <c r="A132" i="36" s="1"/>
  <c r="A133" i="36" s="1"/>
  <c r="A134" i="36" s="1"/>
  <c r="A137" i="36" s="1"/>
  <c r="CI138" i="36"/>
  <c r="CJ138" i="36"/>
  <c r="CS138" i="36"/>
  <c r="CT138" i="36"/>
  <c r="CV138" i="36"/>
  <c r="CW138" i="36"/>
  <c r="CX138" i="36"/>
  <c r="CY138" i="36"/>
  <c r="CZ138" i="36"/>
  <c r="DA138" i="36"/>
  <c r="DB138" i="36"/>
  <c r="DF138" i="36"/>
  <c r="DG138" i="36"/>
  <c r="DH137" i="36"/>
  <c r="CU137" i="36"/>
  <c r="DH135" i="36"/>
  <c r="CP135" i="36"/>
  <c r="CO135" i="36"/>
  <c r="CN135" i="36"/>
  <c r="CM135" i="36"/>
  <c r="CL135" i="36"/>
  <c r="CK135" i="36"/>
  <c r="DH134" i="36"/>
  <c r="DH133" i="36"/>
  <c r="DH132" i="36"/>
  <c r="DH131" i="36"/>
  <c r="DH130" i="36"/>
  <c r="DH129" i="36"/>
  <c r="DH128" i="36"/>
  <c r="DH126" i="36"/>
  <c r="CS25" i="36"/>
  <c r="CT25" i="36"/>
  <c r="CV25" i="36"/>
  <c r="CW25" i="36"/>
  <c r="CX25" i="36"/>
  <c r="CY25" i="36"/>
  <c r="CZ25" i="36"/>
  <c r="DA25" i="36"/>
  <c r="DB25" i="36"/>
  <c r="DC25" i="36"/>
  <c r="DF25" i="36"/>
  <c r="DG25" i="36"/>
  <c r="DH24" i="36"/>
  <c r="DH23" i="36"/>
  <c r="DH22" i="36"/>
  <c r="DH21" i="36"/>
  <c r="DH20" i="36"/>
  <c r="DH19" i="36"/>
  <c r="DH18" i="36"/>
  <c r="CQ18" i="36"/>
  <c r="DH17" i="36"/>
  <c r="DH16" i="36"/>
  <c r="DH15" i="36"/>
  <c r="DH14" i="36"/>
  <c r="CQ14" i="36"/>
  <c r="DH11" i="36"/>
  <c r="CQ11" i="36"/>
  <c r="DH10" i="36"/>
  <c r="DH9" i="36"/>
  <c r="DH8" i="36"/>
  <c r="DH7" i="36"/>
  <c r="DH6" i="36"/>
  <c r="DH5" i="36"/>
  <c r="CQ5" i="36"/>
  <c r="DH1" i="36"/>
  <c r="CT1" i="36"/>
  <c r="CS1" i="36"/>
  <c r="CR1" i="36"/>
  <c r="CQ1" i="36"/>
  <c r="CP1" i="36"/>
  <c r="CO1" i="36"/>
  <c r="CN1" i="36"/>
  <c r="CM1" i="36"/>
  <c r="CL1" i="36"/>
  <c r="CK1" i="36"/>
  <c r="CF1" i="36"/>
  <c r="BD210" i="18"/>
  <c r="BW210" i="18" s="1"/>
  <c r="BC210" i="18"/>
  <c r="BV210" i="18" s="1"/>
  <c r="BB210" i="18"/>
  <c r="BU210" i="18" s="1"/>
  <c r="BA210" i="18"/>
  <c r="BT210" i="18" s="1"/>
  <c r="AZ210" i="18"/>
  <c r="BS210" i="18" s="1"/>
  <c r="AY210" i="18"/>
  <c r="AX210" i="18"/>
  <c r="AW210" i="18"/>
  <c r="BP210" i="18" s="1"/>
  <c r="AV210" i="18"/>
  <c r="BO210" i="18" s="1"/>
  <c r="AU210" i="18"/>
  <c r="AS210" i="18"/>
  <c r="W210" i="18"/>
  <c r="CB210" i="18" s="1"/>
  <c r="CQ100" i="36" l="1"/>
  <c r="CQ101" i="36" s="1"/>
  <c r="BQ100" i="36"/>
  <c r="BQ101" i="36" s="1"/>
  <c r="BX210" i="18"/>
  <c r="CU1" i="36"/>
  <c r="CU135" i="36"/>
  <c r="DD12" i="36"/>
  <c r="DD100" i="36"/>
  <c r="DD13" i="36"/>
  <c r="AY25" i="36"/>
  <c r="CO210" i="18"/>
  <c r="CY210" i="18" s="1"/>
  <c r="AR210" i="18"/>
  <c r="BK210" i="18"/>
  <c r="CF25" i="36"/>
  <c r="CU5" i="36"/>
  <c r="CU11" i="36"/>
  <c r="CF138" i="36"/>
  <c r="CU18" i="36"/>
  <c r="CU14" i="36"/>
  <c r="CE1" i="36"/>
  <c r="CG1" i="36" s="1"/>
  <c r="CM140" i="36"/>
  <c r="DD101" i="36" l="1"/>
  <c r="DD25" i="36"/>
  <c r="BY210" i="18"/>
  <c r="CE3" i="36"/>
  <c r="BZ209" i="18"/>
  <c r="BD209" i="18"/>
  <c r="BW209" i="18" s="1"/>
  <c r="BC209" i="18"/>
  <c r="BV209" i="18" s="1"/>
  <c r="BB209" i="18"/>
  <c r="BU209" i="18" s="1"/>
  <c r="BA209" i="18"/>
  <c r="BT209" i="18" s="1"/>
  <c r="AZ209" i="18"/>
  <c r="AY209" i="18"/>
  <c r="AX209" i="18"/>
  <c r="AW209" i="18"/>
  <c r="BP209" i="18" s="1"/>
  <c r="AV209" i="18"/>
  <c r="BO209" i="18" s="1"/>
  <c r="AU209" i="18"/>
  <c r="AS209" i="18"/>
  <c r="W209" i="18"/>
  <c r="CB209" i="18" s="1"/>
  <c r="BS209" i="18" l="1"/>
  <c r="CO209" i="18"/>
  <c r="CY209" i="18" s="1"/>
  <c r="BK209" i="18"/>
  <c r="BR209" i="18" s="1"/>
  <c r="BX209" i="18" s="1"/>
  <c r="AR209" i="18"/>
  <c r="BY209" i="18" l="1"/>
  <c r="BZ213" i="18"/>
  <c r="BD213" i="18"/>
  <c r="BW213" i="18" s="1"/>
  <c r="BC213" i="18"/>
  <c r="BV213" i="18" s="1"/>
  <c r="BB213" i="18"/>
  <c r="BU213" i="18" s="1"/>
  <c r="BA213" i="18"/>
  <c r="AZ213" i="18"/>
  <c r="AY213" i="18"/>
  <c r="AX213" i="18"/>
  <c r="AW213" i="18"/>
  <c r="BP213" i="18" s="1"/>
  <c r="AV213" i="18"/>
  <c r="BO213" i="18" s="1"/>
  <c r="AU213" i="18"/>
  <c r="AS213" i="18"/>
  <c r="W213" i="18"/>
  <c r="AR213" i="18" s="1"/>
  <c r="S68" i="20"/>
  <c r="BS213" i="18" l="1"/>
  <c r="BX213" i="18" s="1"/>
  <c r="CO213" i="18"/>
  <c r="CY213" i="18" s="1"/>
  <c r="BK213" i="18"/>
  <c r="CB213" i="18"/>
  <c r="BZ208" i="18"/>
  <c r="BD208" i="18"/>
  <c r="BW208" i="18" s="1"/>
  <c r="BC208" i="18"/>
  <c r="BV208" i="18" s="1"/>
  <c r="BB208" i="18"/>
  <c r="BU208" i="18" s="1"/>
  <c r="BA208" i="18"/>
  <c r="BA220" i="18" s="1"/>
  <c r="AZ208" i="18"/>
  <c r="AY208" i="18"/>
  <c r="AY220" i="18" s="1"/>
  <c r="AX208" i="18"/>
  <c r="AW208" i="18"/>
  <c r="BP208" i="18" s="1"/>
  <c r="AV208" i="18"/>
  <c r="BO208" i="18" s="1"/>
  <c r="AU208" i="18"/>
  <c r="AS208" i="18"/>
  <c r="W208" i="18"/>
  <c r="CB208" i="18" s="1"/>
  <c r="T9" i="40"/>
  <c r="K9" i="40"/>
  <c r="AS9" i="40" s="1"/>
  <c r="J9" i="40"/>
  <c r="I9" i="40"/>
  <c r="AQ9" i="40" s="1"/>
  <c r="H9" i="40"/>
  <c r="AP9" i="40" s="1"/>
  <c r="E9" i="40"/>
  <c r="L9" i="40" l="1"/>
  <c r="BT208" i="18"/>
  <c r="BY213" i="18"/>
  <c r="BS208" i="18"/>
  <c r="BX208" i="18" s="1"/>
  <c r="AZ220" i="18"/>
  <c r="CO208" i="18"/>
  <c r="CY208" i="18" s="1"/>
  <c r="BK208" i="18"/>
  <c r="AR208" i="18"/>
  <c r="A8" i="20"/>
  <c r="A9" i="20" s="1"/>
  <c r="A10" i="20" s="1"/>
  <c r="A228" i="18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8" i="18" s="1"/>
  <c r="A181" i="18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BZ50" i="18"/>
  <c r="BZ51" i="18"/>
  <c r="BZ52" i="18"/>
  <c r="BZ53" i="18"/>
  <c r="BZ54" i="18"/>
  <c r="BZ55" i="18"/>
  <c r="BZ56" i="18"/>
  <c r="BZ57" i="18"/>
  <c r="BZ58" i="18"/>
  <c r="BZ59" i="18"/>
  <c r="BZ60" i="18"/>
  <c r="BZ62" i="18"/>
  <c r="BZ63" i="18"/>
  <c r="BZ64" i="18"/>
  <c r="BZ65" i="18"/>
  <c r="BZ66" i="18"/>
  <c r="BZ67" i="18"/>
  <c r="BZ68" i="18"/>
  <c r="BZ69" i="18"/>
  <c r="BZ70" i="18"/>
  <c r="BZ71" i="18"/>
  <c r="BZ49" i="18"/>
  <c r="BX60" i="18"/>
  <c r="BD60" i="18"/>
  <c r="BC60" i="18"/>
  <c r="BB60" i="18"/>
  <c r="BA60" i="18"/>
  <c r="AZ60" i="18"/>
  <c r="AY60" i="18"/>
  <c r="AX60" i="18"/>
  <c r="AW60" i="18"/>
  <c r="AV60" i="18"/>
  <c r="AU60" i="18"/>
  <c r="AT60" i="18"/>
  <c r="CB60" i="18"/>
  <c r="BX59" i="18"/>
  <c r="BD59" i="18"/>
  <c r="BC59" i="18"/>
  <c r="BB59" i="18"/>
  <c r="BA59" i="18"/>
  <c r="AZ59" i="18"/>
  <c r="AY59" i="18"/>
  <c r="AX59" i="18"/>
  <c r="AW59" i="18"/>
  <c r="AV59" i="18"/>
  <c r="AU59" i="18"/>
  <c r="AT59" i="18"/>
  <c r="CB59" i="18"/>
  <c r="BX58" i="18"/>
  <c r="BD58" i="18"/>
  <c r="BC58" i="18"/>
  <c r="BB58" i="18"/>
  <c r="BA58" i="18"/>
  <c r="AZ58" i="18"/>
  <c r="AY58" i="18"/>
  <c r="AX58" i="18"/>
  <c r="AW58" i="18"/>
  <c r="AV58" i="18"/>
  <c r="AU58" i="18"/>
  <c r="AT58" i="18"/>
  <c r="AR58" i="18"/>
  <c r="BX57" i="18"/>
  <c r="BD57" i="18"/>
  <c r="BC57" i="18"/>
  <c r="BB57" i="18"/>
  <c r="BA57" i="18"/>
  <c r="AZ57" i="18"/>
  <c r="AY57" i="18"/>
  <c r="AX57" i="18"/>
  <c r="AW57" i="18"/>
  <c r="AV57" i="18"/>
  <c r="AU57" i="18"/>
  <c r="AT57" i="18"/>
  <c r="CB57" i="18"/>
  <c r="BX56" i="18"/>
  <c r="BD56" i="18"/>
  <c r="BC56" i="18"/>
  <c r="BB56" i="18"/>
  <c r="BA56" i="18"/>
  <c r="AZ56" i="18"/>
  <c r="AY56" i="18"/>
  <c r="AX56" i="18"/>
  <c r="AW56" i="18"/>
  <c r="AV56" i="18"/>
  <c r="AU56" i="18"/>
  <c r="AT56" i="18"/>
  <c r="CB56" i="18"/>
  <c r="BX55" i="18"/>
  <c r="BD55" i="18"/>
  <c r="BC55" i="18"/>
  <c r="BB55" i="18"/>
  <c r="BA55" i="18"/>
  <c r="AZ55" i="18"/>
  <c r="AY55" i="18"/>
  <c r="AX55" i="18"/>
  <c r="AW55" i="18"/>
  <c r="AV55" i="18"/>
  <c r="AU55" i="18"/>
  <c r="AT55" i="18"/>
  <c r="AR55" i="18"/>
  <c r="BX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CB42" i="18"/>
  <c r="BX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CB43" i="18"/>
  <c r="AZ47" i="18"/>
  <c r="AZ46" i="18"/>
  <c r="AZ45" i="18"/>
  <c r="AZ40" i="18"/>
  <c r="D119" i="18"/>
  <c r="W131" i="18"/>
  <c r="W139" i="18"/>
  <c r="W147" i="18"/>
  <c r="W155" i="18"/>
  <c r="A211" i="18" l="1"/>
  <c r="A212" i="18" s="1"/>
  <c r="A213" i="18" s="1"/>
  <c r="A214" i="18" s="1"/>
  <c r="A218" i="18" s="1"/>
  <c r="BK56" i="18"/>
  <c r="BK58" i="18"/>
  <c r="BK55" i="18"/>
  <c r="BK60" i="18"/>
  <c r="BK43" i="18"/>
  <c r="BK57" i="18"/>
  <c r="BK59" i="18"/>
  <c r="CO220" i="18"/>
  <c r="CY220" i="18" s="1"/>
  <c r="BY208" i="18"/>
  <c r="CB58" i="18"/>
  <c r="CB55" i="18"/>
  <c r="AR57" i="18"/>
  <c r="AR60" i="18"/>
  <c r="AR56" i="18"/>
  <c r="AR59" i="18"/>
  <c r="AR42" i="18"/>
  <c r="AR43" i="18"/>
  <c r="CB54" i="18"/>
  <c r="BX54" i="18"/>
  <c r="BD54" i="18"/>
  <c r="BC54" i="18"/>
  <c r="BB54" i="18"/>
  <c r="BA54" i="18"/>
  <c r="AZ54" i="18"/>
  <c r="AY54" i="18"/>
  <c r="AX54" i="18"/>
  <c r="AW54" i="18"/>
  <c r="AV54" i="18"/>
  <c r="AU54" i="18"/>
  <c r="AT54" i="18"/>
  <c r="AR54" i="18"/>
  <c r="BA40" i="18"/>
  <c r="CB53" i="18"/>
  <c r="BX53" i="18"/>
  <c r="BD53" i="18"/>
  <c r="BC53" i="18"/>
  <c r="BB53" i="18"/>
  <c r="BA53" i="18"/>
  <c r="AZ53" i="18"/>
  <c r="AY53" i="18"/>
  <c r="AX53" i="18"/>
  <c r="AW53" i="18"/>
  <c r="AV53" i="18"/>
  <c r="AU53" i="18"/>
  <c r="AT53" i="18"/>
  <c r="AR53" i="18"/>
  <c r="CB52" i="18"/>
  <c r="BX52" i="18"/>
  <c r="BD52" i="18"/>
  <c r="BC52" i="18"/>
  <c r="BB52" i="18"/>
  <c r="BA52" i="18"/>
  <c r="AZ52" i="18"/>
  <c r="AY52" i="18"/>
  <c r="AX52" i="18"/>
  <c r="AW52" i="18"/>
  <c r="AV52" i="18"/>
  <c r="AU52" i="18"/>
  <c r="AT52" i="18"/>
  <c r="AR52" i="18"/>
  <c r="CB51" i="18"/>
  <c r="BX51" i="18"/>
  <c r="BD51" i="18"/>
  <c r="BC51" i="18"/>
  <c r="BB51" i="18"/>
  <c r="BA51" i="18"/>
  <c r="AZ51" i="18"/>
  <c r="AY51" i="18"/>
  <c r="AX51" i="18"/>
  <c r="AW51" i="18"/>
  <c r="AV51" i="18"/>
  <c r="AU51" i="18"/>
  <c r="AT51" i="18"/>
  <c r="AR51" i="18"/>
  <c r="BX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CB49" i="18"/>
  <c r="BX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CB50" i="18"/>
  <c r="AA89" i="18"/>
  <c r="AU31" i="18"/>
  <c r="AG1" i="18"/>
  <c r="BZ45" i="18"/>
  <c r="BZ46" i="18"/>
  <c r="BZ47" i="18"/>
  <c r="AY45" i="18"/>
  <c r="AY46" i="18"/>
  <c r="AY47" i="18"/>
  <c r="AR47" i="18"/>
  <c r="AR46" i="18"/>
  <c r="AR45" i="18"/>
  <c r="BK53" i="18" l="1"/>
  <c r="BY53" i="18" s="1"/>
  <c r="A217" i="18"/>
  <c r="A215" i="18"/>
  <c r="BK52" i="18"/>
  <c r="CA52" i="18" s="1"/>
  <c r="BK49" i="18"/>
  <c r="CA49" i="18" s="1"/>
  <c r="BK51" i="18"/>
  <c r="CA51" i="18" s="1"/>
  <c r="BK50" i="18"/>
  <c r="CA50" i="18" s="1"/>
  <c r="BK54" i="18"/>
  <c r="BZ44" i="18"/>
  <c r="CA44" i="18" s="1"/>
  <c r="BY60" i="18"/>
  <c r="BY59" i="18"/>
  <c r="CA59" i="18"/>
  <c r="BY56" i="18"/>
  <c r="CA56" i="18"/>
  <c r="BY57" i="18"/>
  <c r="CA57" i="18"/>
  <c r="BY55" i="18"/>
  <c r="CA55" i="18"/>
  <c r="CA58" i="18"/>
  <c r="BY58" i="18"/>
  <c r="CA60" i="18"/>
  <c r="BA47" i="18"/>
  <c r="BK47" i="18" s="1"/>
  <c r="BA45" i="18"/>
  <c r="BK45" i="18" s="1"/>
  <c r="BA46" i="18"/>
  <c r="BK46" i="18" s="1"/>
  <c r="AR49" i="18"/>
  <c r="AR50" i="18"/>
  <c r="CA53" i="18" l="1"/>
  <c r="A216" i="18"/>
  <c r="A219" i="18"/>
  <c r="BY47" i="18"/>
  <c r="BY52" i="18"/>
  <c r="BY50" i="18"/>
  <c r="BY49" i="18"/>
  <c r="BY51" i="18"/>
  <c r="BY54" i="18"/>
  <c r="CA54" i="18"/>
  <c r="CA45" i="18"/>
  <c r="BY45" i="18"/>
  <c r="BY46" i="18"/>
  <c r="CA46" i="18"/>
  <c r="CA47" i="18"/>
  <c r="AD9" i="40"/>
  <c r="T11" i="40"/>
  <c r="AR9" i="40" l="1"/>
  <c r="AF9" i="40"/>
  <c r="AD11" i="40"/>
  <c r="U105" i="32"/>
  <c r="A77" i="32"/>
  <c r="A78" i="32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76" i="32"/>
  <c r="A68" i="32"/>
  <c r="A69" i="32" s="1"/>
  <c r="A70" i="32" s="1"/>
  <c r="A71" i="32" s="1"/>
  <c r="A72" i="32" s="1"/>
  <c r="A67" i="32"/>
  <c r="A32" i="32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31" i="32"/>
  <c r="U41" i="32"/>
  <c r="U40" i="32"/>
  <c r="U32" i="32"/>
  <c r="BZ202" i="18" l="1"/>
  <c r="BD202" i="18"/>
  <c r="BW202" i="18" s="1"/>
  <c r="BC202" i="18"/>
  <c r="BV202" i="18" s="1"/>
  <c r="BB202" i="18"/>
  <c r="BU202" i="18" s="1"/>
  <c r="BA202" i="18"/>
  <c r="BT202" i="18" s="1"/>
  <c r="AZ202" i="18"/>
  <c r="AY202" i="18"/>
  <c r="BR202" i="18" s="1"/>
  <c r="AX202" i="18"/>
  <c r="AW202" i="18"/>
  <c r="AV202" i="18"/>
  <c r="BO202" i="18" s="1"/>
  <c r="AU202" i="18"/>
  <c r="AS202" i="18"/>
  <c r="W202" i="18"/>
  <c r="CB202" i="18" s="1"/>
  <c r="BZ205" i="18"/>
  <c r="BD205" i="18"/>
  <c r="BW205" i="18" s="1"/>
  <c r="BC205" i="18"/>
  <c r="BV205" i="18" s="1"/>
  <c r="BB205" i="18"/>
  <c r="BU205" i="18" s="1"/>
  <c r="BA205" i="18"/>
  <c r="BT205" i="18" s="1"/>
  <c r="AZ205" i="18"/>
  <c r="AY205" i="18"/>
  <c r="BR205" i="18" s="1"/>
  <c r="AX205" i="18"/>
  <c r="AW205" i="18"/>
  <c r="BP205" i="18" s="1"/>
  <c r="AV205" i="18"/>
  <c r="BO205" i="18" s="1"/>
  <c r="AU205" i="18"/>
  <c r="AS205" i="18"/>
  <c r="W205" i="18"/>
  <c r="CB205" i="18" s="1"/>
  <c r="BZ206" i="18"/>
  <c r="BD206" i="18"/>
  <c r="BW206" i="18" s="1"/>
  <c r="BC206" i="18"/>
  <c r="BV206" i="18" s="1"/>
  <c r="BB206" i="18"/>
  <c r="BU206" i="18" s="1"/>
  <c r="BA206" i="18"/>
  <c r="BT206" i="18" s="1"/>
  <c r="AZ206" i="18"/>
  <c r="AY206" i="18"/>
  <c r="BR206" i="18" s="1"/>
  <c r="AX206" i="18"/>
  <c r="AW206" i="18"/>
  <c r="BP206" i="18" s="1"/>
  <c r="AV206" i="18"/>
  <c r="BO206" i="18" s="1"/>
  <c r="AU206" i="18"/>
  <c r="AS206" i="18"/>
  <c r="W206" i="18"/>
  <c r="CB206" i="18" s="1"/>
  <c r="BZ204" i="18"/>
  <c r="BD204" i="18"/>
  <c r="BW204" i="18" s="1"/>
  <c r="BC204" i="18"/>
  <c r="BV204" i="18" s="1"/>
  <c r="BB204" i="18"/>
  <c r="BU204" i="18" s="1"/>
  <c r="BA204" i="18"/>
  <c r="BT204" i="18" s="1"/>
  <c r="AZ204" i="18"/>
  <c r="AY204" i="18"/>
  <c r="BR204" i="18" s="1"/>
  <c r="AX204" i="18"/>
  <c r="AW204" i="18"/>
  <c r="BP204" i="18" s="1"/>
  <c r="AV204" i="18"/>
  <c r="BO204" i="18" s="1"/>
  <c r="AU204" i="18"/>
  <c r="AS204" i="18"/>
  <c r="W204" i="18"/>
  <c r="CB204" i="18" s="1"/>
  <c r="BZ201" i="18"/>
  <c r="BD201" i="18"/>
  <c r="BW201" i="18" s="1"/>
  <c r="BC201" i="18"/>
  <c r="BV201" i="18" s="1"/>
  <c r="BB201" i="18"/>
  <c r="BU201" i="18" s="1"/>
  <c r="BA201" i="18"/>
  <c r="BT201" i="18" s="1"/>
  <c r="AZ201" i="18"/>
  <c r="AY201" i="18"/>
  <c r="BR201" i="18" s="1"/>
  <c r="AX201" i="18"/>
  <c r="AW201" i="18"/>
  <c r="AV201" i="18"/>
  <c r="BO201" i="18" s="1"/>
  <c r="AU201" i="18"/>
  <c r="AS201" i="18"/>
  <c r="W201" i="18"/>
  <c r="CB201" i="18" s="1"/>
  <c r="BZ200" i="18"/>
  <c r="BD200" i="18"/>
  <c r="BW200" i="18" s="1"/>
  <c r="BC200" i="18"/>
  <c r="BV200" i="18" s="1"/>
  <c r="BB200" i="18"/>
  <c r="BU200" i="18" s="1"/>
  <c r="BA200" i="18"/>
  <c r="BT200" i="18" s="1"/>
  <c r="AZ200" i="18"/>
  <c r="AY200" i="18"/>
  <c r="BR200" i="18" s="1"/>
  <c r="AX200" i="18"/>
  <c r="BQ200" i="18" s="1"/>
  <c r="AW200" i="18"/>
  <c r="AV200" i="18"/>
  <c r="BO200" i="18" s="1"/>
  <c r="AU200" i="18"/>
  <c r="AS200" i="18"/>
  <c r="W200" i="18"/>
  <c r="CB200" i="18" s="1"/>
  <c r="AT37" i="18"/>
  <c r="BM37" i="18" s="1"/>
  <c r="BZ35" i="18"/>
  <c r="BS200" i="18" l="1"/>
  <c r="BX200" i="18" s="1"/>
  <c r="CO200" i="18"/>
  <c r="CY200" i="18" s="1"/>
  <c r="BS202" i="18"/>
  <c r="BX202" i="18" s="1"/>
  <c r="CO202" i="18"/>
  <c r="CY202" i="18" s="1"/>
  <c r="BS204" i="18"/>
  <c r="BX204" i="18" s="1"/>
  <c r="CO204" i="18"/>
  <c r="CY204" i="18" s="1"/>
  <c r="BS205" i="18"/>
  <c r="BX205" i="18" s="1"/>
  <c r="CO205" i="18"/>
  <c r="CY205" i="18" s="1"/>
  <c r="BS201" i="18"/>
  <c r="BX201" i="18" s="1"/>
  <c r="CO201" i="18"/>
  <c r="CY201" i="18" s="1"/>
  <c r="BS206" i="18"/>
  <c r="BX206" i="18" s="1"/>
  <c r="CO206" i="18"/>
  <c r="CY206" i="18" s="1"/>
  <c r="BK202" i="18"/>
  <c r="AR202" i="18"/>
  <c r="BK205" i="18"/>
  <c r="AR205" i="18"/>
  <c r="BK206" i="18"/>
  <c r="BK204" i="18"/>
  <c r="AR206" i="18"/>
  <c r="AR204" i="18"/>
  <c r="BK201" i="18"/>
  <c r="AR201" i="18"/>
  <c r="BK200" i="18"/>
  <c r="AR200" i="18"/>
  <c r="AG9" i="38"/>
  <c r="AG8" i="38"/>
  <c r="AG6" i="38"/>
  <c r="AH6" i="38"/>
  <c r="AG32" i="20"/>
  <c r="AX70" i="18"/>
  <c r="AY70" i="18"/>
  <c r="AZ70" i="18"/>
  <c r="BA70" i="18"/>
  <c r="BB70" i="18"/>
  <c r="BC70" i="18"/>
  <c r="BD70" i="18"/>
  <c r="AX71" i="18"/>
  <c r="AY71" i="18"/>
  <c r="AZ71" i="18"/>
  <c r="BA71" i="18"/>
  <c r="BB71" i="18"/>
  <c r="BC71" i="18"/>
  <c r="BD71" i="18"/>
  <c r="BH114" i="20"/>
  <c r="AR114" i="20"/>
  <c r="BE114" i="20" s="1"/>
  <c r="AQ114" i="20"/>
  <c r="BD114" i="20" s="1"/>
  <c r="AP114" i="20"/>
  <c r="BC114" i="20" s="1"/>
  <c r="AO114" i="20"/>
  <c r="BB114" i="20" s="1"/>
  <c r="AN114" i="20"/>
  <c r="BW114" i="20" s="1"/>
  <c r="CA114" i="20" s="1"/>
  <c r="AM114" i="20"/>
  <c r="AZ114" i="20" s="1"/>
  <c r="AL114" i="20"/>
  <c r="AK114" i="20"/>
  <c r="AX114" i="20" s="1"/>
  <c r="AJ114" i="20"/>
  <c r="AW114" i="20" s="1"/>
  <c r="AI114" i="20"/>
  <c r="AH114" i="20"/>
  <c r="AU114" i="20" s="1"/>
  <c r="AG114" i="20"/>
  <c r="AT114" i="20" s="1"/>
  <c r="Q114" i="20"/>
  <c r="AF114" i="20" s="1"/>
  <c r="BH35" i="34"/>
  <c r="AR35" i="34"/>
  <c r="BE35" i="34" s="1"/>
  <c r="AQ35" i="34"/>
  <c r="BD35" i="34" s="1"/>
  <c r="AP35" i="34"/>
  <c r="BC35" i="34" s="1"/>
  <c r="AO35" i="34"/>
  <c r="BB35" i="34" s="1"/>
  <c r="AN35" i="34"/>
  <c r="AM35" i="34"/>
  <c r="AZ35" i="34" s="1"/>
  <c r="AL35" i="34"/>
  <c r="AY35" i="34" s="1"/>
  <c r="AK35" i="34"/>
  <c r="AX35" i="34" s="1"/>
  <c r="AJ35" i="34"/>
  <c r="AW35" i="34" s="1"/>
  <c r="AI35" i="34"/>
  <c r="AV35" i="34" s="1"/>
  <c r="AH35" i="34"/>
  <c r="AU35" i="34" s="1"/>
  <c r="AG35" i="34"/>
  <c r="AT35" i="34" s="1"/>
  <c r="Q35" i="34"/>
  <c r="BJ35" i="34" s="1"/>
  <c r="BH36" i="34"/>
  <c r="AR36" i="34"/>
  <c r="BE36" i="34" s="1"/>
  <c r="AQ36" i="34"/>
  <c r="BD36" i="34" s="1"/>
  <c r="AP36" i="34"/>
  <c r="BC36" i="34" s="1"/>
  <c r="AO36" i="34"/>
  <c r="BB36" i="34" s="1"/>
  <c r="AN36" i="34"/>
  <c r="AM36" i="34"/>
  <c r="AZ36" i="34" s="1"/>
  <c r="AL36" i="34"/>
  <c r="AY36" i="34" s="1"/>
  <c r="AK36" i="34"/>
  <c r="AX36" i="34" s="1"/>
  <c r="AJ36" i="34"/>
  <c r="AW36" i="34" s="1"/>
  <c r="AI36" i="34"/>
  <c r="AV36" i="34" s="1"/>
  <c r="AH36" i="34"/>
  <c r="AU36" i="34" s="1"/>
  <c r="AG36" i="34"/>
  <c r="AT36" i="34" s="1"/>
  <c r="Q36" i="34"/>
  <c r="BJ36" i="34" s="1"/>
  <c r="BH34" i="34"/>
  <c r="AR34" i="34"/>
  <c r="BE34" i="34" s="1"/>
  <c r="AQ34" i="34"/>
  <c r="BD34" i="34" s="1"/>
  <c r="AP34" i="34"/>
  <c r="BC34" i="34" s="1"/>
  <c r="AO34" i="34"/>
  <c r="BB34" i="34" s="1"/>
  <c r="AN34" i="34"/>
  <c r="AM34" i="34"/>
  <c r="AZ34" i="34" s="1"/>
  <c r="AL34" i="34"/>
  <c r="AY34" i="34" s="1"/>
  <c r="AK34" i="34"/>
  <c r="AX34" i="34" s="1"/>
  <c r="AJ34" i="34"/>
  <c r="AW34" i="34" s="1"/>
  <c r="AI34" i="34"/>
  <c r="AV34" i="34" s="1"/>
  <c r="AH34" i="34"/>
  <c r="AU34" i="34" s="1"/>
  <c r="AG34" i="34"/>
  <c r="AT34" i="34" s="1"/>
  <c r="Q34" i="34"/>
  <c r="BJ34" i="34" s="1"/>
  <c r="BZ272" i="18"/>
  <c r="BZ273" i="18" s="1"/>
  <c r="BD272" i="18"/>
  <c r="BW272" i="18" s="1"/>
  <c r="BW273" i="18" s="1"/>
  <c r="BC272" i="18"/>
  <c r="BC273" i="18" s="1"/>
  <c r="BB272" i="18"/>
  <c r="BU272" i="18" s="1"/>
  <c r="BA272" i="18"/>
  <c r="BT272" i="18" s="1"/>
  <c r="AZ272" i="18"/>
  <c r="AY272" i="18"/>
  <c r="AY273" i="18" s="1"/>
  <c r="AX272" i="18"/>
  <c r="AX273" i="18" s="1"/>
  <c r="AW272" i="18"/>
  <c r="AW273" i="18" s="1"/>
  <c r="AV272" i="18"/>
  <c r="AV273" i="18" s="1"/>
  <c r="AU272" i="18"/>
  <c r="BN272" i="18" s="1"/>
  <c r="BN273" i="18" s="1"/>
  <c r="AT272" i="18"/>
  <c r="BM272" i="18" s="1"/>
  <c r="AS272" i="18"/>
  <c r="W272" i="18"/>
  <c r="CB272" i="18" s="1"/>
  <c r="CB273" i="18" s="1"/>
  <c r="BM268" i="18"/>
  <c r="D57" i="36"/>
  <c r="D76" i="36"/>
  <c r="CB76" i="36" s="1"/>
  <c r="D60" i="36"/>
  <c r="CB60" i="36" s="1"/>
  <c r="D58" i="36"/>
  <c r="AZ59" i="36"/>
  <c r="BR59" i="36" s="1"/>
  <c r="AY59" i="36"/>
  <c r="BQ59" i="36" s="1"/>
  <c r="AX59" i="36"/>
  <c r="CQ59" i="36" s="1"/>
  <c r="CU59" i="36" s="1"/>
  <c r="AW59" i="36"/>
  <c r="BO59" i="36" s="1"/>
  <c r="AV59" i="36"/>
  <c r="BN59" i="36" s="1"/>
  <c r="AU59" i="36"/>
  <c r="BM59" i="36" s="1"/>
  <c r="AT59" i="36"/>
  <c r="BL59" i="36" s="1"/>
  <c r="AS59" i="36"/>
  <c r="BK59" i="36" s="1"/>
  <c r="AR59" i="36"/>
  <c r="BJ59" i="36" s="1"/>
  <c r="AQ59" i="36"/>
  <c r="BI59" i="36" s="1"/>
  <c r="V59" i="36"/>
  <c r="CB59" i="36"/>
  <c r="BA58" i="36"/>
  <c r="BS58" i="36" s="1"/>
  <c r="AZ58" i="36"/>
  <c r="BR58" i="36" s="1"/>
  <c r="AY58" i="36"/>
  <c r="AX58" i="36"/>
  <c r="AW58" i="36"/>
  <c r="BO58" i="36" s="1"/>
  <c r="AV58" i="36"/>
  <c r="BN58" i="36" s="1"/>
  <c r="AU58" i="36"/>
  <c r="BM58" i="36" s="1"/>
  <c r="AT58" i="36"/>
  <c r="BL58" i="36" s="1"/>
  <c r="AS58" i="36"/>
  <c r="BK58" i="36" s="1"/>
  <c r="AR58" i="36"/>
  <c r="BJ58" i="36" s="1"/>
  <c r="AQ58" i="36"/>
  <c r="BI58" i="36" s="1"/>
  <c r="V58" i="36"/>
  <c r="BA57" i="36"/>
  <c r="BS57" i="36" s="1"/>
  <c r="AZ57" i="36"/>
  <c r="BR57" i="36" s="1"/>
  <c r="AY57" i="36"/>
  <c r="AX57" i="36"/>
  <c r="AW57" i="36"/>
  <c r="BO57" i="36" s="1"/>
  <c r="AV57" i="36"/>
  <c r="BN57" i="36" s="1"/>
  <c r="AU57" i="36"/>
  <c r="BM57" i="36" s="1"/>
  <c r="AT57" i="36"/>
  <c r="BL57" i="36" s="1"/>
  <c r="AS57" i="36"/>
  <c r="BK57" i="36" s="1"/>
  <c r="AR57" i="36"/>
  <c r="BJ57" i="36" s="1"/>
  <c r="AQ57" i="36"/>
  <c r="BI57" i="36" s="1"/>
  <c r="V57" i="36"/>
  <c r="D56" i="36"/>
  <c r="D55" i="36"/>
  <c r="D54" i="36"/>
  <c r="V54" i="36"/>
  <c r="AQ54" i="36"/>
  <c r="BI54" i="36" s="1"/>
  <c r="AR54" i="36"/>
  <c r="BJ54" i="36" s="1"/>
  <c r="AS54" i="36"/>
  <c r="BK54" i="36" s="1"/>
  <c r="AT54" i="36"/>
  <c r="BL54" i="36" s="1"/>
  <c r="AU54" i="36"/>
  <c r="BM54" i="36" s="1"/>
  <c r="AV54" i="36"/>
  <c r="BN54" i="36" s="1"/>
  <c r="AW54" i="36"/>
  <c r="BO54" i="36" s="1"/>
  <c r="AX54" i="36"/>
  <c r="AY54" i="36"/>
  <c r="AZ54" i="36"/>
  <c r="BR54" i="36" s="1"/>
  <c r="BA54" i="36"/>
  <c r="BS54" i="36" s="1"/>
  <c r="V55" i="36"/>
  <c r="AQ55" i="36"/>
  <c r="BI55" i="36" s="1"/>
  <c r="AR55" i="36"/>
  <c r="BJ55" i="36" s="1"/>
  <c r="AS55" i="36"/>
  <c r="BK55" i="36" s="1"/>
  <c r="AT55" i="36"/>
  <c r="BL55" i="36" s="1"/>
  <c r="AU55" i="36"/>
  <c r="BM55" i="36" s="1"/>
  <c r="AV55" i="36"/>
  <c r="BN55" i="36" s="1"/>
  <c r="AW55" i="36"/>
  <c r="BO55" i="36" s="1"/>
  <c r="AX55" i="36"/>
  <c r="AY55" i="36"/>
  <c r="AZ55" i="36"/>
  <c r="BR55" i="36" s="1"/>
  <c r="BA55" i="36"/>
  <c r="BS55" i="36" s="1"/>
  <c r="V56" i="36"/>
  <c r="AQ56" i="36"/>
  <c r="BI56" i="36" s="1"/>
  <c r="AR56" i="36"/>
  <c r="BJ56" i="36" s="1"/>
  <c r="AS56" i="36"/>
  <c r="BK56" i="36" s="1"/>
  <c r="AT56" i="36"/>
  <c r="BL56" i="36" s="1"/>
  <c r="AU56" i="36"/>
  <c r="BM56" i="36" s="1"/>
  <c r="AV56" i="36"/>
  <c r="BN56" i="36" s="1"/>
  <c r="AW56" i="36"/>
  <c r="BO56" i="36" s="1"/>
  <c r="AX56" i="36"/>
  <c r="AY56" i="36"/>
  <c r="AZ56" i="36"/>
  <c r="BR56" i="36" s="1"/>
  <c r="BA56" i="36"/>
  <c r="BS56" i="36" s="1"/>
  <c r="V60" i="36"/>
  <c r="AQ60" i="36"/>
  <c r="BI60" i="36" s="1"/>
  <c r="AR60" i="36"/>
  <c r="BJ60" i="36" s="1"/>
  <c r="AS60" i="36"/>
  <c r="BK60" i="36" s="1"/>
  <c r="AT60" i="36"/>
  <c r="BL60" i="36" s="1"/>
  <c r="AU60" i="36"/>
  <c r="BM60" i="36" s="1"/>
  <c r="AV60" i="36"/>
  <c r="AW60" i="36"/>
  <c r="BO60" i="36" s="1"/>
  <c r="AX60" i="36"/>
  <c r="AY60" i="36"/>
  <c r="AZ60" i="36"/>
  <c r="BR60" i="36" s="1"/>
  <c r="BA60" i="36"/>
  <c r="D53" i="36"/>
  <c r="BZ185" i="18"/>
  <c r="BZ207" i="18"/>
  <c r="BZ203" i="18"/>
  <c r="BZ199" i="18"/>
  <c r="BZ198" i="18"/>
  <c r="BZ197" i="18"/>
  <c r="BZ196" i="18"/>
  <c r="BZ195" i="18"/>
  <c r="BZ193" i="18"/>
  <c r="AW71" i="18"/>
  <c r="AV71" i="18"/>
  <c r="AW70" i="18"/>
  <c r="AV70" i="18"/>
  <c r="BD199" i="18"/>
  <c r="BW199" i="18" s="1"/>
  <c r="BC199" i="18"/>
  <c r="BV199" i="18" s="1"/>
  <c r="BB199" i="18"/>
  <c r="BU199" i="18" s="1"/>
  <c r="BA199" i="18"/>
  <c r="BT199" i="18" s="1"/>
  <c r="AZ199" i="18"/>
  <c r="AY199" i="18"/>
  <c r="BR199" i="18" s="1"/>
  <c r="AX199" i="18"/>
  <c r="BQ199" i="18" s="1"/>
  <c r="AW199" i="18"/>
  <c r="AV199" i="18"/>
  <c r="BO199" i="18" s="1"/>
  <c r="AU199" i="18"/>
  <c r="AS199" i="18"/>
  <c r="W199" i="18"/>
  <c r="CB199" i="18" s="1"/>
  <c r="BD198" i="18"/>
  <c r="BW198" i="18" s="1"/>
  <c r="BC198" i="18"/>
  <c r="BV198" i="18" s="1"/>
  <c r="BB198" i="18"/>
  <c r="BU198" i="18" s="1"/>
  <c r="BA198" i="18"/>
  <c r="BT198" i="18" s="1"/>
  <c r="AZ198" i="18"/>
  <c r="AY198" i="18"/>
  <c r="BR198" i="18" s="1"/>
  <c r="AX198" i="18"/>
  <c r="BQ198" i="18" s="1"/>
  <c r="AW198" i="18"/>
  <c r="AV198" i="18"/>
  <c r="BO198" i="18" s="1"/>
  <c r="AU198" i="18"/>
  <c r="AS198" i="18"/>
  <c r="W198" i="18"/>
  <c r="AR198" i="18" s="1"/>
  <c r="BD203" i="18"/>
  <c r="BW203" i="18" s="1"/>
  <c r="BC203" i="18"/>
  <c r="BV203" i="18" s="1"/>
  <c r="BB203" i="18"/>
  <c r="BU203" i="18" s="1"/>
  <c r="BA203" i="18"/>
  <c r="BT203" i="18" s="1"/>
  <c r="AZ203" i="18"/>
  <c r="AY203" i="18"/>
  <c r="BR203" i="18" s="1"/>
  <c r="AX203" i="18"/>
  <c r="AW203" i="18"/>
  <c r="AV203" i="18"/>
  <c r="BO203" i="18" s="1"/>
  <c r="AU203" i="18"/>
  <c r="AS203" i="18"/>
  <c r="W203" i="18"/>
  <c r="CB203" i="18" s="1"/>
  <c r="W207" i="18"/>
  <c r="CB207" i="18" s="1"/>
  <c r="W197" i="18"/>
  <c r="CB197" i="18" s="1"/>
  <c r="BD196" i="18"/>
  <c r="BW196" i="18" s="1"/>
  <c r="BC196" i="18"/>
  <c r="BV196" i="18" s="1"/>
  <c r="BB196" i="18"/>
  <c r="BU196" i="18" s="1"/>
  <c r="BA196" i="18"/>
  <c r="BT196" i="18" s="1"/>
  <c r="AZ196" i="18"/>
  <c r="AY196" i="18"/>
  <c r="BR196" i="18" s="1"/>
  <c r="AX196" i="18"/>
  <c r="BQ196" i="18" s="1"/>
  <c r="AW196" i="18"/>
  <c r="AV196" i="18"/>
  <c r="AU196" i="18"/>
  <c r="AS196" i="18"/>
  <c r="W196" i="18"/>
  <c r="CB196" i="18" s="1"/>
  <c r="BD195" i="18"/>
  <c r="BW195" i="18" s="1"/>
  <c r="BC195" i="18"/>
  <c r="BV195" i="18" s="1"/>
  <c r="BB195" i="18"/>
  <c r="BU195" i="18" s="1"/>
  <c r="BA195" i="18"/>
  <c r="BT195" i="18" s="1"/>
  <c r="AZ195" i="18"/>
  <c r="AY195" i="18"/>
  <c r="BR195" i="18" s="1"/>
  <c r="AX195" i="18"/>
  <c r="BQ195" i="18" s="1"/>
  <c r="AW195" i="18"/>
  <c r="AV195" i="18"/>
  <c r="AU195" i="18"/>
  <c r="AS195" i="18"/>
  <c r="W195" i="18"/>
  <c r="CB195" i="18" s="1"/>
  <c r="BD194" i="18"/>
  <c r="BW194" i="18" s="1"/>
  <c r="BC194" i="18"/>
  <c r="BV194" i="18" s="1"/>
  <c r="BB194" i="18"/>
  <c r="BU194" i="18" s="1"/>
  <c r="BA194" i="18"/>
  <c r="BT194" i="18" s="1"/>
  <c r="AZ194" i="18"/>
  <c r="AY194" i="18"/>
  <c r="BR194" i="18" s="1"/>
  <c r="AX194" i="18"/>
  <c r="BQ194" i="18" s="1"/>
  <c r="AW194" i="18"/>
  <c r="BP194" i="18" s="1"/>
  <c r="AV194" i="18"/>
  <c r="AU194" i="18"/>
  <c r="AS194" i="18"/>
  <c r="W194" i="18"/>
  <c r="CB194" i="18" s="1"/>
  <c r="BD197" i="18"/>
  <c r="BW197" i="18" s="1"/>
  <c r="BC197" i="18"/>
  <c r="BV197" i="18" s="1"/>
  <c r="BB197" i="18"/>
  <c r="BU197" i="18" s="1"/>
  <c r="BA197" i="18"/>
  <c r="BT197" i="18" s="1"/>
  <c r="AZ197" i="18"/>
  <c r="AY197" i="18"/>
  <c r="BR197" i="18" s="1"/>
  <c r="AX197" i="18"/>
  <c r="BQ197" i="18" s="1"/>
  <c r="AW197" i="18"/>
  <c r="AV197" i="18"/>
  <c r="BO197" i="18" s="1"/>
  <c r="AU197" i="18"/>
  <c r="AS197" i="18"/>
  <c r="BD192" i="18"/>
  <c r="BW192" i="18" s="1"/>
  <c r="BC192" i="18"/>
  <c r="BV192" i="18" s="1"/>
  <c r="BB192" i="18"/>
  <c r="BU192" i="18" s="1"/>
  <c r="BA192" i="18"/>
  <c r="BT192" i="18" s="1"/>
  <c r="AZ192" i="18"/>
  <c r="AY192" i="18"/>
  <c r="BR192" i="18" s="1"/>
  <c r="AX192" i="18"/>
  <c r="BQ192" i="18" s="1"/>
  <c r="AW192" i="18"/>
  <c r="BP192" i="18" s="1"/>
  <c r="AV192" i="18"/>
  <c r="BO192" i="18" s="1"/>
  <c r="AU192" i="18"/>
  <c r="AS192" i="18"/>
  <c r="W192" i="18"/>
  <c r="CB192" i="18" s="1"/>
  <c r="BD193" i="18"/>
  <c r="BW193" i="18" s="1"/>
  <c r="BC193" i="18"/>
  <c r="BV193" i="18" s="1"/>
  <c r="BB193" i="18"/>
  <c r="BU193" i="18" s="1"/>
  <c r="BA193" i="18"/>
  <c r="BT193" i="18" s="1"/>
  <c r="AZ193" i="18"/>
  <c r="AY193" i="18"/>
  <c r="BR193" i="18" s="1"/>
  <c r="AX193" i="18"/>
  <c r="BQ193" i="18" s="1"/>
  <c r="AW193" i="18"/>
  <c r="BP193" i="18" s="1"/>
  <c r="AV193" i="18"/>
  <c r="BO193" i="18" s="1"/>
  <c r="AU193" i="18"/>
  <c r="AS193" i="18"/>
  <c r="W193" i="18"/>
  <c r="CB193" i="18" s="1"/>
  <c r="BD191" i="18"/>
  <c r="BW191" i="18" s="1"/>
  <c r="BC191" i="18"/>
  <c r="BV191" i="18" s="1"/>
  <c r="BB191" i="18"/>
  <c r="BU191" i="18" s="1"/>
  <c r="BA191" i="18"/>
  <c r="BT191" i="18" s="1"/>
  <c r="AZ191" i="18"/>
  <c r="AY191" i="18"/>
  <c r="BR191" i="18" s="1"/>
  <c r="AX191" i="18"/>
  <c r="BQ191" i="18" s="1"/>
  <c r="AW191" i="18"/>
  <c r="BP191" i="18" s="1"/>
  <c r="AV191" i="18"/>
  <c r="AU191" i="18"/>
  <c r="AS191" i="18"/>
  <c r="W191" i="18"/>
  <c r="CB191" i="18" s="1"/>
  <c r="BD207" i="18"/>
  <c r="BW207" i="18" s="1"/>
  <c r="BC207" i="18"/>
  <c r="BV207" i="18" s="1"/>
  <c r="BB207" i="18"/>
  <c r="BU207" i="18" s="1"/>
  <c r="BA207" i="18"/>
  <c r="BT207" i="18" s="1"/>
  <c r="AZ207" i="18"/>
  <c r="AY207" i="18"/>
  <c r="BR207" i="18" s="1"/>
  <c r="AX207" i="18"/>
  <c r="AW207" i="18"/>
  <c r="BP207" i="18" s="1"/>
  <c r="AV207" i="18"/>
  <c r="BO207" i="18" s="1"/>
  <c r="AU207" i="18"/>
  <c r="AS207" i="18"/>
  <c r="BZ190" i="18"/>
  <c r="BD190" i="18"/>
  <c r="BW190" i="18" s="1"/>
  <c r="BC190" i="18"/>
  <c r="BV190" i="18" s="1"/>
  <c r="BB190" i="18"/>
  <c r="BU190" i="18" s="1"/>
  <c r="BA190" i="18"/>
  <c r="BT190" i="18" s="1"/>
  <c r="AZ190" i="18"/>
  <c r="AY190" i="18"/>
  <c r="BR190" i="18" s="1"/>
  <c r="AX190" i="18"/>
  <c r="BQ190" i="18" s="1"/>
  <c r="AW190" i="18"/>
  <c r="BP190" i="18" s="1"/>
  <c r="AV190" i="18"/>
  <c r="BO190" i="18" s="1"/>
  <c r="AU190" i="18"/>
  <c r="AS190" i="18"/>
  <c r="W190" i="18"/>
  <c r="CB190" i="18" s="1"/>
  <c r="Q102" i="37"/>
  <c r="Q94" i="37"/>
  <c r="BH130" i="34"/>
  <c r="BA134" i="36"/>
  <c r="AZ134" i="36"/>
  <c r="AY134" i="36"/>
  <c r="AX134" i="36"/>
  <c r="AW134" i="36"/>
  <c r="CP134" i="36" s="1"/>
  <c r="AV134" i="36"/>
  <c r="CO134" i="36" s="1"/>
  <c r="AU134" i="36"/>
  <c r="CN134" i="36" s="1"/>
  <c r="AT134" i="36"/>
  <c r="CM134" i="36" s="1"/>
  <c r="AS134" i="36"/>
  <c r="CL134" i="36" s="1"/>
  <c r="AR134" i="36"/>
  <c r="CK134" i="36" s="1"/>
  <c r="AQ134" i="36"/>
  <c r="V134" i="36"/>
  <c r="CD134" i="36" s="1"/>
  <c r="BZ137" i="36"/>
  <c r="AZ137" i="36"/>
  <c r="AY137" i="36"/>
  <c r="AX137" i="36"/>
  <c r="AW137" i="36"/>
  <c r="AV137" i="36"/>
  <c r="AU137" i="36"/>
  <c r="AT137" i="36"/>
  <c r="AS137" i="36"/>
  <c r="AR137" i="36"/>
  <c r="AQ137" i="36"/>
  <c r="V137" i="36"/>
  <c r="CD137" i="36" s="1"/>
  <c r="AZ136" i="36"/>
  <c r="AY136" i="36"/>
  <c r="AX136" i="36"/>
  <c r="AW136" i="36"/>
  <c r="BO136" i="36" s="1"/>
  <c r="AV136" i="36"/>
  <c r="BN136" i="36" s="1"/>
  <c r="AU136" i="36"/>
  <c r="BM136" i="36" s="1"/>
  <c r="AT136" i="36"/>
  <c r="BL136" i="36" s="1"/>
  <c r="AS136" i="36"/>
  <c r="BK136" i="36" s="1"/>
  <c r="AR136" i="36"/>
  <c r="BJ136" i="36" s="1"/>
  <c r="AQ136" i="36"/>
  <c r="BI136" i="36" s="1"/>
  <c r="V136" i="36"/>
  <c r="BA76" i="36"/>
  <c r="BS76" i="36" s="1"/>
  <c r="AZ76" i="36"/>
  <c r="BR76" i="36" s="1"/>
  <c r="AY76" i="36"/>
  <c r="AX76" i="36"/>
  <c r="AW76" i="36"/>
  <c r="BO76" i="36" s="1"/>
  <c r="AV76" i="36"/>
  <c r="BN76" i="36" s="1"/>
  <c r="AU76" i="36"/>
  <c r="BM76" i="36" s="1"/>
  <c r="AT76" i="36"/>
  <c r="BL76" i="36" s="1"/>
  <c r="AS76" i="36"/>
  <c r="BK76" i="36" s="1"/>
  <c r="AR76" i="36"/>
  <c r="AQ76" i="36"/>
  <c r="BI76" i="36" s="1"/>
  <c r="V76" i="36"/>
  <c r="CB79" i="36"/>
  <c r="BZ79" i="36"/>
  <c r="BA79" i="36"/>
  <c r="AZ79" i="36"/>
  <c r="AY79" i="36"/>
  <c r="CE79" i="36" s="1"/>
  <c r="CG79" i="36" s="1"/>
  <c r="AX79" i="36"/>
  <c r="CQ79" i="36" s="1"/>
  <c r="CU79" i="36" s="1"/>
  <c r="AW79" i="36"/>
  <c r="AV79" i="36"/>
  <c r="AU79" i="36"/>
  <c r="AT79" i="36"/>
  <c r="AS79" i="36"/>
  <c r="AR79" i="36"/>
  <c r="AQ79" i="36"/>
  <c r="V79" i="36"/>
  <c r="CD79" i="36" s="1"/>
  <c r="CB78" i="36"/>
  <c r="BZ78" i="36"/>
  <c r="BA78" i="36"/>
  <c r="AZ78" i="36"/>
  <c r="AY78" i="36"/>
  <c r="CE78" i="36" s="1"/>
  <c r="CG78" i="36" s="1"/>
  <c r="AX78" i="36"/>
  <c r="CQ78" i="36" s="1"/>
  <c r="CU78" i="36" s="1"/>
  <c r="AW78" i="36"/>
  <c r="AV78" i="36"/>
  <c r="AU78" i="36"/>
  <c r="AT78" i="36"/>
  <c r="AS78" i="36"/>
  <c r="AR78" i="36"/>
  <c r="AQ78" i="36"/>
  <c r="V78" i="36"/>
  <c r="CD78" i="36" s="1"/>
  <c r="CB74" i="36"/>
  <c r="BA74" i="36"/>
  <c r="BS74" i="36" s="1"/>
  <c r="AZ74" i="36"/>
  <c r="BR74" i="36" s="1"/>
  <c r="AY74" i="36"/>
  <c r="AX74" i="36"/>
  <c r="AW74" i="36"/>
  <c r="BO74" i="36" s="1"/>
  <c r="AV74" i="36"/>
  <c r="BN74" i="36" s="1"/>
  <c r="AU74" i="36"/>
  <c r="BM74" i="36" s="1"/>
  <c r="AT74" i="36"/>
  <c r="BL74" i="36" s="1"/>
  <c r="AS74" i="36"/>
  <c r="BK74" i="36" s="1"/>
  <c r="AR74" i="36"/>
  <c r="BJ74" i="36" s="1"/>
  <c r="AQ74" i="36"/>
  <c r="V74" i="36"/>
  <c r="CD74" i="36" s="1"/>
  <c r="CB73" i="36"/>
  <c r="BA73" i="36"/>
  <c r="BS73" i="36" s="1"/>
  <c r="AZ73" i="36"/>
  <c r="BR73" i="36" s="1"/>
  <c r="AY73" i="36"/>
  <c r="AX73" i="36"/>
  <c r="AW73" i="36"/>
  <c r="BO73" i="36" s="1"/>
  <c r="AV73" i="36"/>
  <c r="BN73" i="36" s="1"/>
  <c r="AU73" i="36"/>
  <c r="BM73" i="36" s="1"/>
  <c r="AT73" i="36"/>
  <c r="BL73" i="36" s="1"/>
  <c r="AS73" i="36"/>
  <c r="BK73" i="36" s="1"/>
  <c r="AR73" i="36"/>
  <c r="AQ73" i="36"/>
  <c r="BI73" i="36" s="1"/>
  <c r="V73" i="36"/>
  <c r="AP73" i="36" s="1"/>
  <c r="CB72" i="36"/>
  <c r="BA72" i="36"/>
  <c r="BS72" i="36" s="1"/>
  <c r="AZ72" i="36"/>
  <c r="BR72" i="36" s="1"/>
  <c r="AY72" i="36"/>
  <c r="AX72" i="36"/>
  <c r="AW72" i="36"/>
  <c r="BO72" i="36" s="1"/>
  <c r="AV72" i="36"/>
  <c r="BN72" i="36" s="1"/>
  <c r="AU72" i="36"/>
  <c r="BM72" i="36" s="1"/>
  <c r="AT72" i="36"/>
  <c r="BL72" i="36" s="1"/>
  <c r="AS72" i="36"/>
  <c r="BK72" i="36" s="1"/>
  <c r="AR72" i="36"/>
  <c r="AQ72" i="36"/>
  <c r="BI72" i="36" s="1"/>
  <c r="V72" i="36"/>
  <c r="AP72" i="36" s="1"/>
  <c r="F225" i="38"/>
  <c r="AU185" i="18"/>
  <c r="AU189" i="18"/>
  <c r="AU188" i="18"/>
  <c r="AU187" i="18"/>
  <c r="BN186" i="18"/>
  <c r="AT184" i="18"/>
  <c r="BZ189" i="18"/>
  <c r="BD189" i="18"/>
  <c r="BW189" i="18" s="1"/>
  <c r="BC189" i="18"/>
  <c r="BV189" i="18" s="1"/>
  <c r="BB189" i="18"/>
  <c r="BU189" i="18" s="1"/>
  <c r="BA189" i="18"/>
  <c r="BT189" i="18" s="1"/>
  <c r="AZ189" i="18"/>
  <c r="AY189" i="18"/>
  <c r="BR189" i="18" s="1"/>
  <c r="AX189" i="18"/>
  <c r="BQ189" i="18" s="1"/>
  <c r="AW189" i="18"/>
  <c r="BP189" i="18" s="1"/>
  <c r="AV189" i="18"/>
  <c r="BO189" i="18" s="1"/>
  <c r="AS189" i="18"/>
  <c r="W189" i="18"/>
  <c r="CB189" i="18" s="1"/>
  <c r="BZ187" i="18"/>
  <c r="BD187" i="18"/>
  <c r="BW187" i="18" s="1"/>
  <c r="BC187" i="18"/>
  <c r="BV187" i="18" s="1"/>
  <c r="BB187" i="18"/>
  <c r="BU187" i="18" s="1"/>
  <c r="BA187" i="18"/>
  <c r="BT187" i="18" s="1"/>
  <c r="AZ187" i="18"/>
  <c r="AY187" i="18"/>
  <c r="BR187" i="18" s="1"/>
  <c r="AX187" i="18"/>
  <c r="BQ187" i="18" s="1"/>
  <c r="AW187" i="18"/>
  <c r="BP187" i="18" s="1"/>
  <c r="AV187" i="18"/>
  <c r="BO187" i="18" s="1"/>
  <c r="AS187" i="18"/>
  <c r="W187" i="18"/>
  <c r="CB187" i="18" s="1"/>
  <c r="BZ188" i="18"/>
  <c r="BD188" i="18"/>
  <c r="BW188" i="18" s="1"/>
  <c r="BC188" i="18"/>
  <c r="BV188" i="18" s="1"/>
  <c r="BB188" i="18"/>
  <c r="BU188" i="18" s="1"/>
  <c r="BA188" i="18"/>
  <c r="BT188" i="18" s="1"/>
  <c r="AZ188" i="18"/>
  <c r="AY188" i="18"/>
  <c r="BR188" i="18" s="1"/>
  <c r="AX188" i="18"/>
  <c r="BQ188" i="18" s="1"/>
  <c r="AW188" i="18"/>
  <c r="BP188" i="18" s="1"/>
  <c r="AV188" i="18"/>
  <c r="BO188" i="18" s="1"/>
  <c r="AS188" i="18"/>
  <c r="W188" i="18"/>
  <c r="CB188" i="18" s="1"/>
  <c r="BD185" i="18"/>
  <c r="BW185" i="18" s="1"/>
  <c r="BC185" i="18"/>
  <c r="BV185" i="18" s="1"/>
  <c r="BB185" i="18"/>
  <c r="BU185" i="18" s="1"/>
  <c r="BA185" i="18"/>
  <c r="BT185" i="18" s="1"/>
  <c r="AZ185" i="18"/>
  <c r="AY185" i="18"/>
  <c r="BR185" i="18" s="1"/>
  <c r="AX185" i="18"/>
  <c r="BQ185" i="18" s="1"/>
  <c r="AW185" i="18"/>
  <c r="BP185" i="18" s="1"/>
  <c r="AV185" i="18"/>
  <c r="BO185" i="18" s="1"/>
  <c r="AS185" i="18"/>
  <c r="W185" i="18"/>
  <c r="CB185" i="18" s="1"/>
  <c r="BZ184" i="18"/>
  <c r="BD184" i="18"/>
  <c r="BW184" i="18" s="1"/>
  <c r="BC184" i="18"/>
  <c r="BV184" i="18" s="1"/>
  <c r="BB184" i="18"/>
  <c r="BU184" i="18" s="1"/>
  <c r="BA184" i="18"/>
  <c r="BT184" i="18" s="1"/>
  <c r="AZ184" i="18"/>
  <c r="AY184" i="18"/>
  <c r="BR184" i="18" s="1"/>
  <c r="AX184" i="18"/>
  <c r="BQ184" i="18" s="1"/>
  <c r="AW184" i="18"/>
  <c r="BP184" i="18" s="1"/>
  <c r="AV184" i="18"/>
  <c r="BO184" i="18" s="1"/>
  <c r="AU184" i="18"/>
  <c r="BN184" i="18" s="1"/>
  <c r="AS184" i="18"/>
  <c r="W184" i="18"/>
  <c r="CB184" i="18" s="1"/>
  <c r="BZ186" i="18"/>
  <c r="BD186" i="18"/>
  <c r="BW186" i="18" s="1"/>
  <c r="BC186" i="18"/>
  <c r="BV186" i="18" s="1"/>
  <c r="BB186" i="18"/>
  <c r="BU186" i="18" s="1"/>
  <c r="BA186" i="18"/>
  <c r="BT186" i="18" s="1"/>
  <c r="AZ186" i="18"/>
  <c r="AY186" i="18"/>
  <c r="BR186" i="18" s="1"/>
  <c r="AX186" i="18"/>
  <c r="BQ186" i="18" s="1"/>
  <c r="AW186" i="18"/>
  <c r="BP186" i="18" s="1"/>
  <c r="AV186" i="18"/>
  <c r="BO186" i="18" s="1"/>
  <c r="AS186" i="18"/>
  <c r="W186" i="18"/>
  <c r="CB186" i="18" s="1"/>
  <c r="BQ73" i="36" l="1"/>
  <c r="CE73" i="36" s="1"/>
  <c r="CG73" i="36" s="1"/>
  <c r="BP57" i="36"/>
  <c r="CQ57" i="36"/>
  <c r="CU57" i="36" s="1"/>
  <c r="BP72" i="36"/>
  <c r="CQ72" i="36"/>
  <c r="CU72" i="36" s="1"/>
  <c r="BP76" i="36"/>
  <c r="CQ76" i="36"/>
  <c r="CU76" i="36" s="1"/>
  <c r="BH136" i="36"/>
  <c r="CC136" i="36" s="1"/>
  <c r="BQ56" i="36"/>
  <c r="CE56" i="36" s="1"/>
  <c r="CG56" i="36" s="1"/>
  <c r="BQ57" i="36"/>
  <c r="CE57" i="36" s="1"/>
  <c r="CG57" i="36" s="1"/>
  <c r="BP73" i="36"/>
  <c r="CQ73" i="36"/>
  <c r="CU73" i="36" s="1"/>
  <c r="BQ72" i="36"/>
  <c r="CE72" i="36" s="1"/>
  <c r="CG72" i="36" s="1"/>
  <c r="BQ76" i="36"/>
  <c r="CE76" i="36" s="1"/>
  <c r="CG76" i="36" s="1"/>
  <c r="BP56" i="36"/>
  <c r="CQ56" i="36"/>
  <c r="CU56" i="36" s="1"/>
  <c r="BP55" i="36"/>
  <c r="CQ55" i="36"/>
  <c r="CU55" i="36" s="1"/>
  <c r="BQ54" i="36"/>
  <c r="CE54" i="36" s="1"/>
  <c r="CG54" i="36" s="1"/>
  <c r="BQ60" i="36"/>
  <c r="CE60" i="36" s="1"/>
  <c r="CG60" i="36" s="1"/>
  <c r="BP54" i="36"/>
  <c r="CQ54" i="36"/>
  <c r="CU54" i="36" s="1"/>
  <c r="BP74" i="36"/>
  <c r="CQ74" i="36"/>
  <c r="CU74" i="36" s="1"/>
  <c r="BP60" i="36"/>
  <c r="CQ60" i="36"/>
  <c r="CU60" i="36" s="1"/>
  <c r="BP58" i="36"/>
  <c r="CQ58" i="36"/>
  <c r="CU58" i="36" s="1"/>
  <c r="BQ74" i="36"/>
  <c r="CE74" i="36" s="1"/>
  <c r="CG74" i="36" s="1"/>
  <c r="DC136" i="36"/>
  <c r="DC138" i="36" s="1"/>
  <c r="BQ55" i="36"/>
  <c r="CE55" i="36" s="1"/>
  <c r="CG55" i="36" s="1"/>
  <c r="BQ58" i="36"/>
  <c r="CE58" i="36" s="1"/>
  <c r="CG58" i="36" s="1"/>
  <c r="BA36" i="34"/>
  <c r="BF36" i="34" s="1"/>
  <c r="BW36" i="34"/>
  <c r="CA36" i="34" s="1"/>
  <c r="BA34" i="34"/>
  <c r="BF34" i="34" s="1"/>
  <c r="BW34" i="34"/>
  <c r="CA34" i="34" s="1"/>
  <c r="BA35" i="34"/>
  <c r="BF35" i="34" s="1"/>
  <c r="BW35" i="34"/>
  <c r="CA35" i="34" s="1"/>
  <c r="CD136" i="36"/>
  <c r="AP136" i="36"/>
  <c r="BS59" i="36"/>
  <c r="CE59" i="36" s="1"/>
  <c r="BS198" i="18"/>
  <c r="BX198" i="18" s="1"/>
  <c r="CO198" i="18"/>
  <c r="CY198" i="18" s="1"/>
  <c r="BS207" i="18"/>
  <c r="BX207" i="18" s="1"/>
  <c r="CO207" i="18"/>
  <c r="CY207" i="18" s="1"/>
  <c r="BS203" i="18"/>
  <c r="BX203" i="18" s="1"/>
  <c r="CO203" i="18"/>
  <c r="CY203" i="18" s="1"/>
  <c r="BS199" i="18"/>
  <c r="BX199" i="18" s="1"/>
  <c r="CO199" i="18"/>
  <c r="CY199" i="18" s="1"/>
  <c r="BS187" i="18"/>
  <c r="BX187" i="18" s="1"/>
  <c r="CO187" i="18"/>
  <c r="CY187" i="18" s="1"/>
  <c r="BS185" i="18"/>
  <c r="BX185" i="18" s="1"/>
  <c r="CO185" i="18"/>
  <c r="CY185" i="18" s="1"/>
  <c r="BS193" i="18"/>
  <c r="BX193" i="18" s="1"/>
  <c r="CO193" i="18"/>
  <c r="CY193" i="18" s="1"/>
  <c r="BS186" i="18"/>
  <c r="BX186" i="18" s="1"/>
  <c r="CO186" i="18"/>
  <c r="CY186" i="18" s="1"/>
  <c r="BS188" i="18"/>
  <c r="BX188" i="18" s="1"/>
  <c r="CO188" i="18"/>
  <c r="CY188" i="18" s="1"/>
  <c r="BS189" i="18"/>
  <c r="BX189" i="18" s="1"/>
  <c r="CO189" i="18"/>
  <c r="CY189" i="18" s="1"/>
  <c r="BS194" i="18"/>
  <c r="CO194" i="18"/>
  <c r="CY194" i="18" s="1"/>
  <c r="BS196" i="18"/>
  <c r="BX196" i="18" s="1"/>
  <c r="CO196" i="18"/>
  <c r="CY196" i="18" s="1"/>
  <c r="BS197" i="18"/>
  <c r="BX197" i="18" s="1"/>
  <c r="CO197" i="18"/>
  <c r="CY197" i="18" s="1"/>
  <c r="BS195" i="18"/>
  <c r="BX195" i="18" s="1"/>
  <c r="CO195" i="18"/>
  <c r="CY195" i="18" s="1"/>
  <c r="BS184" i="18"/>
  <c r="BX184" i="18" s="1"/>
  <c r="CO184" i="18"/>
  <c r="CY184" i="18" s="1"/>
  <c r="BS190" i="18"/>
  <c r="BX190" i="18" s="1"/>
  <c r="CO190" i="18"/>
  <c r="CY190" i="18" s="1"/>
  <c r="BS191" i="18"/>
  <c r="CO191" i="18"/>
  <c r="CY191" i="18" s="1"/>
  <c r="BS192" i="18"/>
  <c r="BX192" i="18" s="1"/>
  <c r="CO192" i="18"/>
  <c r="CY192" i="18" s="1"/>
  <c r="AZ273" i="18"/>
  <c r="CO273" i="18" s="1"/>
  <c r="CY273" i="18" s="1"/>
  <c r="CO272" i="18"/>
  <c r="CY272" i="18" s="1"/>
  <c r="DE136" i="36"/>
  <c r="DE138" i="36" s="1"/>
  <c r="CR136" i="36"/>
  <c r="BQ134" i="36"/>
  <c r="CE134" i="36" s="1"/>
  <c r="CG134" i="36" s="1"/>
  <c r="DD136" i="36"/>
  <c r="CQ136" i="36"/>
  <c r="CU134" i="36"/>
  <c r="CP136" i="36"/>
  <c r="BP59" i="36"/>
  <c r="CB57" i="36"/>
  <c r="CB55" i="36"/>
  <c r="CB54" i="36"/>
  <c r="CB56" i="36"/>
  <c r="CB58" i="36"/>
  <c r="BY202" i="18"/>
  <c r="AP57" i="36"/>
  <c r="CD57" i="36"/>
  <c r="AP59" i="36"/>
  <c r="CD59" i="36"/>
  <c r="AP54" i="36"/>
  <c r="CD54" i="36"/>
  <c r="AP56" i="36"/>
  <c r="CD56" i="36"/>
  <c r="AP60" i="36"/>
  <c r="CD60" i="36"/>
  <c r="AP58" i="36"/>
  <c r="CD58" i="36"/>
  <c r="AP55" i="36"/>
  <c r="CD55" i="36"/>
  <c r="CD76" i="36"/>
  <c r="BY205" i="18"/>
  <c r="BY200" i="18"/>
  <c r="BY206" i="18"/>
  <c r="BY201" i="18"/>
  <c r="AT273" i="18"/>
  <c r="BY204" i="18"/>
  <c r="AS273" i="18"/>
  <c r="AU273" i="18"/>
  <c r="BN275" i="18" s="1"/>
  <c r="CB198" i="18"/>
  <c r="BD115" i="20"/>
  <c r="BJ114" i="20"/>
  <c r="BJ115" i="20" s="1"/>
  <c r="U72" i="32" s="1"/>
  <c r="BC115" i="20"/>
  <c r="AI115" i="20"/>
  <c r="AQ115" i="20"/>
  <c r="BH115" i="20"/>
  <c r="AM115" i="20"/>
  <c r="AL115" i="20"/>
  <c r="AV114" i="20"/>
  <c r="AV115" i="20" s="1"/>
  <c r="AN115" i="20"/>
  <c r="BW115" i="20" s="1"/>
  <c r="CA115" i="20" s="1"/>
  <c r="AS114" i="20"/>
  <c r="AK115" i="20"/>
  <c r="AW115" i="20"/>
  <c r="AU115" i="20"/>
  <c r="AF115" i="20"/>
  <c r="BE115" i="20"/>
  <c r="AT115" i="20"/>
  <c r="BB115" i="20"/>
  <c r="AG115" i="20"/>
  <c r="AP115" i="20"/>
  <c r="AO115" i="20"/>
  <c r="AY114" i="20"/>
  <c r="AY115" i="20" s="1"/>
  <c r="AH115" i="20"/>
  <c r="BA114" i="20"/>
  <c r="BA115" i="20" s="1"/>
  <c r="AZ115" i="20"/>
  <c r="AJ115" i="20"/>
  <c r="AR115" i="20"/>
  <c r="AF35" i="34"/>
  <c r="AS35" i="34"/>
  <c r="AS34" i="34"/>
  <c r="AF36" i="34"/>
  <c r="AS36" i="34"/>
  <c r="AF34" i="34"/>
  <c r="BD273" i="18"/>
  <c r="BW275" i="18" s="1"/>
  <c r="BO272" i="18"/>
  <c r="BO273" i="18" s="1"/>
  <c r="BO275" i="18" s="1"/>
  <c r="BP272" i="18"/>
  <c r="BP273" i="18" s="1"/>
  <c r="BP275" i="18" s="1"/>
  <c r="AR193" i="18"/>
  <c r="AR272" i="18"/>
  <c r="AR273" i="18" s="1"/>
  <c r="BQ272" i="18"/>
  <c r="BQ273" i="18" s="1"/>
  <c r="BQ275" i="18" s="1"/>
  <c r="AR194" i="18"/>
  <c r="BR272" i="18"/>
  <c r="BR273" i="18" s="1"/>
  <c r="BR275" i="18" s="1"/>
  <c r="BA273" i="18"/>
  <c r="BV272" i="18"/>
  <c r="BV273" i="18" s="1"/>
  <c r="BV275" i="18" s="1"/>
  <c r="BB273" i="18"/>
  <c r="BT273" i="18"/>
  <c r="BM273" i="18"/>
  <c r="BL273" i="18"/>
  <c r="BU273" i="18"/>
  <c r="AR191" i="18"/>
  <c r="AR190" i="18"/>
  <c r="BK272" i="18"/>
  <c r="BS272" i="18"/>
  <c r="BS273" i="18" s="1"/>
  <c r="AR192" i="18"/>
  <c r="BH60" i="36"/>
  <c r="CC60" i="36" s="1"/>
  <c r="BN60" i="36"/>
  <c r="BH54" i="36"/>
  <c r="BH59" i="36"/>
  <c r="CC59" i="36" s="1"/>
  <c r="BH57" i="36"/>
  <c r="BH56" i="36"/>
  <c r="BH55" i="36"/>
  <c r="BH58" i="36"/>
  <c r="AR199" i="18"/>
  <c r="BK199" i="18"/>
  <c r="BK198" i="18"/>
  <c r="BK203" i="18"/>
  <c r="BK196" i="18"/>
  <c r="AR203" i="18"/>
  <c r="AR196" i="18"/>
  <c r="BK195" i="18"/>
  <c r="BK194" i="18"/>
  <c r="AR195" i="18"/>
  <c r="BO194" i="18"/>
  <c r="AR197" i="18"/>
  <c r="BK197" i="18"/>
  <c r="BK192" i="18"/>
  <c r="BK193" i="18"/>
  <c r="BK191" i="18"/>
  <c r="BO191" i="18"/>
  <c r="AR207" i="18"/>
  <c r="BK207" i="18"/>
  <c r="BK190" i="18"/>
  <c r="AP137" i="36"/>
  <c r="AP134" i="36"/>
  <c r="BH137" i="36"/>
  <c r="CC137" i="36" s="1"/>
  <c r="BH134" i="36"/>
  <c r="CC134" i="36" s="1"/>
  <c r="BZ136" i="36"/>
  <c r="BH79" i="36"/>
  <c r="CC79" i="36" s="1"/>
  <c r="BH76" i="36"/>
  <c r="CC76" i="36" s="1"/>
  <c r="BJ76" i="36"/>
  <c r="BH78" i="36"/>
  <c r="CC78" i="36" s="1"/>
  <c r="AP76" i="36"/>
  <c r="AP78" i="36"/>
  <c r="AP79" i="36"/>
  <c r="CD73" i="36"/>
  <c r="BH72" i="36"/>
  <c r="AP74" i="36"/>
  <c r="BH74" i="36"/>
  <c r="CD72" i="36"/>
  <c r="BH73" i="36"/>
  <c r="BI74" i="36"/>
  <c r="BK189" i="18"/>
  <c r="AR189" i="18"/>
  <c r="AR187" i="18"/>
  <c r="BK187" i="18"/>
  <c r="BK188" i="18"/>
  <c r="AR188" i="18"/>
  <c r="BK185" i="18"/>
  <c r="AR185" i="18"/>
  <c r="AR184" i="18"/>
  <c r="BK184" i="18"/>
  <c r="AR186" i="18"/>
  <c r="BD183" i="18"/>
  <c r="BW183" i="18" s="1"/>
  <c r="BC183" i="18"/>
  <c r="BV183" i="18" s="1"/>
  <c r="BB183" i="18"/>
  <c r="BU183" i="18" s="1"/>
  <c r="BA183" i="18"/>
  <c r="BT183" i="18" s="1"/>
  <c r="AZ183" i="18"/>
  <c r="AY183" i="18"/>
  <c r="BR183" i="18" s="1"/>
  <c r="AX183" i="18"/>
  <c r="BQ183" i="18" s="1"/>
  <c r="AW183" i="18"/>
  <c r="BP183" i="18" s="1"/>
  <c r="AV183" i="18"/>
  <c r="BO183" i="18" s="1"/>
  <c r="AU183" i="18"/>
  <c r="BN183" i="18" s="1"/>
  <c r="AT183" i="18"/>
  <c r="BM183" i="18" s="1"/>
  <c r="AS183" i="18"/>
  <c r="BL183" i="18" s="1"/>
  <c r="W183" i="18"/>
  <c r="CB183" i="18" s="1"/>
  <c r="CB70" i="36"/>
  <c r="BA70" i="36"/>
  <c r="BS70" i="36" s="1"/>
  <c r="AZ70" i="36"/>
  <c r="BR70" i="36" s="1"/>
  <c r="AY70" i="36"/>
  <c r="AX70" i="36"/>
  <c r="CQ70" i="36" s="1"/>
  <c r="CU70" i="36" s="1"/>
  <c r="AW70" i="36"/>
  <c r="BO70" i="36" s="1"/>
  <c r="AV70" i="36"/>
  <c r="BN70" i="36" s="1"/>
  <c r="AU70" i="36"/>
  <c r="BM70" i="36" s="1"/>
  <c r="AT70" i="36"/>
  <c r="BL70" i="36" s="1"/>
  <c r="AS70" i="36"/>
  <c r="BK70" i="36" s="1"/>
  <c r="AR70" i="36"/>
  <c r="BJ70" i="36" s="1"/>
  <c r="AQ70" i="36"/>
  <c r="BI70" i="36" s="1"/>
  <c r="V70" i="36"/>
  <c r="CD70" i="36" s="1"/>
  <c r="CB69" i="36"/>
  <c r="BA69" i="36"/>
  <c r="BS69" i="36" s="1"/>
  <c r="AZ69" i="36"/>
  <c r="BR69" i="36" s="1"/>
  <c r="AY69" i="36"/>
  <c r="AX69" i="36"/>
  <c r="CQ69" i="36" s="1"/>
  <c r="CU69" i="36" s="1"/>
  <c r="AW69" i="36"/>
  <c r="BO69" i="36" s="1"/>
  <c r="AV69" i="36"/>
  <c r="BN69" i="36" s="1"/>
  <c r="AU69" i="36"/>
  <c r="BM69" i="36" s="1"/>
  <c r="AT69" i="36"/>
  <c r="BL69" i="36" s="1"/>
  <c r="AS69" i="36"/>
  <c r="BK69" i="36" s="1"/>
  <c r="AR69" i="36"/>
  <c r="BJ69" i="36" s="1"/>
  <c r="AQ69" i="36"/>
  <c r="BI69" i="36" s="1"/>
  <c r="V69" i="36"/>
  <c r="CD69" i="36" s="1"/>
  <c r="CB68" i="36"/>
  <c r="BA68" i="36"/>
  <c r="BS68" i="36" s="1"/>
  <c r="AZ68" i="36"/>
  <c r="BR68" i="36" s="1"/>
  <c r="AY68" i="36"/>
  <c r="AX68" i="36"/>
  <c r="CQ68" i="36" s="1"/>
  <c r="CU68" i="36" s="1"/>
  <c r="AW68" i="36"/>
  <c r="BO68" i="36" s="1"/>
  <c r="AV68" i="36"/>
  <c r="BN68" i="36" s="1"/>
  <c r="AU68" i="36"/>
  <c r="BM68" i="36" s="1"/>
  <c r="AT68" i="36"/>
  <c r="BL68" i="36" s="1"/>
  <c r="AS68" i="36"/>
  <c r="BK68" i="36" s="1"/>
  <c r="AR68" i="36"/>
  <c r="BJ68" i="36" s="1"/>
  <c r="AQ68" i="36"/>
  <c r="BI68" i="36" s="1"/>
  <c r="V68" i="36"/>
  <c r="CD68" i="36" s="1"/>
  <c r="CB67" i="36"/>
  <c r="BA67" i="36"/>
  <c r="BS67" i="36" s="1"/>
  <c r="AZ67" i="36"/>
  <c r="BR67" i="36" s="1"/>
  <c r="AY67" i="36"/>
  <c r="AX67" i="36"/>
  <c r="CQ67" i="36" s="1"/>
  <c r="CU67" i="36" s="1"/>
  <c r="AW67" i="36"/>
  <c r="BO67" i="36" s="1"/>
  <c r="AV67" i="36"/>
  <c r="BN67" i="36" s="1"/>
  <c r="AU67" i="36"/>
  <c r="BM67" i="36" s="1"/>
  <c r="AT67" i="36"/>
  <c r="BL67" i="36" s="1"/>
  <c r="AS67" i="36"/>
  <c r="BK67" i="36" s="1"/>
  <c r="AR67" i="36"/>
  <c r="BJ67" i="36" s="1"/>
  <c r="AQ67" i="36"/>
  <c r="BI67" i="36" s="1"/>
  <c r="V67" i="36"/>
  <c r="CD67" i="36" s="1"/>
  <c r="CB66" i="36"/>
  <c r="BA66" i="36"/>
  <c r="BS66" i="36" s="1"/>
  <c r="AZ66" i="36"/>
  <c r="BR66" i="36" s="1"/>
  <c r="AY66" i="36"/>
  <c r="AX66" i="36"/>
  <c r="CQ66" i="36" s="1"/>
  <c r="CU66" i="36" s="1"/>
  <c r="AW66" i="36"/>
  <c r="BO66" i="36" s="1"/>
  <c r="AV66" i="36"/>
  <c r="BN66" i="36" s="1"/>
  <c r="AU66" i="36"/>
  <c r="BM66" i="36" s="1"/>
  <c r="AT66" i="36"/>
  <c r="BL66" i="36" s="1"/>
  <c r="AS66" i="36"/>
  <c r="BK66" i="36" s="1"/>
  <c r="AR66" i="36"/>
  <c r="BJ66" i="36" s="1"/>
  <c r="AQ66" i="36"/>
  <c r="BI66" i="36" s="1"/>
  <c r="V66" i="36"/>
  <c r="CD66" i="36" s="1"/>
  <c r="BX194" i="18" l="1"/>
  <c r="BY187" i="18"/>
  <c r="BX191" i="18"/>
  <c r="BZ57" i="36"/>
  <c r="BS275" i="18"/>
  <c r="BI34" i="34"/>
  <c r="BZ55" i="36"/>
  <c r="CC57" i="36"/>
  <c r="BZ58" i="36"/>
  <c r="CA58" i="36" s="1"/>
  <c r="BZ73" i="36"/>
  <c r="CA73" i="36" s="1"/>
  <c r="CC55" i="36"/>
  <c r="CC58" i="36"/>
  <c r="BZ74" i="36"/>
  <c r="CA74" i="36" s="1"/>
  <c r="CE136" i="36"/>
  <c r="CG136" i="36" s="1"/>
  <c r="BQ67" i="36"/>
  <c r="CE67" i="36" s="1"/>
  <c r="CG67" i="36" s="1"/>
  <c r="BQ70" i="36"/>
  <c r="CE70" i="36" s="1"/>
  <c r="CG70" i="36" s="1"/>
  <c r="BZ56" i="36"/>
  <c r="BQ66" i="36"/>
  <c r="CE66" i="36" s="1"/>
  <c r="CG66" i="36" s="1"/>
  <c r="CC54" i="36"/>
  <c r="BQ69" i="36"/>
  <c r="CE69" i="36" s="1"/>
  <c r="CG69" i="36" s="1"/>
  <c r="BQ68" i="36"/>
  <c r="CE68" i="36" s="1"/>
  <c r="CG68" i="36" s="1"/>
  <c r="BZ72" i="36"/>
  <c r="CC72" i="36" s="1"/>
  <c r="BZ54" i="36"/>
  <c r="BZ60" i="36"/>
  <c r="CA60" i="36" s="1"/>
  <c r="CA59" i="36"/>
  <c r="CA136" i="36"/>
  <c r="BZ76" i="36"/>
  <c r="CC56" i="36"/>
  <c r="CA56" i="36"/>
  <c r="CA76" i="36"/>
  <c r="CA55" i="36"/>
  <c r="CA57" i="36"/>
  <c r="CA54" i="36"/>
  <c r="BZ59" i="36"/>
  <c r="CG59" i="36"/>
  <c r="BD117" i="20"/>
  <c r="BS183" i="18"/>
  <c r="BX183" i="18" s="1"/>
  <c r="CO183" i="18"/>
  <c r="CY183" i="18" s="1"/>
  <c r="CA134" i="36"/>
  <c r="DH136" i="36"/>
  <c r="CA137" i="36"/>
  <c r="BZ134" i="36"/>
  <c r="CU136" i="36"/>
  <c r="BP69" i="36"/>
  <c r="BP68" i="36"/>
  <c r="BP67" i="36"/>
  <c r="BP66" i="36"/>
  <c r="BP70" i="36"/>
  <c r="BZ70" i="36" s="1"/>
  <c r="BM275" i="18"/>
  <c r="D72" i="32"/>
  <c r="U63" i="32"/>
  <c r="BL275" i="18"/>
  <c r="BT275" i="18"/>
  <c r="BU275" i="18"/>
  <c r="BI35" i="34"/>
  <c r="BA117" i="20"/>
  <c r="BC117" i="20"/>
  <c r="AY117" i="20"/>
  <c r="AT117" i="20"/>
  <c r="AZ117" i="20"/>
  <c r="AU117" i="20"/>
  <c r="AV117" i="20"/>
  <c r="AW117" i="20"/>
  <c r="BB117" i="20"/>
  <c r="BE117" i="20"/>
  <c r="AX115" i="20"/>
  <c r="AX117" i="20" s="1"/>
  <c r="BF114" i="20"/>
  <c r="AS115" i="20"/>
  <c r="I72" i="32" s="1"/>
  <c r="BG34" i="34"/>
  <c r="BG35" i="34"/>
  <c r="BI36" i="34"/>
  <c r="BG36" i="34"/>
  <c r="BY193" i="18"/>
  <c r="BY196" i="18"/>
  <c r="BY198" i="18"/>
  <c r="BY197" i="18"/>
  <c r="BY199" i="18"/>
  <c r="BY203" i="18"/>
  <c r="BK273" i="18"/>
  <c r="BX272" i="18"/>
  <c r="BY207" i="18"/>
  <c r="BY190" i="18"/>
  <c r="BY195" i="18"/>
  <c r="CA79" i="36"/>
  <c r="CA78" i="36"/>
  <c r="BY189" i="18"/>
  <c r="BY188" i="18"/>
  <c r="BY184" i="18"/>
  <c r="BY185" i="18"/>
  <c r="AR183" i="18"/>
  <c r="BK183" i="18"/>
  <c r="AP66" i="36"/>
  <c r="AP67" i="36"/>
  <c r="AP68" i="36"/>
  <c r="AP69" i="36"/>
  <c r="AP70" i="36"/>
  <c r="BH66" i="36"/>
  <c r="BH67" i="36"/>
  <c r="BH68" i="36"/>
  <c r="BH69" i="36"/>
  <c r="BH70" i="36"/>
  <c r="AU71" i="18"/>
  <c r="AT71" i="18"/>
  <c r="AS71" i="18"/>
  <c r="AU70" i="18"/>
  <c r="AT70" i="18"/>
  <c r="AS70" i="18"/>
  <c r="CB51" i="36"/>
  <c r="BZ51" i="36"/>
  <c r="BA51" i="36"/>
  <c r="AZ51" i="36"/>
  <c r="AY51" i="36"/>
  <c r="CE51" i="36" s="1"/>
  <c r="CG51" i="36" s="1"/>
  <c r="AX51" i="36"/>
  <c r="AW51" i="36"/>
  <c r="AV51" i="36"/>
  <c r="AU51" i="36"/>
  <c r="AT51" i="36"/>
  <c r="AS51" i="36"/>
  <c r="AR51" i="36"/>
  <c r="AQ51" i="36"/>
  <c r="V51" i="36"/>
  <c r="CD51" i="36" s="1"/>
  <c r="BZ92" i="36"/>
  <c r="BA92" i="36"/>
  <c r="AZ92" i="36"/>
  <c r="AY92" i="36"/>
  <c r="AX92" i="36"/>
  <c r="CQ92" i="36" s="1"/>
  <c r="CU92" i="36" s="1"/>
  <c r="AW92" i="36"/>
  <c r="AV92" i="36"/>
  <c r="AU92" i="36"/>
  <c r="AT92" i="36"/>
  <c r="AS92" i="36"/>
  <c r="AR92" i="36"/>
  <c r="AQ92" i="36"/>
  <c r="V92" i="36"/>
  <c r="D92" i="36"/>
  <c r="CB92" i="36" s="1"/>
  <c r="CB90" i="36"/>
  <c r="BA90" i="36"/>
  <c r="BS90" i="36" s="1"/>
  <c r="AZ90" i="36"/>
  <c r="BR90" i="36" s="1"/>
  <c r="AY90" i="36"/>
  <c r="BQ90" i="36" s="1"/>
  <c r="AX90" i="36"/>
  <c r="CQ90" i="36" s="1"/>
  <c r="CU90" i="36" s="1"/>
  <c r="AW90" i="36"/>
  <c r="BO90" i="36" s="1"/>
  <c r="AV90" i="36"/>
  <c r="BN90" i="36" s="1"/>
  <c r="AU90" i="36"/>
  <c r="BM90" i="36" s="1"/>
  <c r="AT90" i="36"/>
  <c r="BL90" i="36" s="1"/>
  <c r="AS90" i="36"/>
  <c r="BK90" i="36" s="1"/>
  <c r="AR90" i="36"/>
  <c r="BJ90" i="36" s="1"/>
  <c r="AQ90" i="36"/>
  <c r="BI90" i="36" s="1"/>
  <c r="V90" i="36"/>
  <c r="AP90" i="36" s="1"/>
  <c r="CB89" i="36"/>
  <c r="BA89" i="36"/>
  <c r="BS89" i="36" s="1"/>
  <c r="AZ89" i="36"/>
  <c r="BR89" i="36" s="1"/>
  <c r="AY89" i="36"/>
  <c r="BQ89" i="36" s="1"/>
  <c r="AX89" i="36"/>
  <c r="CQ89" i="36" s="1"/>
  <c r="CU89" i="36" s="1"/>
  <c r="AW89" i="36"/>
  <c r="BO89" i="36" s="1"/>
  <c r="AV89" i="36"/>
  <c r="BN89" i="36" s="1"/>
  <c r="AU89" i="36"/>
  <c r="BM89" i="36" s="1"/>
  <c r="AT89" i="36"/>
  <c r="BL89" i="36" s="1"/>
  <c r="AS89" i="36"/>
  <c r="BK89" i="36" s="1"/>
  <c r="AR89" i="36"/>
  <c r="BJ89" i="36" s="1"/>
  <c r="AQ89" i="36"/>
  <c r="BI89" i="36" s="1"/>
  <c r="V89" i="36"/>
  <c r="AP89" i="36" s="1"/>
  <c r="CB88" i="36"/>
  <c r="AZ88" i="36"/>
  <c r="BR88" i="36" s="1"/>
  <c r="AY88" i="36"/>
  <c r="BQ88" i="36" s="1"/>
  <c r="AX88" i="36"/>
  <c r="CQ88" i="36" s="1"/>
  <c r="CU88" i="36" s="1"/>
  <c r="AW88" i="36"/>
  <c r="AV88" i="36"/>
  <c r="BN88" i="36" s="1"/>
  <c r="AU88" i="36"/>
  <c r="BM88" i="36" s="1"/>
  <c r="AT88" i="36"/>
  <c r="AS88" i="36"/>
  <c r="BK88" i="36" s="1"/>
  <c r="AR88" i="36"/>
  <c r="BJ88" i="36" s="1"/>
  <c r="AQ88" i="36"/>
  <c r="BI88" i="36" s="1"/>
  <c r="V88" i="36"/>
  <c r="AP88" i="36" s="1"/>
  <c r="CB64" i="36"/>
  <c r="BA64" i="36"/>
  <c r="BS64" i="36" s="1"/>
  <c r="AZ64" i="36"/>
  <c r="BR64" i="36" s="1"/>
  <c r="AY64" i="36"/>
  <c r="AX64" i="36"/>
  <c r="AW64" i="36"/>
  <c r="BO64" i="36" s="1"/>
  <c r="AV64" i="36"/>
  <c r="BN64" i="36" s="1"/>
  <c r="AU64" i="36"/>
  <c r="BM64" i="36" s="1"/>
  <c r="AT64" i="36"/>
  <c r="BL64" i="36" s="1"/>
  <c r="AS64" i="36"/>
  <c r="BK64" i="36" s="1"/>
  <c r="AR64" i="36"/>
  <c r="BJ64" i="36" s="1"/>
  <c r="AQ64" i="36"/>
  <c r="BI64" i="36" s="1"/>
  <c r="V64" i="36"/>
  <c r="CD64" i="36" s="1"/>
  <c r="CB63" i="36"/>
  <c r="BA63" i="36"/>
  <c r="BS63" i="36" s="1"/>
  <c r="AZ63" i="36"/>
  <c r="BR63" i="36" s="1"/>
  <c r="AY63" i="36"/>
  <c r="AX63" i="36"/>
  <c r="AW63" i="36"/>
  <c r="BO63" i="36" s="1"/>
  <c r="AV63" i="36"/>
  <c r="BN63" i="36" s="1"/>
  <c r="AU63" i="36"/>
  <c r="BM63" i="36" s="1"/>
  <c r="AT63" i="36"/>
  <c r="BL63" i="36" s="1"/>
  <c r="AS63" i="36"/>
  <c r="BK63" i="36" s="1"/>
  <c r="AR63" i="36"/>
  <c r="BJ63" i="36" s="1"/>
  <c r="AQ63" i="36"/>
  <c r="BI63" i="36" s="1"/>
  <c r="V63" i="36"/>
  <c r="CD63" i="36" s="1"/>
  <c r="CB62" i="36"/>
  <c r="BA62" i="36"/>
  <c r="BS62" i="36" s="1"/>
  <c r="AZ62" i="36"/>
  <c r="BR62" i="36" s="1"/>
  <c r="AY62" i="36"/>
  <c r="AX62" i="36"/>
  <c r="AW62" i="36"/>
  <c r="BO62" i="36" s="1"/>
  <c r="AV62" i="36"/>
  <c r="BN62" i="36" s="1"/>
  <c r="AU62" i="36"/>
  <c r="BM62" i="36" s="1"/>
  <c r="AT62" i="36"/>
  <c r="BL62" i="36" s="1"/>
  <c r="AS62" i="36"/>
  <c r="BK62" i="36" s="1"/>
  <c r="AR62" i="36"/>
  <c r="BJ62" i="36" s="1"/>
  <c r="AQ62" i="36"/>
  <c r="BI62" i="36" s="1"/>
  <c r="V62" i="36"/>
  <c r="CD62" i="36" s="1"/>
  <c r="CB61" i="36"/>
  <c r="BA61" i="36"/>
  <c r="BS61" i="36" s="1"/>
  <c r="AZ61" i="36"/>
  <c r="BR61" i="36" s="1"/>
  <c r="AY61" i="36"/>
  <c r="AX61" i="36"/>
  <c r="AW61" i="36"/>
  <c r="BO61" i="36" s="1"/>
  <c r="AV61" i="36"/>
  <c r="BN61" i="36" s="1"/>
  <c r="AU61" i="36"/>
  <c r="BM61" i="36" s="1"/>
  <c r="AT61" i="36"/>
  <c r="BL61" i="36" s="1"/>
  <c r="AS61" i="36"/>
  <c r="BK61" i="36" s="1"/>
  <c r="AR61" i="36"/>
  <c r="BJ61" i="36" s="1"/>
  <c r="AQ61" i="36"/>
  <c r="AP61" i="36"/>
  <c r="V61" i="36"/>
  <c r="AR130" i="34"/>
  <c r="BE130" i="34" s="1"/>
  <c r="AQ130" i="34"/>
  <c r="BD130" i="34" s="1"/>
  <c r="AP130" i="34"/>
  <c r="BC130" i="34" s="1"/>
  <c r="AO130" i="34"/>
  <c r="BB130" i="34" s="1"/>
  <c r="AN130" i="34"/>
  <c r="AM130" i="34"/>
  <c r="AZ130" i="34" s="1"/>
  <c r="AL130" i="34"/>
  <c r="AY130" i="34" s="1"/>
  <c r="AK130" i="34"/>
  <c r="AX130" i="34" s="1"/>
  <c r="AJ130" i="34"/>
  <c r="AW130" i="34" s="1"/>
  <c r="AH130" i="34"/>
  <c r="AG130" i="34"/>
  <c r="Q130" i="34"/>
  <c r="AF130" i="34" s="1"/>
  <c r="BL220" i="18"/>
  <c r="BD182" i="18"/>
  <c r="BW182" i="18" s="1"/>
  <c r="BC182" i="18"/>
  <c r="BV182" i="18" s="1"/>
  <c r="BB182" i="18"/>
  <c r="BU182" i="18" s="1"/>
  <c r="BA182" i="18"/>
  <c r="BT182" i="18" s="1"/>
  <c r="AZ182" i="18"/>
  <c r="AY182" i="18"/>
  <c r="BR182" i="18" s="1"/>
  <c r="AX182" i="18"/>
  <c r="BQ182" i="18" s="1"/>
  <c r="AW182" i="18"/>
  <c r="BP182" i="18" s="1"/>
  <c r="AV182" i="18"/>
  <c r="BO182" i="18" s="1"/>
  <c r="AU182" i="18"/>
  <c r="BN182" i="18" s="1"/>
  <c r="AT182" i="18"/>
  <c r="BM182" i="18" s="1"/>
  <c r="AS182" i="18"/>
  <c r="W182" i="18"/>
  <c r="CB182" i="18" s="1"/>
  <c r="BZ181" i="18"/>
  <c r="BD181" i="18"/>
  <c r="BW181" i="18" s="1"/>
  <c r="BC181" i="18"/>
  <c r="BB181" i="18"/>
  <c r="BA181" i="18"/>
  <c r="BT181" i="18" s="1"/>
  <c r="AZ181" i="18"/>
  <c r="AY181" i="18"/>
  <c r="BR181" i="18" s="1"/>
  <c r="AX181" i="18"/>
  <c r="BQ181" i="18" s="1"/>
  <c r="AW181" i="18"/>
  <c r="BP181" i="18" s="1"/>
  <c r="AV181" i="18"/>
  <c r="AU181" i="18"/>
  <c r="BN181" i="18" s="1"/>
  <c r="AT181" i="18"/>
  <c r="BM181" i="18" s="1"/>
  <c r="AS181" i="18"/>
  <c r="W181" i="18"/>
  <c r="CB181" i="18" s="1"/>
  <c r="BZ183" i="18" l="1"/>
  <c r="CC73" i="36"/>
  <c r="AW95" i="36"/>
  <c r="BO88" i="36"/>
  <c r="AU130" i="34"/>
  <c r="BK130" i="34" s="1"/>
  <c r="BM130" i="34" s="1"/>
  <c r="BM136" i="34" s="1"/>
  <c r="BZ67" i="36"/>
  <c r="CC67" i="36" s="1"/>
  <c r="CC74" i="36"/>
  <c r="CA72" i="36"/>
  <c r="BZ66" i="36"/>
  <c r="CC66" i="36" s="1"/>
  <c r="BP62" i="36"/>
  <c r="CQ62" i="36"/>
  <c r="CU62" i="36" s="1"/>
  <c r="BQ62" i="36"/>
  <c r="CE62" i="36" s="1"/>
  <c r="CG62" i="36" s="1"/>
  <c r="BP61" i="36"/>
  <c r="CQ61" i="36"/>
  <c r="CU61" i="36" s="1"/>
  <c r="BQ61" i="36"/>
  <c r="CE61" i="36" s="1"/>
  <c r="CG61" i="36" s="1"/>
  <c r="BP64" i="36"/>
  <c r="CQ64" i="36"/>
  <c r="CU64" i="36" s="1"/>
  <c r="BQ63" i="36"/>
  <c r="CE63" i="36" s="1"/>
  <c r="CG63" i="36" s="1"/>
  <c r="BQ64" i="36"/>
  <c r="BP63" i="36"/>
  <c r="CQ63" i="36"/>
  <c r="CU63" i="36" s="1"/>
  <c r="CE92" i="36"/>
  <c r="CE93" i="36" s="1"/>
  <c r="BA130" i="34"/>
  <c r="BW130" i="34"/>
  <c r="CA130" i="34" s="1"/>
  <c r="BK71" i="18"/>
  <c r="CA71" i="18" s="1"/>
  <c r="BK70" i="18"/>
  <c r="CA70" i="18" s="1"/>
  <c r="BS182" i="18"/>
  <c r="BX182" i="18" s="1"/>
  <c r="CO182" i="18"/>
  <c r="CY182" i="18" s="1"/>
  <c r="BS181" i="18"/>
  <c r="CO181" i="18"/>
  <c r="CY181" i="18" s="1"/>
  <c r="BP90" i="36"/>
  <c r="BZ90" i="36" s="1"/>
  <c r="BP89" i="36"/>
  <c r="BP88" i="36"/>
  <c r="BZ68" i="36"/>
  <c r="CA68" i="36" s="1"/>
  <c r="BZ69" i="36"/>
  <c r="CA69" i="36" s="1"/>
  <c r="BR220" i="18"/>
  <c r="BR222" i="18" s="1"/>
  <c r="BX275" i="18"/>
  <c r="J63" i="32" s="1"/>
  <c r="L63" i="32" s="1"/>
  <c r="BF117" i="20"/>
  <c r="BF115" i="20"/>
  <c r="BI114" i="20"/>
  <c r="BI115" i="20" s="1"/>
  <c r="BG114" i="20"/>
  <c r="BX273" i="18"/>
  <c r="BY274" i="18" s="1"/>
  <c r="BY272" i="18"/>
  <c r="CA272" i="18"/>
  <c r="CA273" i="18" s="1"/>
  <c r="AS130" i="34"/>
  <c r="BG130" i="34" s="1"/>
  <c r="BJ130" i="34"/>
  <c r="AT130" i="34"/>
  <c r="BF130" i="34" s="1"/>
  <c r="CC70" i="36"/>
  <c r="BY220" i="18"/>
  <c r="BN220" i="18"/>
  <c r="AV220" i="18"/>
  <c r="BW220" i="18"/>
  <c r="BQ220" i="18"/>
  <c r="BD220" i="18"/>
  <c r="BP220" i="18"/>
  <c r="BT220" i="18"/>
  <c r="AT220" i="18"/>
  <c r="BM220" i="18"/>
  <c r="AX220" i="18"/>
  <c r="AW220" i="18"/>
  <c r="AU220" i="18"/>
  <c r="CA70" i="36"/>
  <c r="BH51" i="36"/>
  <c r="CC51" i="36" s="1"/>
  <c r="AP51" i="36"/>
  <c r="CD90" i="36"/>
  <c r="CD92" i="36"/>
  <c r="CD89" i="36"/>
  <c r="BH92" i="36"/>
  <c r="CC92" i="36" s="1"/>
  <c r="BH88" i="36"/>
  <c r="CC88" i="36" s="1"/>
  <c r="CD88" i="36"/>
  <c r="BH90" i="36"/>
  <c r="CA90" i="36" s="1"/>
  <c r="BH61" i="36"/>
  <c r="BZ61" i="36" s="1"/>
  <c r="BH89" i="36"/>
  <c r="CA89" i="36" s="1"/>
  <c r="BL88" i="36"/>
  <c r="AP92" i="36"/>
  <c r="BI61" i="36"/>
  <c r="AP64" i="36"/>
  <c r="AP63" i="36"/>
  <c r="BH62" i="36"/>
  <c r="CC62" i="36" s="1"/>
  <c r="BH63" i="36"/>
  <c r="CC63" i="36" s="1"/>
  <c r="BH64" i="36"/>
  <c r="CC64" i="36" s="1"/>
  <c r="AP62" i="36"/>
  <c r="AS220" i="18"/>
  <c r="BV181" i="18"/>
  <c r="BV220" i="18" s="1"/>
  <c r="BK182" i="18"/>
  <c r="BU181" i="18"/>
  <c r="BO181" i="18"/>
  <c r="BO220" i="18" s="1"/>
  <c r="AR181" i="18"/>
  <c r="BK181" i="18"/>
  <c r="AS37" i="18"/>
  <c r="BH244" i="38"/>
  <c r="AR244" i="38"/>
  <c r="BE244" i="38" s="1"/>
  <c r="AQ244" i="38"/>
  <c r="BD244" i="38" s="1"/>
  <c r="AP244" i="38"/>
  <c r="BC244" i="38" s="1"/>
  <c r="AO244" i="38"/>
  <c r="BB244" i="38" s="1"/>
  <c r="AN244" i="38"/>
  <c r="AM244" i="38"/>
  <c r="AL244" i="38"/>
  <c r="AY244" i="38" s="1"/>
  <c r="AK244" i="38"/>
  <c r="AX244" i="38" s="1"/>
  <c r="AJ244" i="38"/>
  <c r="AW244" i="38" s="1"/>
  <c r="AI244" i="38"/>
  <c r="AV244" i="38" s="1"/>
  <c r="AH244" i="38"/>
  <c r="AU244" i="38" s="1"/>
  <c r="AG244" i="38"/>
  <c r="AT244" i="38" s="1"/>
  <c r="Q244" i="38"/>
  <c r="AF244" i="38" s="1"/>
  <c r="BH243" i="38"/>
  <c r="AR243" i="38"/>
  <c r="BE243" i="38" s="1"/>
  <c r="AQ243" i="38"/>
  <c r="BD243" i="38" s="1"/>
  <c r="AP243" i="38"/>
  <c r="BC243" i="38" s="1"/>
  <c r="AO243" i="38"/>
  <c r="BB243" i="38" s="1"/>
  <c r="AN243" i="38"/>
  <c r="AM243" i="38"/>
  <c r="AL243" i="38"/>
  <c r="AK243" i="38"/>
  <c r="AJ243" i="38"/>
  <c r="AI243" i="38"/>
  <c r="AH243" i="38"/>
  <c r="Q243" i="38"/>
  <c r="AF243" i="38" s="1"/>
  <c r="M90" i="32"/>
  <c r="H90" i="32"/>
  <c r="BH195" i="34"/>
  <c r="AR195" i="34"/>
  <c r="BE195" i="34" s="1"/>
  <c r="AQ195" i="34"/>
  <c r="BD195" i="34" s="1"/>
  <c r="AP195" i="34"/>
  <c r="BC195" i="34" s="1"/>
  <c r="AO195" i="34"/>
  <c r="BB195" i="34" s="1"/>
  <c r="AN195" i="34"/>
  <c r="AM195" i="34"/>
  <c r="AZ195" i="34" s="1"/>
  <c r="AL195" i="34"/>
  <c r="AY195" i="34" s="1"/>
  <c r="AK195" i="34"/>
  <c r="AX195" i="34" s="1"/>
  <c r="AJ195" i="34"/>
  <c r="AW195" i="34" s="1"/>
  <c r="AI195" i="34"/>
  <c r="AV195" i="34" s="1"/>
  <c r="AH195" i="34"/>
  <c r="AU195" i="34" s="1"/>
  <c r="AG195" i="34"/>
  <c r="AT195" i="34" s="1"/>
  <c r="Q195" i="34"/>
  <c r="BJ195" i="34" s="1"/>
  <c r="BH194" i="34"/>
  <c r="AR194" i="34"/>
  <c r="BE194" i="34" s="1"/>
  <c r="AQ194" i="34"/>
  <c r="AP194" i="34"/>
  <c r="BC194" i="34" s="1"/>
  <c r="AO194" i="34"/>
  <c r="BB194" i="34" s="1"/>
  <c r="AN194" i="34"/>
  <c r="BW194" i="34" s="1"/>
  <c r="CA194" i="34" s="1"/>
  <c r="AM194" i="34"/>
  <c r="AZ194" i="34" s="1"/>
  <c r="AL194" i="34"/>
  <c r="AK194" i="34"/>
  <c r="AX194" i="34" s="1"/>
  <c r="AJ194" i="34"/>
  <c r="AW194" i="34" s="1"/>
  <c r="AI194" i="34"/>
  <c r="AV194" i="34" s="1"/>
  <c r="AH194" i="34"/>
  <c r="AU194" i="34" s="1"/>
  <c r="AG194" i="34"/>
  <c r="AT194" i="34" s="1"/>
  <c r="Q194" i="34"/>
  <c r="BJ194" i="34" s="1"/>
  <c r="AU190" i="34"/>
  <c r="BH185" i="34"/>
  <c r="AR185" i="34"/>
  <c r="AR187" i="34" s="1"/>
  <c r="AQ185" i="34"/>
  <c r="BD185" i="34" s="1"/>
  <c r="BD187" i="34" s="1"/>
  <c r="AP185" i="34"/>
  <c r="BC185" i="34" s="1"/>
  <c r="AO185" i="34"/>
  <c r="BB185" i="34" s="1"/>
  <c r="AN185" i="34"/>
  <c r="AM185" i="34"/>
  <c r="AM187" i="34" s="1"/>
  <c r="AL185" i="34"/>
  <c r="AY185" i="34" s="1"/>
  <c r="AY187" i="34" s="1"/>
  <c r="AK185" i="34"/>
  <c r="AK187" i="34" s="1"/>
  <c r="AJ185" i="34"/>
  <c r="AJ187" i="34" s="1"/>
  <c r="AI185" i="34"/>
  <c r="AV185" i="34" s="1"/>
  <c r="AV187" i="34" s="1"/>
  <c r="AH185" i="34"/>
  <c r="AU185" i="34" s="1"/>
  <c r="AG185" i="34"/>
  <c r="AT185" i="34" s="1"/>
  <c r="Q185" i="34"/>
  <c r="BJ185" i="34" s="1"/>
  <c r="BJ187" i="34" s="1"/>
  <c r="AU181" i="34"/>
  <c r="M88" i="32"/>
  <c r="H88" i="32"/>
  <c r="BH177" i="34"/>
  <c r="AR177" i="34"/>
  <c r="BE177" i="34" s="1"/>
  <c r="AQ177" i="34"/>
  <c r="BD177" i="34" s="1"/>
  <c r="AP177" i="34"/>
  <c r="BC177" i="34" s="1"/>
  <c r="AO177" i="34"/>
  <c r="BB177" i="34" s="1"/>
  <c r="AN177" i="34"/>
  <c r="AM177" i="34"/>
  <c r="AZ177" i="34" s="1"/>
  <c r="AL177" i="34"/>
  <c r="AY177" i="34" s="1"/>
  <c r="AK177" i="34"/>
  <c r="AX177" i="34" s="1"/>
  <c r="AJ177" i="34"/>
  <c r="AW177" i="34" s="1"/>
  <c r="AI177" i="34"/>
  <c r="AV177" i="34" s="1"/>
  <c r="AH177" i="34"/>
  <c r="AU177" i="34" s="1"/>
  <c r="AG177" i="34"/>
  <c r="Q177" i="34"/>
  <c r="CA88" i="36" l="1"/>
  <c r="CA67" i="36"/>
  <c r="CC89" i="36"/>
  <c r="CA63" i="36"/>
  <c r="CC90" i="36"/>
  <c r="BX181" i="18"/>
  <c r="BX220" i="18" s="1"/>
  <c r="BK136" i="34"/>
  <c r="AZ243" i="38"/>
  <c r="AS243" i="38"/>
  <c r="BI243" i="38" s="1"/>
  <c r="BI245" i="38" s="1"/>
  <c r="BD245" i="38"/>
  <c r="AJ245" i="38"/>
  <c r="BE245" i="38"/>
  <c r="AI245" i="38"/>
  <c r="AV245" i="38"/>
  <c r="AK245" i="38"/>
  <c r="AZ244" i="38"/>
  <c r="BK244" i="38" s="1"/>
  <c r="BA244" i="38"/>
  <c r="BW244" i="38"/>
  <c r="CA244" i="38" s="1"/>
  <c r="AQ245" i="38"/>
  <c r="AU245" i="38"/>
  <c r="AN245" i="38"/>
  <c r="BW245" i="38" s="1"/>
  <c r="CA245" i="38" s="1"/>
  <c r="BW243" i="38"/>
  <c r="CA243" i="38" s="1"/>
  <c r="BZ64" i="36"/>
  <c r="CA64" i="36"/>
  <c r="CA62" i="36"/>
  <c r="CA66" i="36"/>
  <c r="BZ62" i="36"/>
  <c r="BZ63" i="36"/>
  <c r="CE64" i="36"/>
  <c r="CG64" i="36" s="1"/>
  <c r="BZ88" i="36"/>
  <c r="CC69" i="36"/>
  <c r="CG92" i="36"/>
  <c r="BA177" i="34"/>
  <c r="BW177" i="34"/>
  <c r="CA177" i="34" s="1"/>
  <c r="BJ196" i="34"/>
  <c r="AN187" i="34"/>
  <c r="BW187" i="34" s="1"/>
  <c r="CA187" i="34" s="1"/>
  <c r="BW185" i="34"/>
  <c r="CA185" i="34" s="1"/>
  <c r="BA195" i="34"/>
  <c r="BF195" i="34" s="1"/>
  <c r="BW195" i="34"/>
  <c r="CA195" i="34" s="1"/>
  <c r="BG116" i="20"/>
  <c r="N72" i="32"/>
  <c r="BS220" i="18"/>
  <c r="BS222" i="18" s="1"/>
  <c r="CC68" i="36"/>
  <c r="BZ89" i="36"/>
  <c r="O63" i="32"/>
  <c r="L90" i="32"/>
  <c r="BL37" i="18"/>
  <c r="BF116" i="20"/>
  <c r="BG115" i="20"/>
  <c r="BH116" i="20"/>
  <c r="BX274" i="18"/>
  <c r="BZ274" i="18"/>
  <c r="BY273" i="18"/>
  <c r="AQ196" i="34"/>
  <c r="AW196" i="34"/>
  <c r="AX196" i="34"/>
  <c r="AF194" i="34"/>
  <c r="AN196" i="34"/>
  <c r="BW196" i="34" s="1"/>
  <c r="CA196" i="34" s="1"/>
  <c r="AF195" i="34"/>
  <c r="AL196" i="34"/>
  <c r="AP196" i="34"/>
  <c r="AM196" i="34"/>
  <c r="BD194" i="34"/>
  <c r="BD196" i="34" s="1"/>
  <c r="AH245" i="38"/>
  <c r="CA51" i="36"/>
  <c r="CC61" i="36"/>
  <c r="CA92" i="36"/>
  <c r="CA61" i="36"/>
  <c r="BE196" i="34"/>
  <c r="AV196" i="34"/>
  <c r="AZ196" i="34"/>
  <c r="AX185" i="34"/>
  <c r="AX187" i="34" s="1"/>
  <c r="AX189" i="34" s="1"/>
  <c r="AH196" i="34"/>
  <c r="BE185" i="34"/>
  <c r="BE187" i="34" s="1"/>
  <c r="BE189" i="34" s="1"/>
  <c r="AJ196" i="34"/>
  <c r="AR196" i="34"/>
  <c r="AK196" i="34"/>
  <c r="AW185" i="34"/>
  <c r="AW187" i="34" s="1"/>
  <c r="AW189" i="34" s="1"/>
  <c r="AG196" i="34"/>
  <c r="AI196" i="34"/>
  <c r="AQ187" i="34"/>
  <c r="BD189" i="34" s="1"/>
  <c r="AO196" i="34"/>
  <c r="BJ244" i="38"/>
  <c r="AG245" i="38"/>
  <c r="BJ243" i="38"/>
  <c r="U27" i="32" s="1"/>
  <c r="C27" i="32"/>
  <c r="G27" i="32" s="1"/>
  <c r="AY245" i="38"/>
  <c r="AM245" i="38"/>
  <c r="AZ247" i="38" s="1"/>
  <c r="AX245" i="38"/>
  <c r="AW245" i="38"/>
  <c r="AW247" i="38" s="1"/>
  <c r="AF245" i="38"/>
  <c r="BD247" i="38"/>
  <c r="AR245" i="38"/>
  <c r="AO245" i="38"/>
  <c r="AL245" i="38"/>
  <c r="AP245" i="38"/>
  <c r="AT245" i="38"/>
  <c r="AT247" i="38" s="1"/>
  <c r="BB245" i="38"/>
  <c r="BC245" i="38"/>
  <c r="BA243" i="38"/>
  <c r="BA245" i="38" s="1"/>
  <c r="AT196" i="34"/>
  <c r="BB196" i="34"/>
  <c r="AU196" i="34"/>
  <c r="BC196" i="34"/>
  <c r="AF185" i="34"/>
  <c r="AF187" i="34" s="1"/>
  <c r="AZ185" i="34"/>
  <c r="AZ187" i="34" s="1"/>
  <c r="AZ189" i="34" s="1"/>
  <c r="AG187" i="34"/>
  <c r="AY194" i="34"/>
  <c r="AY196" i="34" s="1"/>
  <c r="BH196" i="34"/>
  <c r="C90" i="32" s="1"/>
  <c r="G90" i="32" s="1"/>
  <c r="AO187" i="34"/>
  <c r="AI187" i="34"/>
  <c r="AV189" i="34" s="1"/>
  <c r="AS194" i="34"/>
  <c r="BA194" i="34"/>
  <c r="AS195" i="34"/>
  <c r="AP187" i="34"/>
  <c r="AH187" i="34"/>
  <c r="AL187" i="34"/>
  <c r="AY189" i="34" s="1"/>
  <c r="BB187" i="34"/>
  <c r="AU187" i="34"/>
  <c r="AT187" i="34"/>
  <c r="BC187" i="34"/>
  <c r="BH187" i="34"/>
  <c r="C89" i="32" s="1"/>
  <c r="AS185" i="34"/>
  <c r="BA185" i="34"/>
  <c r="BA187" i="34" s="1"/>
  <c r="L88" i="32"/>
  <c r="Q90" i="32"/>
  <c r="BF177" i="34"/>
  <c r="AF177" i="34"/>
  <c r="BJ177" i="34"/>
  <c r="AS177" i="34"/>
  <c r="BX221" i="18" l="1"/>
  <c r="CC93" i="36"/>
  <c r="BA196" i="34"/>
  <c r="BA198" i="34" s="1"/>
  <c r="BG243" i="38"/>
  <c r="AZ248" i="38"/>
  <c r="AS245" i="38"/>
  <c r="AF196" i="34"/>
  <c r="BA189" i="34"/>
  <c r="AX198" i="34"/>
  <c r="BB247" i="38"/>
  <c r="BA247" i="38"/>
  <c r="AV247" i="38"/>
  <c r="AZ245" i="38"/>
  <c r="AU247" i="38"/>
  <c r="BF244" i="38"/>
  <c r="BK243" i="38"/>
  <c r="BM243" i="38" s="1"/>
  <c r="BI116" i="20"/>
  <c r="BI117" i="20" s="1"/>
  <c r="R72" i="32"/>
  <c r="E63" i="32"/>
  <c r="BD198" i="34"/>
  <c r="CA274" i="18"/>
  <c r="CA275" i="18" s="1"/>
  <c r="R63" i="32"/>
  <c r="BI195" i="34"/>
  <c r="AT189" i="34"/>
  <c r="BB198" i="34"/>
  <c r="AZ198" i="34"/>
  <c r="AW198" i="34"/>
  <c r="BE198" i="34"/>
  <c r="AT198" i="34"/>
  <c r="AY198" i="34"/>
  <c r="AU198" i="34"/>
  <c r="BF185" i="34"/>
  <c r="BF187" i="34" s="1"/>
  <c r="BC198" i="34"/>
  <c r="BB189" i="34"/>
  <c r="AV198" i="34"/>
  <c r="BC247" i="38"/>
  <c r="H27" i="32"/>
  <c r="AU189" i="34"/>
  <c r="BC189" i="34"/>
  <c r="BF194" i="34"/>
  <c r="BG195" i="34"/>
  <c r="AS196" i="34"/>
  <c r="AS187" i="34"/>
  <c r="T90" i="32"/>
  <c r="BG177" i="34"/>
  <c r="BE247" i="38" l="1"/>
  <c r="BE246" i="38"/>
  <c r="BF246" i="38"/>
  <c r="BG246" i="38"/>
  <c r="AZ249" i="38"/>
  <c r="M27" i="32"/>
  <c r="V27" i="32" s="1"/>
  <c r="BM245" i="38"/>
  <c r="BK245" i="38"/>
  <c r="BK241" i="38"/>
  <c r="T96" i="32"/>
  <c r="X63" i="32"/>
  <c r="BF198" i="34"/>
  <c r="BG185" i="34"/>
  <c r="BG187" i="34" s="1"/>
  <c r="BI188" i="34" s="1"/>
  <c r="BI185" i="34"/>
  <c r="BI187" i="34" s="1"/>
  <c r="BH188" i="34" s="1"/>
  <c r="BF189" i="34"/>
  <c r="BZ182" i="18"/>
  <c r="AR182" i="18"/>
  <c r="L27" i="32"/>
  <c r="BG245" i="38"/>
  <c r="BI246" i="38" s="1"/>
  <c r="BF196" i="34"/>
  <c r="BF197" i="34" s="1"/>
  <c r="BG194" i="34"/>
  <c r="BG196" i="34" s="1"/>
  <c r="BI194" i="34"/>
  <c r="BI196" i="34" s="1"/>
  <c r="BF188" i="34"/>
  <c r="BG188" i="34"/>
  <c r="BI247" i="38" l="1"/>
  <c r="Q27" i="32"/>
  <c r="T27" i="32" s="1"/>
  <c r="R89" i="32"/>
  <c r="BI189" i="34"/>
  <c r="BI197" i="34"/>
  <c r="BI198" i="34" s="1"/>
  <c r="R90" i="32"/>
  <c r="S90" i="32" s="1"/>
  <c r="R27" i="32"/>
  <c r="BH197" i="34"/>
  <c r="BG197" i="34"/>
  <c r="Z27" i="32" l="1"/>
  <c r="S27" i="32"/>
  <c r="CB17" i="36"/>
  <c r="BA17" i="36"/>
  <c r="AZ17" i="36"/>
  <c r="AX17" i="36"/>
  <c r="CQ17" i="36" s="1"/>
  <c r="CU17" i="36" s="1"/>
  <c r="AW17" i="36"/>
  <c r="AV17" i="36"/>
  <c r="AU17" i="36"/>
  <c r="AT17" i="36"/>
  <c r="AS17" i="36"/>
  <c r="AR17" i="36"/>
  <c r="AQ17" i="36"/>
  <c r="BI17" i="36" s="1"/>
  <c r="V17" i="36"/>
  <c r="BZ259" i="18"/>
  <c r="BD259" i="18"/>
  <c r="BW259" i="18" s="1"/>
  <c r="BC259" i="18"/>
  <c r="BV259" i="18" s="1"/>
  <c r="BB259" i="18"/>
  <c r="BU259" i="18" s="1"/>
  <c r="BA259" i="18"/>
  <c r="BT259" i="18" s="1"/>
  <c r="AZ259" i="18"/>
  <c r="AY259" i="18"/>
  <c r="BR259" i="18" s="1"/>
  <c r="AX259" i="18"/>
  <c r="BQ259" i="18" s="1"/>
  <c r="AW259" i="18"/>
  <c r="AV259" i="18"/>
  <c r="BO259" i="18" s="1"/>
  <c r="AU259" i="18"/>
  <c r="BN259" i="18" s="1"/>
  <c r="AT259" i="18"/>
  <c r="AS259" i="18"/>
  <c r="BL259" i="18" s="1"/>
  <c r="W259" i="18"/>
  <c r="CB259" i="18" s="1"/>
  <c r="BZ258" i="18"/>
  <c r="BD258" i="18"/>
  <c r="BW258" i="18" s="1"/>
  <c r="BC258" i="18"/>
  <c r="BV258" i="18" s="1"/>
  <c r="BB258" i="18"/>
  <c r="BU258" i="18" s="1"/>
  <c r="BA258" i="18"/>
  <c r="BT258" i="18" s="1"/>
  <c r="AZ258" i="18"/>
  <c r="AY258" i="18"/>
  <c r="BR258" i="18" s="1"/>
  <c r="AX258" i="18"/>
  <c r="BQ258" i="18" s="1"/>
  <c r="AW258" i="18"/>
  <c r="BP258" i="18" s="1"/>
  <c r="AV258" i="18"/>
  <c r="BO258" i="18" s="1"/>
  <c r="AU258" i="18"/>
  <c r="BN258" i="18" s="1"/>
  <c r="AT258" i="18"/>
  <c r="BM258" i="18" s="1"/>
  <c r="AS258" i="18"/>
  <c r="BL258" i="18" s="1"/>
  <c r="W258" i="18"/>
  <c r="CB258" i="18" s="1"/>
  <c r="BZ257" i="18"/>
  <c r="BD257" i="18"/>
  <c r="BW257" i="18" s="1"/>
  <c r="BC257" i="18"/>
  <c r="BV257" i="18" s="1"/>
  <c r="BB257" i="18"/>
  <c r="BU257" i="18" s="1"/>
  <c r="BA257" i="18"/>
  <c r="BT257" i="18" s="1"/>
  <c r="AZ257" i="18"/>
  <c r="AY257" i="18"/>
  <c r="BR257" i="18" s="1"/>
  <c r="AX257" i="18"/>
  <c r="BQ257" i="18" s="1"/>
  <c r="AW257" i="18"/>
  <c r="BP257" i="18" s="1"/>
  <c r="AV257" i="18"/>
  <c r="BO257" i="18" s="1"/>
  <c r="AU257" i="18"/>
  <c r="BN257" i="18" s="1"/>
  <c r="AT257" i="18"/>
  <c r="BM257" i="18" s="1"/>
  <c r="AS257" i="18"/>
  <c r="BL257" i="18" s="1"/>
  <c r="W257" i="18"/>
  <c r="CB257" i="18" s="1"/>
  <c r="BZ256" i="18"/>
  <c r="BD256" i="18"/>
  <c r="BC256" i="18"/>
  <c r="BV256" i="18" s="1"/>
  <c r="BB256" i="18"/>
  <c r="BU256" i="18" s="1"/>
  <c r="BA256" i="18"/>
  <c r="BT256" i="18" s="1"/>
  <c r="AZ256" i="18"/>
  <c r="CO256" i="18" s="1"/>
  <c r="CY256" i="18" s="1"/>
  <c r="AY256" i="18"/>
  <c r="BR256" i="18" s="1"/>
  <c r="BR263" i="18" s="1"/>
  <c r="AX256" i="18"/>
  <c r="AW256" i="18"/>
  <c r="BP256" i="18" s="1"/>
  <c r="AV256" i="18"/>
  <c r="AU256" i="18"/>
  <c r="BN256" i="18" s="1"/>
  <c r="AT256" i="18"/>
  <c r="AS256" i="18"/>
  <c r="BL256" i="18" s="1"/>
  <c r="W256" i="18"/>
  <c r="CB256" i="18" s="1"/>
  <c r="BZ263" i="18" l="1"/>
  <c r="BT263" i="18"/>
  <c r="BL263" i="18"/>
  <c r="BN263" i="18"/>
  <c r="BV263" i="18"/>
  <c r="AT263" i="18"/>
  <c r="BU263" i="18"/>
  <c r="BM256" i="18"/>
  <c r="BS259" i="18"/>
  <c r="CO259" i="18"/>
  <c r="CY259" i="18" s="1"/>
  <c r="BS258" i="18"/>
  <c r="CO258" i="18"/>
  <c r="CY258" i="18" s="1"/>
  <c r="BS257" i="18"/>
  <c r="BX257" i="18" s="1"/>
  <c r="CO257" i="18"/>
  <c r="CY257" i="18" s="1"/>
  <c r="BM259" i="18"/>
  <c r="BJ17" i="36"/>
  <c r="BO17" i="36"/>
  <c r="BL17" i="36"/>
  <c r="BM17" i="36"/>
  <c r="BP17" i="36"/>
  <c r="BK17" i="36"/>
  <c r="BN17" i="36"/>
  <c r="CB263" i="18"/>
  <c r="U62" i="32" s="1"/>
  <c r="CA221" i="18"/>
  <c r="BD263" i="18"/>
  <c r="BW256" i="18"/>
  <c r="BW263" i="18" s="1"/>
  <c r="AV263" i="18"/>
  <c r="AR258" i="18"/>
  <c r="BK259" i="18"/>
  <c r="AP17" i="36"/>
  <c r="BH17" i="36"/>
  <c r="AX263" i="18"/>
  <c r="BO256" i="18"/>
  <c r="BO263" i="18" s="1"/>
  <c r="AR257" i="18"/>
  <c r="AR259" i="18"/>
  <c r="AR256" i="18"/>
  <c r="BQ256" i="18"/>
  <c r="BQ263" i="18" s="1"/>
  <c r="AY263" i="18"/>
  <c r="AZ263" i="18"/>
  <c r="CO263" i="18" s="1"/>
  <c r="CY263" i="18" s="1"/>
  <c r="BK257" i="18"/>
  <c r="CA257" i="18" s="1"/>
  <c r="AU263" i="18"/>
  <c r="BS256" i="18"/>
  <c r="BK258" i="18"/>
  <c r="BC263" i="18"/>
  <c r="BP259" i="18"/>
  <c r="BP263" i="18" s="1"/>
  <c r="BA263" i="18"/>
  <c r="AS263" i="18"/>
  <c r="AW263" i="18"/>
  <c r="BK256" i="18"/>
  <c r="BB263" i="18"/>
  <c r="CA256" i="18" l="1"/>
  <c r="BY256" i="18"/>
  <c r="CA260" i="18"/>
  <c r="CA261" i="18" s="1"/>
  <c r="CA262" i="18" s="1"/>
  <c r="BS263" i="18"/>
  <c r="BS265" i="18" s="1"/>
  <c r="BY257" i="18"/>
  <c r="BM263" i="18"/>
  <c r="BX259" i="18"/>
  <c r="BZ17" i="36"/>
  <c r="CA17" i="36" s="1"/>
  <c r="BW265" i="18"/>
  <c r="G63" i="32"/>
  <c r="C62" i="32"/>
  <c r="G62" i="32" s="1"/>
  <c r="BQ265" i="18"/>
  <c r="AR263" i="18"/>
  <c r="BO265" i="18"/>
  <c r="BU265" i="18"/>
  <c r="BV265" i="18"/>
  <c r="CA258" i="18"/>
  <c r="BT265" i="18"/>
  <c r="BR265" i="18"/>
  <c r="BL265" i="18"/>
  <c r="BP265" i="18"/>
  <c r="BX256" i="18"/>
  <c r="BX263" i="18" s="1"/>
  <c r="BX265" i="18" l="1"/>
  <c r="BX264" i="18"/>
  <c r="BX266" i="18" s="1"/>
  <c r="BY264" i="18"/>
  <c r="BY263" i="18"/>
  <c r="CC17" i="36"/>
  <c r="M62" i="32"/>
  <c r="H62" i="32"/>
  <c r="Q62" i="32" l="1"/>
  <c r="Q64" i="32" s="1"/>
  <c r="M64" i="32"/>
  <c r="BY265" i="18"/>
  <c r="V62" i="32"/>
  <c r="R62" i="32"/>
  <c r="R64" i="32" s="1"/>
  <c r="L62" i="32"/>
  <c r="Z62" i="32" s="1"/>
  <c r="CA264" i="18"/>
  <c r="CA265" i="18" s="1"/>
  <c r="BZ264" i="18"/>
  <c r="BZ265" i="18" s="1"/>
  <c r="S62" i="32" l="1"/>
  <c r="O26" i="32"/>
  <c r="J26" i="32"/>
  <c r="O59" i="32"/>
  <c r="BZ18" i="18"/>
  <c r="BD18" i="18"/>
  <c r="BW18" i="18" s="1"/>
  <c r="BC18" i="18"/>
  <c r="BV18" i="18" s="1"/>
  <c r="BB18" i="18"/>
  <c r="BU18" i="18" s="1"/>
  <c r="BA18" i="18"/>
  <c r="BT18" i="18" s="1"/>
  <c r="AZ18" i="18"/>
  <c r="BS18" i="18" s="1"/>
  <c r="AY18" i="18"/>
  <c r="BR18" i="18" s="1"/>
  <c r="AX18" i="18"/>
  <c r="BQ18" i="18" s="1"/>
  <c r="AW18" i="18"/>
  <c r="BP18" i="18" s="1"/>
  <c r="AV18" i="18"/>
  <c r="BO18" i="18" s="1"/>
  <c r="AU18" i="18"/>
  <c r="BN18" i="18" s="1"/>
  <c r="AT18" i="18"/>
  <c r="BM18" i="18" s="1"/>
  <c r="AS18" i="18"/>
  <c r="CB18" i="18"/>
  <c r="BL18" i="18" l="1"/>
  <c r="BX18" i="18" s="1"/>
  <c r="BK18" i="18"/>
  <c r="AR18" i="18"/>
  <c r="CB118" i="36"/>
  <c r="BA118" i="36"/>
  <c r="BS118" i="36" s="1"/>
  <c r="AZ118" i="36"/>
  <c r="BR118" i="36" s="1"/>
  <c r="AY118" i="36"/>
  <c r="BQ118" i="36" s="1"/>
  <c r="AX118" i="36"/>
  <c r="AW118" i="36"/>
  <c r="BO118" i="36" s="1"/>
  <c r="AV118" i="36"/>
  <c r="BN118" i="36" s="1"/>
  <c r="AU118" i="36"/>
  <c r="BM118" i="36" s="1"/>
  <c r="AT118" i="36"/>
  <c r="BL118" i="36" s="1"/>
  <c r="AS118" i="36"/>
  <c r="BK118" i="36" s="1"/>
  <c r="AR118" i="36"/>
  <c r="BJ118" i="36" s="1"/>
  <c r="AQ118" i="36"/>
  <c r="V118" i="36"/>
  <c r="CD118" i="36" s="1"/>
  <c r="BP118" i="36" l="1"/>
  <c r="BZ118" i="36" s="1"/>
  <c r="CQ118" i="36"/>
  <c r="CU118" i="36" s="1"/>
  <c r="CA18" i="18"/>
  <c r="BY18" i="18"/>
  <c r="AP118" i="36"/>
  <c r="BH118" i="36"/>
  <c r="CA118" i="36" l="1"/>
  <c r="CC118" i="36"/>
  <c r="CB23" i="36" l="1"/>
  <c r="BA23" i="36"/>
  <c r="AZ23" i="36"/>
  <c r="AX23" i="36"/>
  <c r="AW23" i="36"/>
  <c r="BO23" i="36" s="1"/>
  <c r="AV23" i="36"/>
  <c r="BN23" i="36" s="1"/>
  <c r="AU23" i="36"/>
  <c r="BM23" i="36" s="1"/>
  <c r="AT23" i="36"/>
  <c r="BL23" i="36" s="1"/>
  <c r="AS23" i="36"/>
  <c r="BK23" i="36" s="1"/>
  <c r="AR23" i="36"/>
  <c r="BJ23" i="36" s="1"/>
  <c r="AQ23" i="36"/>
  <c r="BI23" i="36" s="1"/>
  <c r="V23" i="36"/>
  <c r="BP23" i="36" l="1"/>
  <c r="BZ23" i="36" s="1"/>
  <c r="CQ23" i="36"/>
  <c r="CU23" i="36" s="1"/>
  <c r="AP23" i="36"/>
  <c r="BH23" i="36"/>
  <c r="CA23" i="36" l="1"/>
  <c r="CC23" i="36"/>
  <c r="W243" i="18" l="1"/>
  <c r="AR243" i="18" s="1"/>
  <c r="AS243" i="18"/>
  <c r="BL243" i="18" s="1"/>
  <c r="AT243" i="18"/>
  <c r="BM243" i="18" s="1"/>
  <c r="AU243" i="18"/>
  <c r="BN243" i="18" s="1"/>
  <c r="AV243" i="18"/>
  <c r="BO243" i="18" s="1"/>
  <c r="AW243" i="18"/>
  <c r="BP243" i="18" s="1"/>
  <c r="AX243" i="18"/>
  <c r="BQ243" i="18" s="1"/>
  <c r="AY243" i="18"/>
  <c r="BR243" i="18" s="1"/>
  <c r="AZ243" i="18"/>
  <c r="BA243" i="18"/>
  <c r="BT243" i="18" s="1"/>
  <c r="BB243" i="18"/>
  <c r="BU243" i="18" s="1"/>
  <c r="BC243" i="18"/>
  <c r="BV243" i="18" s="1"/>
  <c r="BD243" i="18"/>
  <c r="BW243" i="18" s="1"/>
  <c r="BZ243" i="18"/>
  <c r="BZ248" i="18"/>
  <c r="BD248" i="18"/>
  <c r="BW248" i="18" s="1"/>
  <c r="BC248" i="18"/>
  <c r="BV248" i="18" s="1"/>
  <c r="BB248" i="18"/>
  <c r="BU248" i="18" s="1"/>
  <c r="BA248" i="18"/>
  <c r="BT248" i="18" s="1"/>
  <c r="AZ248" i="18"/>
  <c r="AY248" i="18"/>
  <c r="BR248" i="18" s="1"/>
  <c r="AX248" i="18"/>
  <c r="BQ248" i="18" s="1"/>
  <c r="AW248" i="18"/>
  <c r="BP248" i="18" s="1"/>
  <c r="AV248" i="18"/>
  <c r="BO248" i="18" s="1"/>
  <c r="AU248" i="18"/>
  <c r="BN248" i="18" s="1"/>
  <c r="AT248" i="18"/>
  <c r="BM248" i="18" s="1"/>
  <c r="AS248" i="18"/>
  <c r="W248" i="18"/>
  <c r="CB248" i="18" s="1"/>
  <c r="BZ247" i="18"/>
  <c r="BD247" i="18"/>
  <c r="BW247" i="18" s="1"/>
  <c r="BC247" i="18"/>
  <c r="BV247" i="18" s="1"/>
  <c r="BB247" i="18"/>
  <c r="BU247" i="18" s="1"/>
  <c r="BA247" i="18"/>
  <c r="BT247" i="18" s="1"/>
  <c r="AZ247" i="18"/>
  <c r="AY247" i="18"/>
  <c r="BR247" i="18" s="1"/>
  <c r="AX247" i="18"/>
  <c r="BQ247" i="18" s="1"/>
  <c r="AW247" i="18"/>
  <c r="BP247" i="18" s="1"/>
  <c r="AV247" i="18"/>
  <c r="BO247" i="18" s="1"/>
  <c r="AU247" i="18"/>
  <c r="BN247" i="18" s="1"/>
  <c r="AT247" i="18"/>
  <c r="BM247" i="18" s="1"/>
  <c r="AS247" i="18"/>
  <c r="W247" i="18"/>
  <c r="CB247" i="18" s="1"/>
  <c r="BZ245" i="18"/>
  <c r="BD245" i="18"/>
  <c r="BW245" i="18" s="1"/>
  <c r="BC245" i="18"/>
  <c r="BV245" i="18" s="1"/>
  <c r="BB245" i="18"/>
  <c r="BU245" i="18" s="1"/>
  <c r="BA245" i="18"/>
  <c r="BT245" i="18" s="1"/>
  <c r="AZ245" i="18"/>
  <c r="AY245" i="18"/>
  <c r="BR245" i="18" s="1"/>
  <c r="AX245" i="18"/>
  <c r="BQ245" i="18" s="1"/>
  <c r="AW245" i="18"/>
  <c r="BP245" i="18" s="1"/>
  <c r="AV245" i="18"/>
  <c r="BO245" i="18" s="1"/>
  <c r="AU245" i="18"/>
  <c r="BN245" i="18" s="1"/>
  <c r="AT245" i="18"/>
  <c r="AS245" i="18"/>
  <c r="BL245" i="18" s="1"/>
  <c r="W245" i="18"/>
  <c r="CB245" i="18" s="1"/>
  <c r="BZ242" i="18"/>
  <c r="BD242" i="18"/>
  <c r="BW242" i="18" s="1"/>
  <c r="BC242" i="18"/>
  <c r="BV242" i="18" s="1"/>
  <c r="BB242" i="18"/>
  <c r="BU242" i="18" s="1"/>
  <c r="BA242" i="18"/>
  <c r="BT242" i="18" s="1"/>
  <c r="AZ242" i="18"/>
  <c r="AY242" i="18"/>
  <c r="BR242" i="18" s="1"/>
  <c r="AX242" i="18"/>
  <c r="BQ242" i="18" s="1"/>
  <c r="AW242" i="18"/>
  <c r="BP242" i="18" s="1"/>
  <c r="AV242" i="18"/>
  <c r="BO242" i="18" s="1"/>
  <c r="AU242" i="18"/>
  <c r="BN242" i="18" s="1"/>
  <c r="AT242" i="18"/>
  <c r="AS242" i="18"/>
  <c r="BL242" i="18" s="1"/>
  <c r="W242" i="18"/>
  <c r="CB242" i="18" s="1"/>
  <c r="BZ123" i="18"/>
  <c r="BD123" i="18"/>
  <c r="BW123" i="18" s="1"/>
  <c r="BC123" i="18"/>
  <c r="BV123" i="18" s="1"/>
  <c r="BB123" i="18"/>
  <c r="BU123" i="18" s="1"/>
  <c r="BA123" i="18"/>
  <c r="BT123" i="18" s="1"/>
  <c r="AZ123" i="18"/>
  <c r="AY123" i="18"/>
  <c r="BR123" i="18" s="1"/>
  <c r="AX123" i="18"/>
  <c r="BQ123" i="18" s="1"/>
  <c r="AW123" i="18"/>
  <c r="BP123" i="18" s="1"/>
  <c r="AV123" i="18"/>
  <c r="BO123" i="18" s="1"/>
  <c r="AU123" i="18"/>
  <c r="BN123" i="18" s="1"/>
  <c r="AT123" i="18"/>
  <c r="BM123" i="18" s="1"/>
  <c r="AS123" i="18"/>
  <c r="CB123" i="18"/>
  <c r="BZ122" i="18"/>
  <c r="BD122" i="18"/>
  <c r="BW122" i="18" s="1"/>
  <c r="BC122" i="18"/>
  <c r="BV122" i="18" s="1"/>
  <c r="BB122" i="18"/>
  <c r="BU122" i="18" s="1"/>
  <c r="BA122" i="18"/>
  <c r="BT122" i="18" s="1"/>
  <c r="AZ122" i="18"/>
  <c r="AY122" i="18"/>
  <c r="BR122" i="18" s="1"/>
  <c r="AX122" i="18"/>
  <c r="BQ122" i="18" s="1"/>
  <c r="AW122" i="18"/>
  <c r="BP122" i="18" s="1"/>
  <c r="AV122" i="18"/>
  <c r="BO122" i="18" s="1"/>
  <c r="AU122" i="18"/>
  <c r="BN122" i="18" s="1"/>
  <c r="AT122" i="18"/>
  <c r="BM122" i="18" s="1"/>
  <c r="AS122" i="18"/>
  <c r="CB122" i="18"/>
  <c r="BZ110" i="18"/>
  <c r="BD110" i="18"/>
  <c r="BW110" i="18" s="1"/>
  <c r="BC110" i="18"/>
  <c r="BV110" i="18" s="1"/>
  <c r="BB110" i="18"/>
  <c r="BU110" i="18" s="1"/>
  <c r="BA110" i="18"/>
  <c r="BT110" i="18" s="1"/>
  <c r="AZ110" i="18"/>
  <c r="AY110" i="18"/>
  <c r="BR110" i="18" s="1"/>
  <c r="AX110" i="18"/>
  <c r="BQ110" i="18" s="1"/>
  <c r="AW110" i="18"/>
  <c r="BP110" i="18" s="1"/>
  <c r="AV110" i="18"/>
  <c r="BO110" i="18" s="1"/>
  <c r="AU110" i="18"/>
  <c r="BN110" i="18" s="1"/>
  <c r="AT110" i="18"/>
  <c r="BM110" i="18" s="1"/>
  <c r="AS110" i="18"/>
  <c r="CB110" i="18"/>
  <c r="BL110" i="18" l="1"/>
  <c r="BK110" i="18"/>
  <c r="CA110" i="18" s="1"/>
  <c r="BL123" i="18"/>
  <c r="BK123" i="18"/>
  <c r="CA123" i="18" s="1"/>
  <c r="BK122" i="18"/>
  <c r="CA122" i="18" s="1"/>
  <c r="BS242" i="18"/>
  <c r="BX242" i="18" s="1"/>
  <c r="CO242" i="18"/>
  <c r="CY242" i="18" s="1"/>
  <c r="BS123" i="18"/>
  <c r="CO123" i="18"/>
  <c r="CY123" i="18" s="1"/>
  <c r="BS248" i="18"/>
  <c r="CO248" i="18"/>
  <c r="CY248" i="18" s="1"/>
  <c r="BS245" i="18"/>
  <c r="BX245" i="18" s="1"/>
  <c r="CO245" i="18"/>
  <c r="CY245" i="18" s="1"/>
  <c r="BS110" i="18"/>
  <c r="CO110" i="18"/>
  <c r="CY110" i="18" s="1"/>
  <c r="BS122" i="18"/>
  <c r="CO122" i="18"/>
  <c r="CY122" i="18" s="1"/>
  <c r="BS247" i="18"/>
  <c r="CO247" i="18"/>
  <c r="CY247" i="18" s="1"/>
  <c r="BS243" i="18"/>
  <c r="BX243" i="18" s="1"/>
  <c r="CO243" i="18"/>
  <c r="CY243" i="18" s="1"/>
  <c r="CB243" i="18"/>
  <c r="BK245" i="18"/>
  <c r="BK243" i="18"/>
  <c r="AR248" i="18"/>
  <c r="BL247" i="18"/>
  <c r="BX247" i="18" s="1"/>
  <c r="BK247" i="18"/>
  <c r="BL248" i="18"/>
  <c r="BK248" i="18"/>
  <c r="AR245" i="18"/>
  <c r="AR247" i="18"/>
  <c r="AR242" i="18"/>
  <c r="BK242" i="18"/>
  <c r="AR122" i="18"/>
  <c r="AR123" i="18"/>
  <c r="BL122" i="18"/>
  <c r="AR110" i="18"/>
  <c r="BH106" i="20"/>
  <c r="AR106" i="20"/>
  <c r="BE106" i="20" s="1"/>
  <c r="AQ106" i="20"/>
  <c r="BD106" i="20" s="1"/>
  <c r="AP106" i="20"/>
  <c r="BC106" i="20" s="1"/>
  <c r="AO106" i="20"/>
  <c r="BB106" i="20" s="1"/>
  <c r="AN106" i="20"/>
  <c r="AM106" i="20"/>
  <c r="AZ106" i="20" s="1"/>
  <c r="AL106" i="20"/>
  <c r="AY106" i="20" s="1"/>
  <c r="AK106" i="20"/>
  <c r="AX106" i="20" s="1"/>
  <c r="AJ106" i="20"/>
  <c r="AW106" i="20" s="1"/>
  <c r="AI106" i="20"/>
  <c r="AV106" i="20" s="1"/>
  <c r="AH106" i="20"/>
  <c r="AU106" i="20" s="1"/>
  <c r="Q106" i="20"/>
  <c r="BH105" i="20"/>
  <c r="AR105" i="20"/>
  <c r="BE105" i="20" s="1"/>
  <c r="AQ105" i="20"/>
  <c r="BD105" i="20" s="1"/>
  <c r="AP105" i="20"/>
  <c r="BC105" i="20" s="1"/>
  <c r="AO105" i="20"/>
  <c r="BB105" i="20" s="1"/>
  <c r="AN105" i="20"/>
  <c r="AM105" i="20"/>
  <c r="AZ105" i="20" s="1"/>
  <c r="AL105" i="20"/>
  <c r="AY105" i="20" s="1"/>
  <c r="AK105" i="20"/>
  <c r="AX105" i="20" s="1"/>
  <c r="AJ105" i="20"/>
  <c r="AW105" i="20" s="1"/>
  <c r="AI105" i="20"/>
  <c r="AV105" i="20" s="1"/>
  <c r="AG105" i="20"/>
  <c r="AT105" i="20" s="1"/>
  <c r="Q105" i="20"/>
  <c r="AF105" i="20" s="1"/>
  <c r="BH104" i="20"/>
  <c r="AR104" i="20"/>
  <c r="BE104" i="20" s="1"/>
  <c r="AQ104" i="20"/>
  <c r="BD104" i="20" s="1"/>
  <c r="AP104" i="20"/>
  <c r="BC104" i="20" s="1"/>
  <c r="AO104" i="20"/>
  <c r="BB104" i="20" s="1"/>
  <c r="AN104" i="20"/>
  <c r="AM104" i="20"/>
  <c r="AZ104" i="20" s="1"/>
  <c r="AL104" i="20"/>
  <c r="AY104" i="20" s="1"/>
  <c r="AK104" i="20"/>
  <c r="AX104" i="20" s="1"/>
  <c r="AJ104" i="20"/>
  <c r="AW104" i="20" s="1"/>
  <c r="AI104" i="20"/>
  <c r="AH104" i="20"/>
  <c r="AU104" i="20" s="1"/>
  <c r="AG104" i="20"/>
  <c r="AT104" i="20" s="1"/>
  <c r="Q104" i="20"/>
  <c r="BJ104" i="20" s="1"/>
  <c r="BH103" i="20"/>
  <c r="AR103" i="20"/>
  <c r="BE103" i="20" s="1"/>
  <c r="AQ103" i="20"/>
  <c r="BD103" i="20" s="1"/>
  <c r="AP103" i="20"/>
  <c r="BC103" i="20" s="1"/>
  <c r="AO103" i="20"/>
  <c r="BB103" i="20" s="1"/>
  <c r="AN103" i="20"/>
  <c r="AM103" i="20"/>
  <c r="AZ103" i="20" s="1"/>
  <c r="AL103" i="20"/>
  <c r="AY103" i="20" s="1"/>
  <c r="AK103" i="20"/>
  <c r="AX103" i="20" s="1"/>
  <c r="AJ103" i="20"/>
  <c r="AW103" i="20" s="1"/>
  <c r="AI103" i="20"/>
  <c r="AH103" i="20"/>
  <c r="AG103" i="20"/>
  <c r="AT103" i="20" s="1"/>
  <c r="Q103" i="20"/>
  <c r="BJ103" i="20" s="1"/>
  <c r="BH102" i="20"/>
  <c r="AR102" i="20"/>
  <c r="BE102" i="20" s="1"/>
  <c r="AQ102" i="20"/>
  <c r="BD102" i="20" s="1"/>
  <c r="AP102" i="20"/>
  <c r="BC102" i="20" s="1"/>
  <c r="AO102" i="20"/>
  <c r="BB102" i="20" s="1"/>
  <c r="AN102" i="20"/>
  <c r="AM102" i="20"/>
  <c r="AZ102" i="20" s="1"/>
  <c r="AL102" i="20"/>
  <c r="AY102" i="20" s="1"/>
  <c r="AK102" i="20"/>
  <c r="AX102" i="20" s="1"/>
  <c r="AJ102" i="20"/>
  <c r="AW102" i="20" s="1"/>
  <c r="AI102" i="20"/>
  <c r="AV102" i="20" s="1"/>
  <c r="AH102" i="20"/>
  <c r="AG102" i="20"/>
  <c r="AT102" i="20" s="1"/>
  <c r="Q102" i="20"/>
  <c r="AF102" i="20" s="1"/>
  <c r="BH101" i="20"/>
  <c r="AR101" i="20"/>
  <c r="BE101" i="20" s="1"/>
  <c r="AQ101" i="20"/>
  <c r="BD101" i="20" s="1"/>
  <c r="AP101" i="20"/>
  <c r="BC101" i="20" s="1"/>
  <c r="AO101" i="20"/>
  <c r="BB101" i="20" s="1"/>
  <c r="AN101" i="20"/>
  <c r="AM101" i="20"/>
  <c r="AZ101" i="20" s="1"/>
  <c r="AL101" i="20"/>
  <c r="AY101" i="20" s="1"/>
  <c r="AK101" i="20"/>
  <c r="AX101" i="20" s="1"/>
  <c r="AJ101" i="20"/>
  <c r="AW101" i="20" s="1"/>
  <c r="AI101" i="20"/>
  <c r="AV101" i="20" s="1"/>
  <c r="AH101" i="20"/>
  <c r="AG101" i="20"/>
  <c r="AT101" i="20" s="1"/>
  <c r="Q101" i="20"/>
  <c r="AF101" i="20" s="1"/>
  <c r="BH100" i="20"/>
  <c r="AR100" i="20"/>
  <c r="BE100" i="20" s="1"/>
  <c r="AQ100" i="20"/>
  <c r="BD100" i="20" s="1"/>
  <c r="AP100" i="20"/>
  <c r="BC100" i="20" s="1"/>
  <c r="AO100" i="20"/>
  <c r="BB100" i="20" s="1"/>
  <c r="AN100" i="20"/>
  <c r="AM100" i="20"/>
  <c r="AZ100" i="20" s="1"/>
  <c r="AL100" i="20"/>
  <c r="AY100" i="20" s="1"/>
  <c r="AK100" i="20"/>
  <c r="AX100" i="20" s="1"/>
  <c r="AJ100" i="20"/>
  <c r="AW100" i="20" s="1"/>
  <c r="AI100" i="20"/>
  <c r="AV100" i="20" s="1"/>
  <c r="AH100" i="20"/>
  <c r="AG100" i="20"/>
  <c r="Q100" i="20"/>
  <c r="AF100" i="20" s="1"/>
  <c r="BH99" i="20"/>
  <c r="AR99" i="20"/>
  <c r="BE99" i="20" s="1"/>
  <c r="AQ99" i="20"/>
  <c r="BD99" i="20" s="1"/>
  <c r="AP99" i="20"/>
  <c r="BC99" i="20" s="1"/>
  <c r="AO99" i="20"/>
  <c r="BB99" i="20" s="1"/>
  <c r="AN99" i="20"/>
  <c r="AM99" i="20"/>
  <c r="AZ99" i="20" s="1"/>
  <c r="AL99" i="20"/>
  <c r="AY99" i="20" s="1"/>
  <c r="AK99" i="20"/>
  <c r="AX99" i="20" s="1"/>
  <c r="AJ99" i="20"/>
  <c r="AW99" i="20" s="1"/>
  <c r="AI99" i="20"/>
  <c r="AV99" i="20" s="1"/>
  <c r="AH99" i="20"/>
  <c r="AG99" i="20"/>
  <c r="AT99" i="20" s="1"/>
  <c r="Q99" i="20"/>
  <c r="BJ99" i="20" s="1"/>
  <c r="BH98" i="20"/>
  <c r="AR98" i="20"/>
  <c r="BE98" i="20" s="1"/>
  <c r="AQ98" i="20"/>
  <c r="BD98" i="20" s="1"/>
  <c r="AP98" i="20"/>
  <c r="BC98" i="20" s="1"/>
  <c r="AO98" i="20"/>
  <c r="BB98" i="20" s="1"/>
  <c r="AN98" i="20"/>
  <c r="BW98" i="20" s="1"/>
  <c r="CA98" i="20" s="1"/>
  <c r="AM98" i="20"/>
  <c r="AL98" i="20"/>
  <c r="AK98" i="20"/>
  <c r="AJ98" i="20"/>
  <c r="AW98" i="20" s="1"/>
  <c r="AI98" i="20"/>
  <c r="AV98" i="20" s="1"/>
  <c r="AG98" i="20"/>
  <c r="AT98" i="20" s="1"/>
  <c r="Q98" i="20"/>
  <c r="BJ98" i="20" s="1"/>
  <c r="AT76" i="20"/>
  <c r="AU76" i="20"/>
  <c r="AV76" i="20"/>
  <c r="AW76" i="20"/>
  <c r="AX76" i="20"/>
  <c r="AY76" i="20"/>
  <c r="AZ76" i="20"/>
  <c r="BA76" i="20"/>
  <c r="BB76" i="20"/>
  <c r="BC76" i="20"/>
  <c r="BD76" i="20"/>
  <c r="BE76" i="20"/>
  <c r="AT77" i="20"/>
  <c r="AU77" i="20"/>
  <c r="AV77" i="20"/>
  <c r="AW77" i="20"/>
  <c r="AX77" i="20"/>
  <c r="AY77" i="20"/>
  <c r="AZ77" i="20"/>
  <c r="BA77" i="20"/>
  <c r="BB77" i="20"/>
  <c r="BC77" i="20"/>
  <c r="BD77" i="20"/>
  <c r="BE77" i="20"/>
  <c r="AT86" i="20"/>
  <c r="AU86" i="20"/>
  <c r="AV86" i="20"/>
  <c r="AW86" i="20"/>
  <c r="AX86" i="20"/>
  <c r="AY86" i="20"/>
  <c r="AZ86" i="20"/>
  <c r="BA86" i="20"/>
  <c r="BB86" i="20"/>
  <c r="BC86" i="20"/>
  <c r="BD86" i="20"/>
  <c r="BE86" i="20"/>
  <c r="BH82" i="20"/>
  <c r="BH81" i="20"/>
  <c r="BH80" i="20"/>
  <c r="BH79" i="20"/>
  <c r="BH78" i="20"/>
  <c r="BH90" i="20"/>
  <c r="AR90" i="20"/>
  <c r="BE90" i="20" s="1"/>
  <c r="AQ90" i="20"/>
  <c r="BD90" i="20" s="1"/>
  <c r="AP90" i="20"/>
  <c r="BC90" i="20" s="1"/>
  <c r="AO90" i="20"/>
  <c r="BB90" i="20" s="1"/>
  <c r="AN90" i="20"/>
  <c r="AM90" i="20"/>
  <c r="AZ90" i="20" s="1"/>
  <c r="AL90" i="20"/>
  <c r="AY90" i="20" s="1"/>
  <c r="AK90" i="20"/>
  <c r="AX90" i="20" s="1"/>
  <c r="AJ90" i="20"/>
  <c r="AI90" i="20"/>
  <c r="AV90" i="20" s="1"/>
  <c r="AH90" i="20"/>
  <c r="AG90" i="20"/>
  <c r="AT90" i="20" s="1"/>
  <c r="AF90" i="20"/>
  <c r="BH89" i="20"/>
  <c r="AR89" i="20"/>
  <c r="BE89" i="20" s="1"/>
  <c r="AQ89" i="20"/>
  <c r="BD89" i="20" s="1"/>
  <c r="AP89" i="20"/>
  <c r="BC89" i="20" s="1"/>
  <c r="AO89" i="20"/>
  <c r="BB89" i="20" s="1"/>
  <c r="AN89" i="20"/>
  <c r="AM89" i="20"/>
  <c r="AZ89" i="20" s="1"/>
  <c r="AL89" i="20"/>
  <c r="AY89" i="20" s="1"/>
  <c r="AK89" i="20"/>
  <c r="AX89" i="20" s="1"/>
  <c r="AJ89" i="20"/>
  <c r="AI89" i="20"/>
  <c r="AV89" i="20" s="1"/>
  <c r="AH89" i="20"/>
  <c r="AU89" i="20" s="1"/>
  <c r="AG89" i="20"/>
  <c r="AT89" i="20" s="1"/>
  <c r="Q89" i="20"/>
  <c r="AF89" i="20" s="1"/>
  <c r="BH88" i="20"/>
  <c r="AR88" i="20"/>
  <c r="BE88" i="20" s="1"/>
  <c r="AQ88" i="20"/>
  <c r="BD88" i="20" s="1"/>
  <c r="AP88" i="20"/>
  <c r="BC88" i="20" s="1"/>
  <c r="AO88" i="20"/>
  <c r="BB88" i="20" s="1"/>
  <c r="AN88" i="20"/>
  <c r="AM88" i="20"/>
  <c r="AL88" i="20"/>
  <c r="AK88" i="20"/>
  <c r="AJ88" i="20"/>
  <c r="AI88" i="20"/>
  <c r="AH88" i="20"/>
  <c r="AG88" i="20"/>
  <c r="Q88" i="20"/>
  <c r="AF88" i="20" s="1"/>
  <c r="BH87" i="20"/>
  <c r="AR87" i="20"/>
  <c r="BE87" i="20" s="1"/>
  <c r="AQ87" i="20"/>
  <c r="BD87" i="20" s="1"/>
  <c r="AP87" i="20"/>
  <c r="BC87" i="20" s="1"/>
  <c r="AO87" i="20"/>
  <c r="BB87" i="20" s="1"/>
  <c r="AN87" i="20"/>
  <c r="AM87" i="20"/>
  <c r="AL87" i="20"/>
  <c r="AK87" i="20"/>
  <c r="AJ87" i="20"/>
  <c r="AI87" i="20"/>
  <c r="AH87" i="20"/>
  <c r="AG87" i="20"/>
  <c r="Q87" i="20"/>
  <c r="AF87" i="20" s="1"/>
  <c r="BH85" i="20"/>
  <c r="AR85" i="20"/>
  <c r="BE85" i="20" s="1"/>
  <c r="AQ85" i="20"/>
  <c r="BD85" i="20" s="1"/>
  <c r="AP85" i="20"/>
  <c r="BC85" i="20" s="1"/>
  <c r="AO85" i="20"/>
  <c r="BB85" i="20" s="1"/>
  <c r="AN85" i="20"/>
  <c r="AM85" i="20"/>
  <c r="AZ85" i="20" s="1"/>
  <c r="AL85" i="20"/>
  <c r="AY85" i="20" s="1"/>
  <c r="AK85" i="20"/>
  <c r="AX85" i="20" s="1"/>
  <c r="AJ85" i="20"/>
  <c r="AW85" i="20" s="1"/>
  <c r="AI85" i="20"/>
  <c r="AV85" i="20" s="1"/>
  <c r="AH85" i="20"/>
  <c r="AU85" i="20" s="1"/>
  <c r="AG85" i="20"/>
  <c r="AT85" i="20" s="1"/>
  <c r="Q85" i="20"/>
  <c r="AF85" i="20" s="1"/>
  <c r="BH84" i="20"/>
  <c r="AR84" i="20"/>
  <c r="BE84" i="20" s="1"/>
  <c r="AQ84" i="20"/>
  <c r="BD84" i="20" s="1"/>
  <c r="AP84" i="20"/>
  <c r="BC84" i="20" s="1"/>
  <c r="AO84" i="20"/>
  <c r="BB84" i="20" s="1"/>
  <c r="AN84" i="20"/>
  <c r="AM84" i="20"/>
  <c r="AZ84" i="20" s="1"/>
  <c r="AL84" i="20"/>
  <c r="AY84" i="20" s="1"/>
  <c r="AK84" i="20"/>
  <c r="AX84" i="20" s="1"/>
  <c r="AJ84" i="20"/>
  <c r="AW84" i="20" s="1"/>
  <c r="AI84" i="20"/>
  <c r="AV84" i="20" s="1"/>
  <c r="AH84" i="20"/>
  <c r="AU84" i="20" s="1"/>
  <c r="AG84" i="20"/>
  <c r="AT84" i="20" s="1"/>
  <c r="Q84" i="20"/>
  <c r="BJ84" i="20" s="1"/>
  <c r="BH83" i="20"/>
  <c r="AR83" i="20"/>
  <c r="BE83" i="20" s="1"/>
  <c r="AQ83" i="20"/>
  <c r="BD83" i="20" s="1"/>
  <c r="AP83" i="20"/>
  <c r="BC83" i="20" s="1"/>
  <c r="AO83" i="20"/>
  <c r="BB83" i="20" s="1"/>
  <c r="AN83" i="20"/>
  <c r="AM83" i="20"/>
  <c r="AZ83" i="20" s="1"/>
  <c r="AL83" i="20"/>
  <c r="AY83" i="20" s="1"/>
  <c r="AK83" i="20"/>
  <c r="AX83" i="20" s="1"/>
  <c r="AJ83" i="20"/>
  <c r="AW83" i="20" s="1"/>
  <c r="AI83" i="20"/>
  <c r="AV83" i="20" s="1"/>
  <c r="AH83" i="20"/>
  <c r="AU83" i="20" s="1"/>
  <c r="AG83" i="20"/>
  <c r="AT83" i="20" s="1"/>
  <c r="Q83" i="20"/>
  <c r="AF83" i="20" s="1"/>
  <c r="AR82" i="20"/>
  <c r="BE82" i="20" s="1"/>
  <c r="AQ82" i="20"/>
  <c r="BD82" i="20" s="1"/>
  <c r="AP82" i="20"/>
  <c r="BC82" i="20" s="1"/>
  <c r="AO82" i="20"/>
  <c r="BB82" i="20" s="1"/>
  <c r="AN82" i="20"/>
  <c r="AM82" i="20"/>
  <c r="AZ82" i="20" s="1"/>
  <c r="AL82" i="20"/>
  <c r="AY82" i="20" s="1"/>
  <c r="AK82" i="20"/>
  <c r="AX82" i="20" s="1"/>
  <c r="AJ82" i="20"/>
  <c r="AW82" i="20" s="1"/>
  <c r="AI82" i="20"/>
  <c r="AV82" i="20" s="1"/>
  <c r="AH82" i="20"/>
  <c r="AU82" i="20" s="1"/>
  <c r="AG82" i="20"/>
  <c r="AT82" i="20" s="1"/>
  <c r="Q82" i="20"/>
  <c r="BJ82" i="20" s="1"/>
  <c r="AR81" i="20"/>
  <c r="BE81" i="20" s="1"/>
  <c r="AQ81" i="20"/>
  <c r="BD81" i="20" s="1"/>
  <c r="AP81" i="20"/>
  <c r="BC81" i="20" s="1"/>
  <c r="AO81" i="20"/>
  <c r="BB81" i="20" s="1"/>
  <c r="AN81" i="20"/>
  <c r="AM81" i="20"/>
  <c r="AZ81" i="20" s="1"/>
  <c r="AL81" i="20"/>
  <c r="AY81" i="20" s="1"/>
  <c r="AK81" i="20"/>
  <c r="AX81" i="20" s="1"/>
  <c r="AJ81" i="20"/>
  <c r="AW81" i="20" s="1"/>
  <c r="AI81" i="20"/>
  <c r="AV81" i="20" s="1"/>
  <c r="AH81" i="20"/>
  <c r="AU81" i="20" s="1"/>
  <c r="AG81" i="20"/>
  <c r="AT81" i="20" s="1"/>
  <c r="Q81" i="20"/>
  <c r="AR80" i="20"/>
  <c r="BE80" i="20" s="1"/>
  <c r="AQ80" i="20"/>
  <c r="BD80" i="20" s="1"/>
  <c r="AP80" i="20"/>
  <c r="BC80" i="20" s="1"/>
  <c r="AO80" i="20"/>
  <c r="BB80" i="20" s="1"/>
  <c r="AN80" i="20"/>
  <c r="AM80" i="20"/>
  <c r="AZ80" i="20" s="1"/>
  <c r="AL80" i="20"/>
  <c r="AY80" i="20" s="1"/>
  <c r="AK80" i="20"/>
  <c r="AX80" i="20" s="1"/>
  <c r="AJ80" i="20"/>
  <c r="AW80" i="20" s="1"/>
  <c r="AI80" i="20"/>
  <c r="AV80" i="20" s="1"/>
  <c r="AH80" i="20"/>
  <c r="AU80" i="20" s="1"/>
  <c r="AG80" i="20"/>
  <c r="AT80" i="20" s="1"/>
  <c r="Q80" i="20"/>
  <c r="BJ80" i="20" s="1"/>
  <c r="AR79" i="20"/>
  <c r="BE79" i="20" s="1"/>
  <c r="AQ79" i="20"/>
  <c r="BD79" i="20" s="1"/>
  <c r="AP79" i="20"/>
  <c r="BC79" i="20" s="1"/>
  <c r="AO79" i="20"/>
  <c r="BB79" i="20" s="1"/>
  <c r="AN79" i="20"/>
  <c r="AM79" i="20"/>
  <c r="AZ79" i="20" s="1"/>
  <c r="AL79" i="20"/>
  <c r="AY79" i="20" s="1"/>
  <c r="AK79" i="20"/>
  <c r="AX79" i="20" s="1"/>
  <c r="AJ79" i="20"/>
  <c r="AW79" i="20" s="1"/>
  <c r="AI79" i="20"/>
  <c r="AV79" i="20" s="1"/>
  <c r="AH79" i="20"/>
  <c r="AU79" i="20" s="1"/>
  <c r="AG79" i="20"/>
  <c r="AT79" i="20" s="1"/>
  <c r="Q79" i="20"/>
  <c r="AF79" i="20" s="1"/>
  <c r="AR78" i="20"/>
  <c r="BE78" i="20" s="1"/>
  <c r="AQ78" i="20"/>
  <c r="BD78" i="20" s="1"/>
  <c r="AP78" i="20"/>
  <c r="BC78" i="20" s="1"/>
  <c r="AO78" i="20"/>
  <c r="BB78" i="20" s="1"/>
  <c r="AN78" i="20"/>
  <c r="AM78" i="20"/>
  <c r="AZ78" i="20" s="1"/>
  <c r="AL78" i="20"/>
  <c r="AY78" i="20" s="1"/>
  <c r="AK78" i="20"/>
  <c r="AX78" i="20" s="1"/>
  <c r="AJ78" i="20"/>
  <c r="AW78" i="20" s="1"/>
  <c r="AI78" i="20"/>
  <c r="AV78" i="20" s="1"/>
  <c r="AH78" i="20"/>
  <c r="AU78" i="20" s="1"/>
  <c r="AG78" i="20"/>
  <c r="AT78" i="20" s="1"/>
  <c r="Q78" i="20"/>
  <c r="BH75" i="20"/>
  <c r="AR75" i="20"/>
  <c r="BE75" i="20" s="1"/>
  <c r="AQ75" i="20"/>
  <c r="BD75" i="20" s="1"/>
  <c r="AP75" i="20"/>
  <c r="BC75" i="20" s="1"/>
  <c r="AO75" i="20"/>
  <c r="BB75" i="20" s="1"/>
  <c r="AN75" i="20"/>
  <c r="AM75" i="20"/>
  <c r="AZ75" i="20" s="1"/>
  <c r="AL75" i="20"/>
  <c r="AY75" i="20" s="1"/>
  <c r="AK75" i="20"/>
  <c r="AJ75" i="20"/>
  <c r="AW75" i="20" s="1"/>
  <c r="AI75" i="20"/>
  <c r="AV75" i="20" s="1"/>
  <c r="AH75" i="20"/>
  <c r="AU75" i="20" s="1"/>
  <c r="AG75" i="20"/>
  <c r="AT75" i="20" s="1"/>
  <c r="Q75" i="20"/>
  <c r="BJ75" i="20" s="1"/>
  <c r="BH74" i="20"/>
  <c r="AR74" i="20"/>
  <c r="BE74" i="20" s="1"/>
  <c r="AQ74" i="20"/>
  <c r="BD74" i="20" s="1"/>
  <c r="AP74" i="20"/>
  <c r="BC74" i="20" s="1"/>
  <c r="AO74" i="20"/>
  <c r="BB74" i="20" s="1"/>
  <c r="AN74" i="20"/>
  <c r="AM74" i="20"/>
  <c r="AZ74" i="20" s="1"/>
  <c r="AL74" i="20"/>
  <c r="AY74" i="20" s="1"/>
  <c r="AK74" i="20"/>
  <c r="AX74" i="20" s="1"/>
  <c r="AJ74" i="20"/>
  <c r="AW74" i="20" s="1"/>
  <c r="AI74" i="20"/>
  <c r="AV74" i="20" s="1"/>
  <c r="AH74" i="20"/>
  <c r="AU74" i="20" s="1"/>
  <c r="AG74" i="20"/>
  <c r="AT74" i="20" s="1"/>
  <c r="Q74" i="20"/>
  <c r="BJ74" i="20" s="1"/>
  <c r="AU99" i="20" l="1"/>
  <c r="BK99" i="20" s="1"/>
  <c r="BM99" i="20" s="1"/>
  <c r="BY122" i="18"/>
  <c r="BX123" i="18"/>
  <c r="BY123" i="18"/>
  <c r="BK102" i="20"/>
  <c r="BM102" i="20" s="1"/>
  <c r="BK101" i="20"/>
  <c r="BK98" i="20"/>
  <c r="BK100" i="20"/>
  <c r="BK104" i="20"/>
  <c r="BK103" i="20"/>
  <c r="BJ106" i="20"/>
  <c r="AG106" i="20"/>
  <c r="AF106" i="20"/>
  <c r="BA80" i="20"/>
  <c r="BF80" i="20" s="1"/>
  <c r="BW80" i="20"/>
  <c r="CA80" i="20" s="1"/>
  <c r="BA74" i="20"/>
  <c r="BF74" i="20" s="1"/>
  <c r="BW74" i="20"/>
  <c r="CA74" i="20" s="1"/>
  <c r="BA82" i="20"/>
  <c r="BF82" i="20" s="1"/>
  <c r="BW82" i="20"/>
  <c r="CA82" i="20" s="1"/>
  <c r="BA102" i="20"/>
  <c r="BF102" i="20" s="1"/>
  <c r="BW102" i="20"/>
  <c r="CA102" i="20" s="1"/>
  <c r="BA78" i="20"/>
  <c r="BF78" i="20" s="1"/>
  <c r="BW78" i="20"/>
  <c r="CA78" i="20" s="1"/>
  <c r="BA100" i="20"/>
  <c r="BW100" i="20"/>
  <c r="CA100" i="20" s="1"/>
  <c r="BA104" i="20"/>
  <c r="BW104" i="20"/>
  <c r="CA104" i="20" s="1"/>
  <c r="BA88" i="20"/>
  <c r="BF88" i="20" s="1"/>
  <c r="BW88" i="20"/>
  <c r="CA88" i="20" s="1"/>
  <c r="BA79" i="20"/>
  <c r="BF79" i="20" s="1"/>
  <c r="BW79" i="20"/>
  <c r="CA79" i="20" s="1"/>
  <c r="BA85" i="20"/>
  <c r="BF85" i="20" s="1"/>
  <c r="BW85" i="20"/>
  <c r="CA85" i="20" s="1"/>
  <c r="BA90" i="20"/>
  <c r="BF90" i="20" s="1"/>
  <c r="BW90" i="20"/>
  <c r="CA90" i="20" s="1"/>
  <c r="BA106" i="20"/>
  <c r="BW106" i="20"/>
  <c r="CA106" i="20" s="1"/>
  <c r="BA99" i="20"/>
  <c r="BW99" i="20"/>
  <c r="CA99" i="20" s="1"/>
  <c r="BA103" i="20"/>
  <c r="BW103" i="20"/>
  <c r="CA103" i="20" s="1"/>
  <c r="BA101" i="20"/>
  <c r="BW101" i="20"/>
  <c r="CA101" i="20" s="1"/>
  <c r="BA83" i="20"/>
  <c r="BF83" i="20" s="1"/>
  <c r="BW83" i="20"/>
  <c r="CA83" i="20" s="1"/>
  <c r="BA75" i="20"/>
  <c r="BF75" i="20" s="1"/>
  <c r="BW75" i="20"/>
  <c r="CA75" i="20" s="1"/>
  <c r="BA87" i="20"/>
  <c r="BF87" i="20" s="1"/>
  <c r="BW87" i="20"/>
  <c r="CA87" i="20" s="1"/>
  <c r="BA81" i="20"/>
  <c r="BW81" i="20"/>
  <c r="CA81" i="20" s="1"/>
  <c r="BA84" i="20"/>
  <c r="BF84" i="20" s="1"/>
  <c r="BW84" i="20"/>
  <c r="CA84" i="20" s="1"/>
  <c r="BA89" i="20"/>
  <c r="BF89" i="20" s="1"/>
  <c r="BW89" i="20"/>
  <c r="CA89" i="20" s="1"/>
  <c r="BA105" i="20"/>
  <c r="BW105" i="20"/>
  <c r="CA105" i="20" s="1"/>
  <c r="BX110" i="18"/>
  <c r="BY110" i="18" s="1"/>
  <c r="BX122" i="18"/>
  <c r="BX248" i="18"/>
  <c r="CA248" i="18" s="1"/>
  <c r="U71" i="32"/>
  <c r="CA243" i="18"/>
  <c r="BY245" i="18"/>
  <c r="CA245" i="18"/>
  <c r="CA247" i="18"/>
  <c r="AF103" i="20"/>
  <c r="BJ100" i="20"/>
  <c r="BY243" i="18"/>
  <c r="BY247" i="18"/>
  <c r="CA242" i="18"/>
  <c r="BY242" i="18"/>
  <c r="AF104" i="20"/>
  <c r="AS100" i="20"/>
  <c r="BI100" i="20" s="1"/>
  <c r="AK107" i="20"/>
  <c r="AL107" i="20"/>
  <c r="BJ102" i="20"/>
  <c r="AX98" i="20"/>
  <c r="AX107" i="20" s="1"/>
  <c r="AT100" i="20"/>
  <c r="BJ101" i="20"/>
  <c r="AX91" i="20"/>
  <c r="AI107" i="20"/>
  <c r="AM107" i="20"/>
  <c r="AZ98" i="20"/>
  <c r="AZ107" i="20" s="1"/>
  <c r="AJ107" i="20"/>
  <c r="AW107" i="20"/>
  <c r="BE107" i="20"/>
  <c r="AR107" i="20"/>
  <c r="BH107" i="20"/>
  <c r="AF98" i="20"/>
  <c r="AN107" i="20"/>
  <c r="BW107" i="20" s="1"/>
  <c r="CA107" i="20" s="1"/>
  <c r="BA98" i="20"/>
  <c r="AS102" i="20"/>
  <c r="BG102" i="20" s="1"/>
  <c r="AS105" i="20"/>
  <c r="BG105" i="20" s="1"/>
  <c r="AO107" i="20"/>
  <c r="AS103" i="20"/>
  <c r="BI103" i="20" s="1"/>
  <c r="AV103" i="20"/>
  <c r="AF99" i="20"/>
  <c r="BD107" i="20"/>
  <c r="AQ107" i="20"/>
  <c r="BB107" i="20"/>
  <c r="AU91" i="20"/>
  <c r="AP107" i="20"/>
  <c r="BC107" i="20"/>
  <c r="AS104" i="20"/>
  <c r="BI104" i="20" s="1"/>
  <c r="AV104" i="20"/>
  <c r="AS101" i="20"/>
  <c r="BI101" i="20" s="1"/>
  <c r="AY98" i="20"/>
  <c r="AY107" i="20" s="1"/>
  <c r="BJ105" i="20"/>
  <c r="AH91" i="20"/>
  <c r="AS98" i="20"/>
  <c r="BI98" i="20" s="1"/>
  <c r="AS99" i="20"/>
  <c r="BI99" i="20" s="1"/>
  <c r="AW91" i="20"/>
  <c r="AV91" i="20"/>
  <c r="AF78" i="20"/>
  <c r="AF81" i="20"/>
  <c r="AF82" i="20"/>
  <c r="AS83" i="20"/>
  <c r="BJ85" i="20"/>
  <c r="AS89" i="20"/>
  <c r="AS85" i="20"/>
  <c r="AS87" i="20"/>
  <c r="BJ89" i="20"/>
  <c r="AS78" i="20"/>
  <c r="AN91" i="20"/>
  <c r="BW91" i="20" s="1"/>
  <c r="CA91" i="20" s="1"/>
  <c r="AS82" i="20"/>
  <c r="AF84" i="20"/>
  <c r="BJ90" i="20"/>
  <c r="AK91" i="20"/>
  <c r="AS90" i="20"/>
  <c r="AS74" i="20"/>
  <c r="AS88" i="20"/>
  <c r="AL91" i="20"/>
  <c r="AG91" i="20"/>
  <c r="AF80" i="20"/>
  <c r="BJ81" i="20"/>
  <c r="AY91" i="20"/>
  <c r="AO91" i="20"/>
  <c r="BB91" i="20"/>
  <c r="BJ88" i="20"/>
  <c r="AS79" i="20"/>
  <c r="AS80" i="20"/>
  <c r="AS81" i="20"/>
  <c r="AS84" i="20"/>
  <c r="AM91" i="20"/>
  <c r="AF75" i="20"/>
  <c r="BJ78" i="20"/>
  <c r="BH91" i="20"/>
  <c r="AS75" i="20"/>
  <c r="AQ91" i="20"/>
  <c r="BJ79" i="20"/>
  <c r="BJ83" i="20"/>
  <c r="BJ87" i="20"/>
  <c r="AR91" i="20"/>
  <c r="BC91" i="20"/>
  <c r="AP91" i="20"/>
  <c r="BD91" i="20"/>
  <c r="AF74" i="20"/>
  <c r="AI91" i="20"/>
  <c r="BE91" i="20"/>
  <c r="AJ91" i="20"/>
  <c r="AZ91" i="20"/>
  <c r="BG99" i="20" l="1"/>
  <c r="BG98" i="20"/>
  <c r="AS106" i="20"/>
  <c r="AT106" i="20"/>
  <c r="BF99" i="20"/>
  <c r="BL101" i="20"/>
  <c r="BM101" i="20" s="1"/>
  <c r="BL100" i="20"/>
  <c r="BM98" i="20"/>
  <c r="BK107" i="20"/>
  <c r="BK96" i="20"/>
  <c r="BG100" i="20"/>
  <c r="BG101" i="20"/>
  <c r="BG104" i="20"/>
  <c r="BG103" i="20"/>
  <c r="BF101" i="20"/>
  <c r="BI105" i="20"/>
  <c r="BI102" i="20"/>
  <c r="BF100" i="20"/>
  <c r="BF105" i="20"/>
  <c r="AU107" i="20"/>
  <c r="AU109" i="20" s="1"/>
  <c r="AG107" i="20"/>
  <c r="BF104" i="20"/>
  <c r="BA91" i="20"/>
  <c r="BA93" i="20" s="1"/>
  <c r="BF81" i="20"/>
  <c r="BG81" i="20" s="1"/>
  <c r="AY109" i="20"/>
  <c r="BA107" i="20"/>
  <c r="BA109" i="20" s="1"/>
  <c r="BF106" i="20"/>
  <c r="BY248" i="18"/>
  <c r="D71" i="32"/>
  <c r="G71" i="32" s="1"/>
  <c r="D70" i="32"/>
  <c r="BI85" i="20"/>
  <c r="AX109" i="20"/>
  <c r="AU93" i="20"/>
  <c r="BG87" i="20"/>
  <c r="AV107" i="20"/>
  <c r="AV109" i="20" s="1"/>
  <c r="AW93" i="20"/>
  <c r="U70" i="32"/>
  <c r="BG78" i="20"/>
  <c r="BG85" i="20"/>
  <c r="BI90" i="20"/>
  <c r="BI75" i="20"/>
  <c r="BI88" i="20"/>
  <c r="AW109" i="20"/>
  <c r="BG89" i="20"/>
  <c r="BG82" i="20"/>
  <c r="AF107" i="20"/>
  <c r="BC109" i="20"/>
  <c r="BI79" i="20"/>
  <c r="AT107" i="20"/>
  <c r="AZ109" i="20"/>
  <c r="AX93" i="20"/>
  <c r="BI87" i="20"/>
  <c r="BF98" i="20"/>
  <c r="BF103" i="20"/>
  <c r="BG88" i="20"/>
  <c r="BD109" i="20"/>
  <c r="BB109" i="20"/>
  <c r="BE109" i="20"/>
  <c r="AV93" i="20"/>
  <c r="BG84" i="20"/>
  <c r="BG90" i="20"/>
  <c r="BG83" i="20"/>
  <c r="BI82" i="20"/>
  <c r="BI83" i="20"/>
  <c r="AT91" i="20"/>
  <c r="AT93" i="20" s="1"/>
  <c r="BI89" i="20"/>
  <c r="BG75" i="20"/>
  <c r="BI74" i="20"/>
  <c r="BG79" i="20"/>
  <c r="BI84" i="20"/>
  <c r="BI78" i="20"/>
  <c r="BG80" i="20"/>
  <c r="BE93" i="20"/>
  <c r="BD93" i="20"/>
  <c r="BB93" i="20"/>
  <c r="AZ93" i="20"/>
  <c r="AY93" i="20"/>
  <c r="BG74" i="20"/>
  <c r="AF91" i="20"/>
  <c r="BC93" i="20"/>
  <c r="BL107" i="20" l="1"/>
  <c r="BM100" i="20"/>
  <c r="BM107" i="20" s="1"/>
  <c r="BG107" i="20"/>
  <c r="R71" i="32" s="1"/>
  <c r="R73" i="32" s="1"/>
  <c r="AT109" i="20"/>
  <c r="BI81" i="20"/>
  <c r="BG91" i="20"/>
  <c r="I70" i="32"/>
  <c r="L72" i="32"/>
  <c r="BF107" i="20"/>
  <c r="BG108" i="20" s="1"/>
  <c r="BF93" i="20"/>
  <c r="BF91" i="20"/>
  <c r="BI107" i="20" l="1"/>
  <c r="BJ111" i="20" s="1"/>
  <c r="BJ112" i="20" s="1"/>
  <c r="N71" i="32"/>
  <c r="Q71" i="32" s="1"/>
  <c r="BF108" i="20"/>
  <c r="BF92" i="20"/>
  <c r="N70" i="32"/>
  <c r="BG92" i="20"/>
  <c r="BH92" i="20"/>
  <c r="G72" i="32" s="1"/>
  <c r="T71" i="32" l="1"/>
  <c r="BH108" i="20"/>
  <c r="L71" i="32"/>
  <c r="W71" i="32"/>
  <c r="BI108" i="20"/>
  <c r="BI109" i="20" s="1"/>
  <c r="Q72" i="32"/>
  <c r="Z72" i="32" s="1"/>
  <c r="W72" i="32"/>
  <c r="BI92" i="20"/>
  <c r="BI93" i="20" s="1"/>
  <c r="R70" i="32"/>
  <c r="S71" i="32" l="1"/>
  <c r="Z71" i="32"/>
  <c r="T72" i="32"/>
  <c r="S72" i="32" s="1"/>
  <c r="AD7" i="39" l="1"/>
  <c r="R6" i="39"/>
  <c r="BS205" i="36"/>
  <c r="BR205" i="36"/>
  <c r="BQ205" i="36"/>
  <c r="BP205" i="36"/>
  <c r="BO205" i="36"/>
  <c r="BN205" i="36"/>
  <c r="BM205" i="36"/>
  <c r="BL205" i="36"/>
  <c r="BK205" i="36"/>
  <c r="BJ205" i="36"/>
  <c r="BI205" i="36"/>
  <c r="CB204" i="36"/>
  <c r="CB205" i="36" s="1"/>
  <c r="BZ204" i="36"/>
  <c r="BZ205" i="36" s="1"/>
  <c r="BA204" i="36"/>
  <c r="BA205" i="36" s="1"/>
  <c r="AZ204" i="36"/>
  <c r="AZ205" i="36" s="1"/>
  <c r="AY204" i="36"/>
  <c r="AY205" i="36" s="1"/>
  <c r="AX204" i="36"/>
  <c r="AW204" i="36"/>
  <c r="AW205" i="36" s="1"/>
  <c r="AV204" i="36"/>
  <c r="AV205" i="36" s="1"/>
  <c r="AU204" i="36"/>
  <c r="AU205" i="36" s="1"/>
  <c r="AT204" i="36"/>
  <c r="AT205" i="36" s="1"/>
  <c r="AS204" i="36"/>
  <c r="AS205" i="36" s="1"/>
  <c r="AR204" i="36"/>
  <c r="AR205" i="36" s="1"/>
  <c r="AQ204" i="36"/>
  <c r="AQ205" i="36" s="1"/>
  <c r="V204" i="36"/>
  <c r="CD204" i="36" s="1"/>
  <c r="CD205" i="36" s="1"/>
  <c r="V172" i="36"/>
  <c r="AP172" i="36" s="1"/>
  <c r="CB196" i="36"/>
  <c r="BA196" i="36"/>
  <c r="BS196" i="36" s="1"/>
  <c r="AZ196" i="36"/>
  <c r="BR196" i="36" s="1"/>
  <c r="AY196" i="36"/>
  <c r="BQ196" i="36" s="1"/>
  <c r="AX196" i="36"/>
  <c r="AW196" i="36"/>
  <c r="BO196" i="36" s="1"/>
  <c r="AV196" i="36"/>
  <c r="BN196" i="36" s="1"/>
  <c r="AU196" i="36"/>
  <c r="BM196" i="36" s="1"/>
  <c r="AT196" i="36"/>
  <c r="BL196" i="36" s="1"/>
  <c r="AS196" i="36"/>
  <c r="BK196" i="36" s="1"/>
  <c r="AR196" i="36"/>
  <c r="AQ196" i="36"/>
  <c r="BI196" i="36" s="1"/>
  <c r="V196" i="36"/>
  <c r="AP196" i="36" s="1"/>
  <c r="CB195" i="36"/>
  <c r="BA195" i="36"/>
  <c r="BS195" i="36" s="1"/>
  <c r="AZ195" i="36"/>
  <c r="BR195" i="36" s="1"/>
  <c r="AY195" i="36"/>
  <c r="BQ195" i="36" s="1"/>
  <c r="AX195" i="36"/>
  <c r="AW195" i="36"/>
  <c r="BO195" i="36" s="1"/>
  <c r="AV195" i="36"/>
  <c r="BN195" i="36" s="1"/>
  <c r="AU195" i="36"/>
  <c r="BM195" i="36" s="1"/>
  <c r="AT195" i="36"/>
  <c r="BL195" i="36" s="1"/>
  <c r="AS195" i="36"/>
  <c r="AR195" i="36"/>
  <c r="BJ195" i="36" s="1"/>
  <c r="AQ195" i="36"/>
  <c r="V195" i="36"/>
  <c r="CB194" i="36"/>
  <c r="BA194" i="36"/>
  <c r="BS194" i="36" s="1"/>
  <c r="AZ194" i="36"/>
  <c r="BR194" i="36" s="1"/>
  <c r="AY194" i="36"/>
  <c r="BQ194" i="36" s="1"/>
  <c r="AX194" i="36"/>
  <c r="AW194" i="36"/>
  <c r="BO194" i="36" s="1"/>
  <c r="AV194" i="36"/>
  <c r="BN194" i="36" s="1"/>
  <c r="AU194" i="36"/>
  <c r="BM194" i="36" s="1"/>
  <c r="AT194" i="36"/>
  <c r="BL194" i="36" s="1"/>
  <c r="AS194" i="36"/>
  <c r="BK194" i="36" s="1"/>
  <c r="AR194" i="36"/>
  <c r="BJ194" i="36" s="1"/>
  <c r="AQ194" i="36"/>
  <c r="BI194" i="36" s="1"/>
  <c r="AP194" i="36"/>
  <c r="CB193" i="36"/>
  <c r="BA193" i="36"/>
  <c r="BS193" i="36" s="1"/>
  <c r="AZ193" i="36"/>
  <c r="BR193" i="36" s="1"/>
  <c r="AY193" i="36"/>
  <c r="BQ193" i="36" s="1"/>
  <c r="AX193" i="36"/>
  <c r="AW193" i="36"/>
  <c r="BO193" i="36" s="1"/>
  <c r="AV193" i="36"/>
  <c r="BN193" i="36" s="1"/>
  <c r="AU193" i="36"/>
  <c r="BM193" i="36" s="1"/>
  <c r="AT193" i="36"/>
  <c r="BL193" i="36" s="1"/>
  <c r="AS193" i="36"/>
  <c r="BK193" i="36" s="1"/>
  <c r="AR193" i="36"/>
  <c r="AQ193" i="36"/>
  <c r="BI193" i="36" s="1"/>
  <c r="V193" i="36"/>
  <c r="CB192" i="36"/>
  <c r="BA192" i="36"/>
  <c r="BS192" i="36" s="1"/>
  <c r="AZ192" i="36"/>
  <c r="BR192" i="36" s="1"/>
  <c r="AY192" i="36"/>
  <c r="BQ192" i="36" s="1"/>
  <c r="AX192" i="36"/>
  <c r="AW192" i="36"/>
  <c r="BO192" i="36" s="1"/>
  <c r="AV192" i="36"/>
  <c r="BN192" i="36" s="1"/>
  <c r="AU192" i="36"/>
  <c r="BM192" i="36" s="1"/>
  <c r="AT192" i="36"/>
  <c r="BL192" i="36" s="1"/>
  <c r="AS192" i="36"/>
  <c r="BK192" i="36" s="1"/>
  <c r="AR192" i="36"/>
  <c r="AQ192" i="36"/>
  <c r="BI192" i="36" s="1"/>
  <c r="V192" i="36"/>
  <c r="AP192" i="36" s="1"/>
  <c r="CB191" i="36"/>
  <c r="BA191" i="36"/>
  <c r="BS191" i="36" s="1"/>
  <c r="AZ191" i="36"/>
  <c r="BR191" i="36" s="1"/>
  <c r="AY191" i="36"/>
  <c r="BQ191" i="36" s="1"/>
  <c r="AX191" i="36"/>
  <c r="AW191" i="36"/>
  <c r="BO191" i="36" s="1"/>
  <c r="AV191" i="36"/>
  <c r="BN191" i="36" s="1"/>
  <c r="AU191" i="36"/>
  <c r="BM191" i="36" s="1"/>
  <c r="AT191" i="36"/>
  <c r="BL191" i="36" s="1"/>
  <c r="AS191" i="36"/>
  <c r="AR191" i="36"/>
  <c r="BJ191" i="36" s="1"/>
  <c r="AQ191" i="36"/>
  <c r="BI191" i="36" s="1"/>
  <c r="V191" i="36"/>
  <c r="AP191" i="36" s="1"/>
  <c r="CB190" i="36"/>
  <c r="BA190" i="36"/>
  <c r="BS190" i="36" s="1"/>
  <c r="AZ190" i="36"/>
  <c r="BR190" i="36" s="1"/>
  <c r="AY190" i="36"/>
  <c r="BQ190" i="36" s="1"/>
  <c r="AX190" i="36"/>
  <c r="AW190" i="36"/>
  <c r="BO190" i="36" s="1"/>
  <c r="AV190" i="36"/>
  <c r="BN190" i="36" s="1"/>
  <c r="AU190" i="36"/>
  <c r="BM190" i="36" s="1"/>
  <c r="AT190" i="36"/>
  <c r="BL190" i="36" s="1"/>
  <c r="AS190" i="36"/>
  <c r="BK190" i="36" s="1"/>
  <c r="AR190" i="36"/>
  <c r="BJ190" i="36" s="1"/>
  <c r="AQ190" i="36"/>
  <c r="BI190" i="36" s="1"/>
  <c r="AP190" i="36"/>
  <c r="CB189" i="36"/>
  <c r="BA189" i="36"/>
  <c r="BS189" i="36" s="1"/>
  <c r="AZ189" i="36"/>
  <c r="BR189" i="36" s="1"/>
  <c r="AY189" i="36"/>
  <c r="BQ189" i="36" s="1"/>
  <c r="AX189" i="36"/>
  <c r="AW189" i="36"/>
  <c r="BO189" i="36" s="1"/>
  <c r="AV189" i="36"/>
  <c r="BN189" i="36" s="1"/>
  <c r="AU189" i="36"/>
  <c r="BM189" i="36" s="1"/>
  <c r="AT189" i="36"/>
  <c r="BL189" i="36" s="1"/>
  <c r="AS189" i="36"/>
  <c r="BK189" i="36" s="1"/>
  <c r="AR189" i="36"/>
  <c r="AQ189" i="36"/>
  <c r="V189" i="36"/>
  <c r="CB188" i="36"/>
  <c r="BA188" i="36"/>
  <c r="BS188" i="36" s="1"/>
  <c r="AZ188" i="36"/>
  <c r="BR188" i="36" s="1"/>
  <c r="AY188" i="36"/>
  <c r="BQ188" i="36" s="1"/>
  <c r="AX188" i="36"/>
  <c r="AW188" i="36"/>
  <c r="BO188" i="36" s="1"/>
  <c r="AV188" i="36"/>
  <c r="BN188" i="36" s="1"/>
  <c r="AU188" i="36"/>
  <c r="BM188" i="36" s="1"/>
  <c r="AT188" i="36"/>
  <c r="BL188" i="36" s="1"/>
  <c r="AS188" i="36"/>
  <c r="BK188" i="36" s="1"/>
  <c r="AR188" i="36"/>
  <c r="AQ188" i="36"/>
  <c r="V188" i="36"/>
  <c r="AP188" i="36" s="1"/>
  <c r="CB187" i="36"/>
  <c r="BA187" i="36"/>
  <c r="BS187" i="36" s="1"/>
  <c r="AZ187" i="36"/>
  <c r="BR187" i="36" s="1"/>
  <c r="AY187" i="36"/>
  <c r="BQ187" i="36" s="1"/>
  <c r="AX187" i="36"/>
  <c r="AW187" i="36"/>
  <c r="BO187" i="36" s="1"/>
  <c r="AV187" i="36"/>
  <c r="BN187" i="36" s="1"/>
  <c r="AU187" i="36"/>
  <c r="BM187" i="36" s="1"/>
  <c r="AT187" i="36"/>
  <c r="BL187" i="36" s="1"/>
  <c r="AS187" i="36"/>
  <c r="AR187" i="36"/>
  <c r="BJ187" i="36" s="1"/>
  <c r="AQ187" i="36"/>
  <c r="BI187" i="36" s="1"/>
  <c r="V187" i="36"/>
  <c r="CB186" i="36"/>
  <c r="BA186" i="36"/>
  <c r="BS186" i="36" s="1"/>
  <c r="AZ186" i="36"/>
  <c r="BR186" i="36" s="1"/>
  <c r="AY186" i="36"/>
  <c r="BQ186" i="36" s="1"/>
  <c r="AX186" i="36"/>
  <c r="AW186" i="36"/>
  <c r="BO186" i="36" s="1"/>
  <c r="AV186" i="36"/>
  <c r="BN186" i="36" s="1"/>
  <c r="AU186" i="36"/>
  <c r="BM186" i="36" s="1"/>
  <c r="AT186" i="36"/>
  <c r="BL186" i="36" s="1"/>
  <c r="AS186" i="36"/>
  <c r="BK186" i="36" s="1"/>
  <c r="AR186" i="36"/>
  <c r="BJ186" i="36" s="1"/>
  <c r="AQ186" i="36"/>
  <c r="BI186" i="36" s="1"/>
  <c r="AP186" i="36"/>
  <c r="CB182" i="36"/>
  <c r="BA182" i="36"/>
  <c r="BS182" i="36" s="1"/>
  <c r="AZ182" i="36"/>
  <c r="BR182" i="36" s="1"/>
  <c r="AY182" i="36"/>
  <c r="BQ182" i="36" s="1"/>
  <c r="AX182" i="36"/>
  <c r="AW182" i="36"/>
  <c r="BO182" i="36" s="1"/>
  <c r="AV182" i="36"/>
  <c r="BN182" i="36" s="1"/>
  <c r="AU182" i="36"/>
  <c r="BM182" i="36" s="1"/>
  <c r="AT182" i="36"/>
  <c r="BL182" i="36" s="1"/>
  <c r="AS182" i="36"/>
  <c r="BK182" i="36" s="1"/>
  <c r="AR182" i="36"/>
  <c r="AQ182" i="36"/>
  <c r="BI182" i="36" s="1"/>
  <c r="V182" i="36"/>
  <c r="AP182" i="36" s="1"/>
  <c r="CB181" i="36"/>
  <c r="BA181" i="36"/>
  <c r="BS181" i="36" s="1"/>
  <c r="AZ181" i="36"/>
  <c r="BR181" i="36" s="1"/>
  <c r="AY181" i="36"/>
  <c r="BQ181" i="36" s="1"/>
  <c r="AX181" i="36"/>
  <c r="AW181" i="36"/>
  <c r="BO181" i="36" s="1"/>
  <c r="AV181" i="36"/>
  <c r="BN181" i="36" s="1"/>
  <c r="AU181" i="36"/>
  <c r="BM181" i="36" s="1"/>
  <c r="AT181" i="36"/>
  <c r="BL181" i="36" s="1"/>
  <c r="AS181" i="36"/>
  <c r="BK181" i="36" s="1"/>
  <c r="AR181" i="36"/>
  <c r="AQ181" i="36"/>
  <c r="BI181" i="36" s="1"/>
  <c r="V181" i="36"/>
  <c r="CB180" i="36"/>
  <c r="BA180" i="36"/>
  <c r="BS180" i="36" s="1"/>
  <c r="AZ180" i="36"/>
  <c r="BR180" i="36" s="1"/>
  <c r="AY180" i="36"/>
  <c r="BQ180" i="36" s="1"/>
  <c r="AX180" i="36"/>
  <c r="AW180" i="36"/>
  <c r="BO180" i="36" s="1"/>
  <c r="AV180" i="36"/>
  <c r="BN180" i="36" s="1"/>
  <c r="AU180" i="36"/>
  <c r="BM180" i="36" s="1"/>
  <c r="AT180" i="36"/>
  <c r="BL180" i="36" s="1"/>
  <c r="AS180" i="36"/>
  <c r="BK180" i="36" s="1"/>
  <c r="AR180" i="36"/>
  <c r="AQ180" i="36"/>
  <c r="BI180" i="36" s="1"/>
  <c r="V180" i="36"/>
  <c r="AP180" i="36" s="1"/>
  <c r="CB168" i="36"/>
  <c r="BA168" i="36"/>
  <c r="BS168" i="36" s="1"/>
  <c r="AZ168" i="36"/>
  <c r="BR168" i="36" s="1"/>
  <c r="AY168" i="36"/>
  <c r="BQ168" i="36" s="1"/>
  <c r="AX168" i="36"/>
  <c r="AW168" i="36"/>
  <c r="BO168" i="36" s="1"/>
  <c r="AV168" i="36"/>
  <c r="BN168" i="36" s="1"/>
  <c r="AU168" i="36"/>
  <c r="BM168" i="36" s="1"/>
  <c r="AT168" i="36"/>
  <c r="BL168" i="36" s="1"/>
  <c r="AS168" i="36"/>
  <c r="BK168" i="36" s="1"/>
  <c r="AR168" i="36"/>
  <c r="AQ168" i="36"/>
  <c r="BI168" i="36" s="1"/>
  <c r="V168" i="36"/>
  <c r="CD168" i="36" s="1"/>
  <c r="CB159" i="36"/>
  <c r="BA159" i="36"/>
  <c r="BS159" i="36" s="1"/>
  <c r="AZ159" i="36"/>
  <c r="BR159" i="36" s="1"/>
  <c r="AY159" i="36"/>
  <c r="BQ159" i="36" s="1"/>
  <c r="AX159" i="36"/>
  <c r="AW159" i="36"/>
  <c r="BO159" i="36" s="1"/>
  <c r="AV159" i="36"/>
  <c r="BN159" i="36" s="1"/>
  <c r="AU159" i="36"/>
  <c r="BM159" i="36" s="1"/>
  <c r="AT159" i="36"/>
  <c r="BL159" i="36" s="1"/>
  <c r="AS159" i="36"/>
  <c r="BK159" i="36" s="1"/>
  <c r="AR159" i="36"/>
  <c r="BJ159" i="36" s="1"/>
  <c r="AQ159" i="36"/>
  <c r="BI159" i="36" s="1"/>
  <c r="V159" i="36"/>
  <c r="CD159" i="36" s="1"/>
  <c r="CB158" i="36"/>
  <c r="BA158" i="36"/>
  <c r="BS158" i="36" s="1"/>
  <c r="AZ158" i="36"/>
  <c r="BR158" i="36" s="1"/>
  <c r="AY158" i="36"/>
  <c r="BQ158" i="36" s="1"/>
  <c r="AX158" i="36"/>
  <c r="AW158" i="36"/>
  <c r="BO158" i="36" s="1"/>
  <c r="AV158" i="36"/>
  <c r="BN158" i="36" s="1"/>
  <c r="AU158" i="36"/>
  <c r="BM158" i="36" s="1"/>
  <c r="AT158" i="36"/>
  <c r="BL158" i="36" s="1"/>
  <c r="AS158" i="36"/>
  <c r="BK158" i="36" s="1"/>
  <c r="AR158" i="36"/>
  <c r="BJ158" i="36" s="1"/>
  <c r="AQ158" i="36"/>
  <c r="BI158" i="36" s="1"/>
  <c r="V158" i="36"/>
  <c r="CD158" i="36" s="1"/>
  <c r="CB157" i="36"/>
  <c r="BA157" i="36"/>
  <c r="BS157" i="36" s="1"/>
  <c r="AZ157" i="36"/>
  <c r="BR157" i="36" s="1"/>
  <c r="AY157" i="36"/>
  <c r="BQ157" i="36" s="1"/>
  <c r="AX157" i="36"/>
  <c r="AW157" i="36"/>
  <c r="BO157" i="36" s="1"/>
  <c r="AV157" i="36"/>
  <c r="BN157" i="36" s="1"/>
  <c r="AU157" i="36"/>
  <c r="BM157" i="36" s="1"/>
  <c r="AT157" i="36"/>
  <c r="BL157" i="36" s="1"/>
  <c r="AS157" i="36"/>
  <c r="BK157" i="36" s="1"/>
  <c r="AR157" i="36"/>
  <c r="BJ157" i="36" s="1"/>
  <c r="AQ157" i="36"/>
  <c r="BI157" i="36" s="1"/>
  <c r="V157" i="36"/>
  <c r="CD157" i="36" s="1"/>
  <c r="CB156" i="36"/>
  <c r="BA156" i="36"/>
  <c r="BS156" i="36" s="1"/>
  <c r="AZ156" i="36"/>
  <c r="BR156" i="36" s="1"/>
  <c r="AY156" i="36"/>
  <c r="BQ156" i="36" s="1"/>
  <c r="AX156" i="36"/>
  <c r="AW156" i="36"/>
  <c r="BO156" i="36" s="1"/>
  <c r="AV156" i="36"/>
  <c r="BN156" i="36" s="1"/>
  <c r="AU156" i="36"/>
  <c r="BM156" i="36" s="1"/>
  <c r="AT156" i="36"/>
  <c r="BL156" i="36" s="1"/>
  <c r="AS156" i="36"/>
  <c r="BK156" i="36" s="1"/>
  <c r="AR156" i="36"/>
  <c r="BJ156" i="36" s="1"/>
  <c r="AQ156" i="36"/>
  <c r="BI156" i="36" s="1"/>
  <c r="V156" i="36"/>
  <c r="CD156" i="36" s="1"/>
  <c r="CB155" i="36"/>
  <c r="BA155" i="36"/>
  <c r="BS155" i="36" s="1"/>
  <c r="AZ155" i="36"/>
  <c r="BR155" i="36" s="1"/>
  <c r="AY155" i="36"/>
  <c r="BQ155" i="36" s="1"/>
  <c r="AX155" i="36"/>
  <c r="AW155" i="36"/>
  <c r="BO155" i="36" s="1"/>
  <c r="AV155" i="36"/>
  <c r="BN155" i="36" s="1"/>
  <c r="AU155" i="36"/>
  <c r="BM155" i="36" s="1"/>
  <c r="AT155" i="36"/>
  <c r="BL155" i="36" s="1"/>
  <c r="AS155" i="36"/>
  <c r="BK155" i="36" s="1"/>
  <c r="AR155" i="36"/>
  <c r="BJ155" i="36" s="1"/>
  <c r="AQ155" i="36"/>
  <c r="BI155" i="36" s="1"/>
  <c r="V155" i="36"/>
  <c r="CD155" i="36" s="1"/>
  <c r="CB153" i="36"/>
  <c r="BA153" i="36"/>
  <c r="BS153" i="36" s="1"/>
  <c r="AZ153" i="36"/>
  <c r="BR153" i="36" s="1"/>
  <c r="AY153" i="36"/>
  <c r="BQ153" i="36" s="1"/>
  <c r="AX153" i="36"/>
  <c r="AW153" i="36"/>
  <c r="BO153" i="36" s="1"/>
  <c r="AV153" i="36"/>
  <c r="BN153" i="36" s="1"/>
  <c r="AU153" i="36"/>
  <c r="BM153" i="36" s="1"/>
  <c r="AT153" i="36"/>
  <c r="BL153" i="36" s="1"/>
  <c r="AS153" i="36"/>
  <c r="BK153" i="36" s="1"/>
  <c r="AR153" i="36"/>
  <c r="BJ153" i="36" s="1"/>
  <c r="AQ153" i="36"/>
  <c r="BI153" i="36" s="1"/>
  <c r="V153" i="36"/>
  <c r="CD153" i="36" s="1"/>
  <c r="BA133" i="36"/>
  <c r="AZ133" i="36"/>
  <c r="AY133" i="36"/>
  <c r="CE133" i="36" s="1"/>
  <c r="AX133" i="36"/>
  <c r="AW133" i="36"/>
  <c r="CP133" i="36" s="1"/>
  <c r="AV133" i="36"/>
  <c r="CO133" i="36" s="1"/>
  <c r="AU133" i="36"/>
  <c r="CN133" i="36" s="1"/>
  <c r="AT133" i="36"/>
  <c r="CM133" i="36" s="1"/>
  <c r="AS133" i="36"/>
  <c r="CL133" i="36" s="1"/>
  <c r="AR133" i="36"/>
  <c r="CK133" i="36" s="1"/>
  <c r="AQ133" i="36"/>
  <c r="V133" i="36"/>
  <c r="CD133" i="36" s="1"/>
  <c r="BA132" i="36"/>
  <c r="AZ132" i="36"/>
  <c r="AY132" i="36"/>
  <c r="AX132" i="36"/>
  <c r="AW132" i="36"/>
  <c r="CP132" i="36" s="1"/>
  <c r="AV132" i="36"/>
  <c r="CO132" i="36" s="1"/>
  <c r="AU132" i="36"/>
  <c r="CN132" i="36" s="1"/>
  <c r="AT132" i="36"/>
  <c r="CM132" i="36" s="1"/>
  <c r="AS132" i="36"/>
  <c r="CL132" i="36" s="1"/>
  <c r="AR132" i="36"/>
  <c r="CK132" i="36" s="1"/>
  <c r="AQ132" i="36"/>
  <c r="V132" i="36"/>
  <c r="CD132" i="36" s="1"/>
  <c r="BA131" i="36"/>
  <c r="AZ131" i="36"/>
  <c r="AY131" i="36"/>
  <c r="CE131" i="36" s="1"/>
  <c r="AX131" i="36"/>
  <c r="AW131" i="36"/>
  <c r="CP131" i="36" s="1"/>
  <c r="AV131" i="36"/>
  <c r="CO131" i="36" s="1"/>
  <c r="AU131" i="36"/>
  <c r="CN131" i="36" s="1"/>
  <c r="AT131" i="36"/>
  <c r="CM131" i="36" s="1"/>
  <c r="AS131" i="36"/>
  <c r="CL131" i="36" s="1"/>
  <c r="AR131" i="36"/>
  <c r="CK131" i="36" s="1"/>
  <c r="AQ131" i="36"/>
  <c r="V131" i="36"/>
  <c r="CD131" i="36" s="1"/>
  <c r="BA130" i="36"/>
  <c r="AZ130" i="36"/>
  <c r="AY130" i="36"/>
  <c r="CE130" i="36" s="1"/>
  <c r="AX130" i="36"/>
  <c r="AW130" i="36"/>
  <c r="CP130" i="36" s="1"/>
  <c r="AV130" i="36"/>
  <c r="CO130" i="36" s="1"/>
  <c r="AU130" i="36"/>
  <c r="CN130" i="36" s="1"/>
  <c r="AT130" i="36"/>
  <c r="CM130" i="36" s="1"/>
  <c r="AS130" i="36"/>
  <c r="CL130" i="36" s="1"/>
  <c r="AR130" i="36"/>
  <c r="CK130" i="36" s="1"/>
  <c r="AQ130" i="36"/>
  <c r="V130" i="36"/>
  <c r="BA129" i="36"/>
  <c r="AZ129" i="36"/>
  <c r="AY129" i="36"/>
  <c r="CE129" i="36" s="1"/>
  <c r="AX129" i="36"/>
  <c r="AW129" i="36"/>
  <c r="CP129" i="36" s="1"/>
  <c r="AV129" i="36"/>
  <c r="CO129" i="36" s="1"/>
  <c r="AU129" i="36"/>
  <c r="CN129" i="36" s="1"/>
  <c r="AT129" i="36"/>
  <c r="CM129" i="36" s="1"/>
  <c r="AS129" i="36"/>
  <c r="CL129" i="36" s="1"/>
  <c r="AR129" i="36"/>
  <c r="CK129" i="36" s="1"/>
  <c r="AQ129" i="36"/>
  <c r="V129" i="36"/>
  <c r="AP129" i="36" s="1"/>
  <c r="BA128" i="36"/>
  <c r="AZ128" i="36"/>
  <c r="AY128" i="36"/>
  <c r="AX128" i="36"/>
  <c r="AW128" i="36"/>
  <c r="CP128" i="36" s="1"/>
  <c r="AV128" i="36"/>
  <c r="CO128" i="36" s="1"/>
  <c r="AU128" i="36"/>
  <c r="CN128" i="36" s="1"/>
  <c r="AT128" i="36"/>
  <c r="CM128" i="36" s="1"/>
  <c r="AS128" i="36"/>
  <c r="CL128" i="36" s="1"/>
  <c r="AR128" i="36"/>
  <c r="CK128" i="36" s="1"/>
  <c r="AQ128" i="36"/>
  <c r="V128" i="36"/>
  <c r="AP128" i="36" s="1"/>
  <c r="CB127" i="36"/>
  <c r="BA127" i="36"/>
  <c r="AZ127" i="36"/>
  <c r="AY127" i="36"/>
  <c r="AX127" i="36"/>
  <c r="AW127" i="36"/>
  <c r="CP127" i="36" s="1"/>
  <c r="AV127" i="36"/>
  <c r="CO127" i="36" s="1"/>
  <c r="AU127" i="36"/>
  <c r="CN127" i="36" s="1"/>
  <c r="AT127" i="36"/>
  <c r="CM127" i="36" s="1"/>
  <c r="AS127" i="36"/>
  <c r="CL127" i="36" s="1"/>
  <c r="AR127" i="36"/>
  <c r="CK127" i="36" s="1"/>
  <c r="AQ127" i="36"/>
  <c r="V127" i="36"/>
  <c r="AP127" i="36" s="1"/>
  <c r="CB126" i="36"/>
  <c r="BA126" i="36"/>
  <c r="AZ126" i="36"/>
  <c r="AY126" i="36"/>
  <c r="AX126" i="36"/>
  <c r="AW126" i="36"/>
  <c r="CP126" i="36" s="1"/>
  <c r="AV126" i="36"/>
  <c r="CO126" i="36" s="1"/>
  <c r="AU126" i="36"/>
  <c r="CN126" i="36" s="1"/>
  <c r="AT126" i="36"/>
  <c r="CM126" i="36" s="1"/>
  <c r="AS126" i="36"/>
  <c r="CL126" i="36" s="1"/>
  <c r="AR126" i="36"/>
  <c r="CK126" i="36" s="1"/>
  <c r="AQ126" i="36"/>
  <c r="V126" i="36"/>
  <c r="AP126" i="36" s="1"/>
  <c r="D114" i="36"/>
  <c r="AX53" i="36"/>
  <c r="CB53" i="36"/>
  <c r="CH53" i="36" s="1"/>
  <c r="D47" i="36"/>
  <c r="CB47" i="36" s="1"/>
  <c r="BA53" i="36"/>
  <c r="AZ53" i="36"/>
  <c r="BR53" i="36" s="1"/>
  <c r="AY53" i="36"/>
  <c r="AW53" i="36"/>
  <c r="BO53" i="36" s="1"/>
  <c r="AV53" i="36"/>
  <c r="BN53" i="36" s="1"/>
  <c r="AU53" i="36"/>
  <c r="BM53" i="36" s="1"/>
  <c r="AT53" i="36"/>
  <c r="BL53" i="36" s="1"/>
  <c r="AS53" i="36"/>
  <c r="BK53" i="36" s="1"/>
  <c r="AR53" i="36"/>
  <c r="BJ53" i="36" s="1"/>
  <c r="AQ53" i="36"/>
  <c r="BI53" i="36" s="1"/>
  <c r="V53" i="36"/>
  <c r="AP53" i="36" s="1"/>
  <c r="CB50" i="36"/>
  <c r="BA50" i="36"/>
  <c r="AZ50" i="36"/>
  <c r="AY50" i="36"/>
  <c r="CE50" i="36" s="1"/>
  <c r="CG50" i="36" s="1"/>
  <c r="AX50" i="36"/>
  <c r="AW50" i="36"/>
  <c r="AV50" i="36"/>
  <c r="AU50" i="36"/>
  <c r="AT50" i="36"/>
  <c r="AS50" i="36"/>
  <c r="AR50" i="36"/>
  <c r="AQ50" i="36"/>
  <c r="V50" i="36"/>
  <c r="AP50" i="36" s="1"/>
  <c r="CB48" i="36"/>
  <c r="BA48" i="36"/>
  <c r="AZ48" i="36"/>
  <c r="AY48" i="36"/>
  <c r="CE48" i="36" s="1"/>
  <c r="CG48" i="36" s="1"/>
  <c r="AX48" i="36"/>
  <c r="AW48" i="36"/>
  <c r="AV48" i="36"/>
  <c r="AU48" i="36"/>
  <c r="AT48" i="36"/>
  <c r="AS48" i="36"/>
  <c r="AR48" i="36"/>
  <c r="AQ48" i="36"/>
  <c r="V48" i="36"/>
  <c r="AP48" i="36" s="1"/>
  <c r="BA47" i="36"/>
  <c r="AZ47" i="36"/>
  <c r="AY47" i="36"/>
  <c r="CE47" i="36" s="1"/>
  <c r="AX47" i="36"/>
  <c r="AW47" i="36"/>
  <c r="AV47" i="36"/>
  <c r="AU47" i="36"/>
  <c r="AT47" i="36"/>
  <c r="AS47" i="36"/>
  <c r="AR47" i="36"/>
  <c r="AQ47" i="36"/>
  <c r="V47" i="36"/>
  <c r="AP47" i="36" s="1"/>
  <c r="CB38" i="36"/>
  <c r="BA38" i="36"/>
  <c r="BS38" i="36" s="1"/>
  <c r="AZ38" i="36"/>
  <c r="BR38" i="36" s="1"/>
  <c r="AY38" i="36"/>
  <c r="BQ38" i="36" s="1"/>
  <c r="AX38" i="36"/>
  <c r="AW38" i="36"/>
  <c r="BO38" i="36" s="1"/>
  <c r="AV38" i="36"/>
  <c r="BN38" i="36" s="1"/>
  <c r="AU38" i="36"/>
  <c r="BM38" i="36" s="1"/>
  <c r="AT38" i="36"/>
  <c r="BL38" i="36" s="1"/>
  <c r="AS38" i="36"/>
  <c r="BK38" i="36" s="1"/>
  <c r="AR38" i="36"/>
  <c r="BJ38" i="36" s="1"/>
  <c r="AQ38" i="36"/>
  <c r="V38" i="36"/>
  <c r="AP38" i="36" s="1"/>
  <c r="CB37" i="36"/>
  <c r="BA37" i="36"/>
  <c r="BS37" i="36" s="1"/>
  <c r="AZ37" i="36"/>
  <c r="BR37" i="36" s="1"/>
  <c r="AY37" i="36"/>
  <c r="BQ37" i="36" s="1"/>
  <c r="AX37" i="36"/>
  <c r="AW37" i="36"/>
  <c r="BO37" i="36" s="1"/>
  <c r="AV37" i="36"/>
  <c r="BN37" i="36" s="1"/>
  <c r="AU37" i="36"/>
  <c r="BM37" i="36" s="1"/>
  <c r="AT37" i="36"/>
  <c r="BL37" i="36" s="1"/>
  <c r="AS37" i="36"/>
  <c r="BK37" i="36" s="1"/>
  <c r="AR37" i="36"/>
  <c r="BJ37" i="36" s="1"/>
  <c r="AQ37" i="36"/>
  <c r="V37" i="36"/>
  <c r="AP37" i="36" s="1"/>
  <c r="CB36" i="36"/>
  <c r="BA36" i="36"/>
  <c r="BS36" i="36" s="1"/>
  <c r="AZ36" i="36"/>
  <c r="BR36" i="36" s="1"/>
  <c r="AY36" i="36"/>
  <c r="BQ36" i="36" s="1"/>
  <c r="AX36" i="36"/>
  <c r="AW36" i="36"/>
  <c r="BO36" i="36" s="1"/>
  <c r="AV36" i="36"/>
  <c r="BN36" i="36" s="1"/>
  <c r="AU36" i="36"/>
  <c r="BM36" i="36" s="1"/>
  <c r="AT36" i="36"/>
  <c r="BL36" i="36" s="1"/>
  <c r="AS36" i="36"/>
  <c r="BK36" i="36" s="1"/>
  <c r="AR36" i="36"/>
  <c r="BJ36" i="36" s="1"/>
  <c r="AQ36" i="36"/>
  <c r="V36" i="36"/>
  <c r="AP36" i="36" s="1"/>
  <c r="CB35" i="36"/>
  <c r="BA35" i="36"/>
  <c r="BS35" i="36" s="1"/>
  <c r="AZ35" i="36"/>
  <c r="BR35" i="36" s="1"/>
  <c r="AY35" i="36"/>
  <c r="BQ35" i="36" s="1"/>
  <c r="AX35" i="36"/>
  <c r="AW35" i="36"/>
  <c r="BO35" i="36" s="1"/>
  <c r="AV35" i="36"/>
  <c r="BN35" i="36" s="1"/>
  <c r="AU35" i="36"/>
  <c r="BM35" i="36" s="1"/>
  <c r="AT35" i="36"/>
  <c r="BL35" i="36" s="1"/>
  <c r="AS35" i="36"/>
  <c r="BK35" i="36" s="1"/>
  <c r="AR35" i="36"/>
  <c r="BJ35" i="36" s="1"/>
  <c r="AQ35" i="36"/>
  <c r="BI35" i="36" s="1"/>
  <c r="V35" i="36"/>
  <c r="AP35" i="36" s="1"/>
  <c r="CB20" i="36"/>
  <c r="CB19" i="36"/>
  <c r="CB24" i="36"/>
  <c r="BA24" i="36"/>
  <c r="AZ24" i="36"/>
  <c r="AX24" i="36"/>
  <c r="AW24" i="36"/>
  <c r="BO24" i="36" s="1"/>
  <c r="AV24" i="36"/>
  <c r="BN24" i="36" s="1"/>
  <c r="AU24" i="36"/>
  <c r="BM24" i="36" s="1"/>
  <c r="AT24" i="36"/>
  <c r="BL24" i="36" s="1"/>
  <c r="AS24" i="36"/>
  <c r="BK24" i="36" s="1"/>
  <c r="AR24" i="36"/>
  <c r="BJ24" i="36" s="1"/>
  <c r="AQ24" i="36"/>
  <c r="BI24" i="36" s="1"/>
  <c r="V24" i="36"/>
  <c r="CB22" i="36"/>
  <c r="BA22" i="36"/>
  <c r="AZ22" i="36"/>
  <c r="AX22" i="36"/>
  <c r="AW22" i="36"/>
  <c r="BO22" i="36" s="1"/>
  <c r="AV22" i="36"/>
  <c r="BN22" i="36" s="1"/>
  <c r="AU22" i="36"/>
  <c r="BM22" i="36" s="1"/>
  <c r="AT22" i="36"/>
  <c r="BL22" i="36" s="1"/>
  <c r="AS22" i="36"/>
  <c r="BK22" i="36" s="1"/>
  <c r="AR22" i="36"/>
  <c r="BJ22" i="36" s="1"/>
  <c r="AQ22" i="36"/>
  <c r="BI22" i="36" s="1"/>
  <c r="V22" i="36"/>
  <c r="CB21" i="36"/>
  <c r="BA21" i="36"/>
  <c r="AZ21" i="36"/>
  <c r="AX21" i="36"/>
  <c r="CQ21" i="36" s="1"/>
  <c r="CU21" i="36" s="1"/>
  <c r="AW21" i="36"/>
  <c r="AV21" i="36"/>
  <c r="AU21" i="36"/>
  <c r="AT21" i="36"/>
  <c r="AS21" i="36"/>
  <c r="AR21" i="36"/>
  <c r="AQ21" i="36"/>
  <c r="BI21" i="36" s="1"/>
  <c r="V21" i="36"/>
  <c r="BA20" i="36"/>
  <c r="AZ20" i="36"/>
  <c r="AX20" i="36"/>
  <c r="CQ20" i="36" s="1"/>
  <c r="CU20" i="36" s="1"/>
  <c r="AW20" i="36"/>
  <c r="AV20" i="36"/>
  <c r="AU20" i="36"/>
  <c r="AT20" i="36"/>
  <c r="AS20" i="36"/>
  <c r="AR20" i="36"/>
  <c r="AQ20" i="36"/>
  <c r="BI20" i="36" s="1"/>
  <c r="V20" i="36"/>
  <c r="BA19" i="36"/>
  <c r="AZ19" i="36"/>
  <c r="AX19" i="36"/>
  <c r="CQ19" i="36" s="1"/>
  <c r="CU19" i="36" s="1"/>
  <c r="AW19" i="36"/>
  <c r="AV19" i="36"/>
  <c r="AU19" i="36"/>
  <c r="AT19" i="36"/>
  <c r="AS19" i="36"/>
  <c r="AR19" i="36"/>
  <c r="AQ19" i="36"/>
  <c r="BI19" i="36" s="1"/>
  <c r="V19" i="36"/>
  <c r="CB80" i="36" l="1"/>
  <c r="CO138" i="36"/>
  <c r="CP138" i="36"/>
  <c r="CM138" i="36"/>
  <c r="BP194" i="36"/>
  <c r="CQ194" i="36"/>
  <c r="CU194" i="36" s="1"/>
  <c r="BP35" i="36"/>
  <c r="BZ35" i="36" s="1"/>
  <c r="CQ35" i="36"/>
  <c r="CU35" i="36" s="1"/>
  <c r="BP24" i="36"/>
  <c r="CQ24" i="36"/>
  <c r="CU24" i="36" s="1"/>
  <c r="CG47" i="36"/>
  <c r="BQ53" i="36"/>
  <c r="CE53" i="36" s="1"/>
  <c r="CG53" i="36" s="1"/>
  <c r="BP155" i="36"/>
  <c r="BZ155" i="36" s="1"/>
  <c r="CQ155" i="36"/>
  <c r="CU155" i="36" s="1"/>
  <c r="BP159" i="36"/>
  <c r="BZ159" i="36" s="1"/>
  <c r="CQ159" i="36"/>
  <c r="CU159" i="36" s="1"/>
  <c r="BP182" i="36"/>
  <c r="BZ182" i="36" s="1"/>
  <c r="CQ182" i="36"/>
  <c r="CU182" i="36" s="1"/>
  <c r="BP189" i="36"/>
  <c r="CQ189" i="36"/>
  <c r="CU189" i="36" s="1"/>
  <c r="BP193" i="36"/>
  <c r="BZ193" i="36" s="1"/>
  <c r="CQ193" i="36"/>
  <c r="CU193" i="36" s="1"/>
  <c r="BP186" i="36"/>
  <c r="CQ186" i="36"/>
  <c r="CU186" i="36" s="1"/>
  <c r="BP38" i="36"/>
  <c r="BZ38" i="36" s="1"/>
  <c r="CQ38" i="36"/>
  <c r="CU38" i="36" s="1"/>
  <c r="CE126" i="36"/>
  <c r="CG126" i="36" s="1"/>
  <c r="AY138" i="36"/>
  <c r="AX205" i="36"/>
  <c r="CQ205" i="36" s="1"/>
  <c r="CU205" i="36" s="1"/>
  <c r="CQ204" i="36"/>
  <c r="CU204" i="36" s="1"/>
  <c r="BP53" i="36"/>
  <c r="BP80" i="36" s="1"/>
  <c r="CQ53" i="36"/>
  <c r="CU53" i="36" s="1"/>
  <c r="BP168" i="36"/>
  <c r="BZ168" i="36" s="1"/>
  <c r="CQ168" i="36"/>
  <c r="CU168" i="36" s="1"/>
  <c r="CK138" i="36"/>
  <c r="BP153" i="36"/>
  <c r="CQ153" i="36"/>
  <c r="CU153" i="36" s="1"/>
  <c r="BP158" i="36"/>
  <c r="BZ158" i="36" s="1"/>
  <c r="CQ158" i="36"/>
  <c r="CU158" i="36" s="1"/>
  <c r="BP181" i="36"/>
  <c r="BZ181" i="36" s="1"/>
  <c r="CQ181" i="36"/>
  <c r="CU181" i="36" s="1"/>
  <c r="BP188" i="36"/>
  <c r="CQ188" i="36"/>
  <c r="CU188" i="36" s="1"/>
  <c r="BP192" i="36"/>
  <c r="CQ192" i="36"/>
  <c r="CU192" i="36" s="1"/>
  <c r="BP196" i="36"/>
  <c r="BZ196" i="36" s="1"/>
  <c r="CQ196" i="36"/>
  <c r="CU196" i="36" s="1"/>
  <c r="CE205" i="36"/>
  <c r="CG205" i="36" s="1"/>
  <c r="BP156" i="36"/>
  <c r="BZ156" i="36" s="1"/>
  <c r="CQ156" i="36"/>
  <c r="CU156" i="36" s="1"/>
  <c r="BP22" i="36"/>
  <c r="CQ22" i="36"/>
  <c r="CU22" i="36" s="1"/>
  <c r="BP37" i="36"/>
  <c r="BZ37" i="36" s="1"/>
  <c r="CQ37" i="36"/>
  <c r="CU37" i="36" s="1"/>
  <c r="CL138" i="36"/>
  <c r="BA138" i="36"/>
  <c r="BP190" i="36"/>
  <c r="CQ190" i="36"/>
  <c r="CU190" i="36" s="1"/>
  <c r="BP157" i="36"/>
  <c r="BZ157" i="36" s="1"/>
  <c r="CQ157" i="36"/>
  <c r="CU157" i="36" s="1"/>
  <c r="BP180" i="36"/>
  <c r="BZ180" i="36" s="1"/>
  <c r="CQ180" i="36"/>
  <c r="CU180" i="36" s="1"/>
  <c r="BP187" i="36"/>
  <c r="BZ187" i="36" s="1"/>
  <c r="CQ187" i="36"/>
  <c r="CU187" i="36" s="1"/>
  <c r="BP191" i="36"/>
  <c r="BZ191" i="36" s="1"/>
  <c r="CQ191" i="36"/>
  <c r="CU191" i="36" s="1"/>
  <c r="BP195" i="36"/>
  <c r="CQ195" i="36"/>
  <c r="CU195" i="36" s="1"/>
  <c r="BP36" i="36"/>
  <c r="BZ36" i="36" s="1"/>
  <c r="CQ36" i="36"/>
  <c r="CU36" i="36" s="1"/>
  <c r="CN138" i="36"/>
  <c r="BS53" i="36"/>
  <c r="BS80" i="36" s="1"/>
  <c r="BA80" i="36"/>
  <c r="CQ127" i="36"/>
  <c r="CQ138" i="36" s="1"/>
  <c r="DD127" i="36"/>
  <c r="BQ127" i="36"/>
  <c r="CE127" i="36" s="1"/>
  <c r="CG127" i="36" s="1"/>
  <c r="BQ132" i="36"/>
  <c r="CE132" i="36" s="1"/>
  <c r="CG132" i="36" s="1"/>
  <c r="BQ128" i="36"/>
  <c r="CE128" i="36" s="1"/>
  <c r="CU132" i="36"/>
  <c r="CU131" i="36"/>
  <c r="CU130" i="36"/>
  <c r="CU128" i="36"/>
  <c r="CU133" i="36"/>
  <c r="BZ129" i="36"/>
  <c r="CU129" i="36"/>
  <c r="CG130" i="36"/>
  <c r="CG131" i="36"/>
  <c r="CG133" i="36"/>
  <c r="CG129" i="36"/>
  <c r="BK19" i="36"/>
  <c r="BM19" i="36"/>
  <c r="BP20" i="36"/>
  <c r="BK21" i="36"/>
  <c r="BN20" i="36"/>
  <c r="BO20" i="36"/>
  <c r="BO19" i="36"/>
  <c r="BJ20" i="36"/>
  <c r="BM21" i="36"/>
  <c r="BJ21" i="36"/>
  <c r="BP19" i="36"/>
  <c r="BK20" i="36"/>
  <c r="BN21" i="36"/>
  <c r="BN19" i="36"/>
  <c r="BL21" i="36"/>
  <c r="BL20" i="36"/>
  <c r="BO21" i="36"/>
  <c r="BL19" i="36"/>
  <c r="BJ19" i="36"/>
  <c r="BM20" i="36"/>
  <c r="BP21" i="36"/>
  <c r="AR80" i="36"/>
  <c r="D102" i="32"/>
  <c r="G102" i="32" s="1"/>
  <c r="N102" i="32"/>
  <c r="Q102" i="32" s="1"/>
  <c r="U102" i="32"/>
  <c r="D95" i="32"/>
  <c r="AQ93" i="36"/>
  <c r="AR93" i="36"/>
  <c r="BJ207" i="36"/>
  <c r="BK207" i="36"/>
  <c r="BS207" i="36"/>
  <c r="BL207" i="36"/>
  <c r="BR207" i="36"/>
  <c r="BO207" i="36"/>
  <c r="BM207" i="36"/>
  <c r="BQ207" i="36"/>
  <c r="BI207" i="36"/>
  <c r="BN207" i="36"/>
  <c r="BH204" i="36"/>
  <c r="BH205" i="36" s="1"/>
  <c r="AP204" i="36"/>
  <c r="AP195" i="36"/>
  <c r="BH194" i="36"/>
  <c r="BH195" i="36"/>
  <c r="BI195" i="36"/>
  <c r="BH196" i="36"/>
  <c r="BH193" i="36"/>
  <c r="BZ192" i="36"/>
  <c r="BH192" i="36"/>
  <c r="BH191" i="36"/>
  <c r="BH189" i="36"/>
  <c r="BH190" i="36"/>
  <c r="AP193" i="36"/>
  <c r="BH188" i="36"/>
  <c r="AP187" i="36"/>
  <c r="BI189" i="36"/>
  <c r="BZ189" i="36" s="1"/>
  <c r="AP181" i="36"/>
  <c r="AP189" i="36"/>
  <c r="BH187" i="36"/>
  <c r="BI188" i="36"/>
  <c r="BZ188" i="36" s="1"/>
  <c r="BH186" i="36"/>
  <c r="BH181" i="36"/>
  <c r="BH180" i="36"/>
  <c r="BH182" i="36"/>
  <c r="BH168" i="36"/>
  <c r="AP168" i="36"/>
  <c r="AP157" i="36"/>
  <c r="AP158" i="36"/>
  <c r="AP159" i="36"/>
  <c r="BH157" i="36"/>
  <c r="BH158" i="36"/>
  <c r="BH159" i="36"/>
  <c r="BZ153" i="36"/>
  <c r="AP156" i="36"/>
  <c r="BH153" i="36"/>
  <c r="BH155" i="36"/>
  <c r="BH156" i="36"/>
  <c r="AP153" i="36"/>
  <c r="AP155" i="36"/>
  <c r="CD126" i="36"/>
  <c r="BZ133" i="36"/>
  <c r="CD129" i="36"/>
  <c r="AP133" i="36"/>
  <c r="BH133" i="36"/>
  <c r="CC133" i="36" s="1"/>
  <c r="BH128" i="36"/>
  <c r="CC128" i="36" s="1"/>
  <c r="AS138" i="36"/>
  <c r="CD128" i="36"/>
  <c r="AT138" i="36"/>
  <c r="AU138" i="36"/>
  <c r="AV138" i="36"/>
  <c r="BH127" i="36"/>
  <c r="CC127" i="36" s="1"/>
  <c r="AR138" i="36"/>
  <c r="AZ138" i="36"/>
  <c r="BH130" i="36"/>
  <c r="AW138" i="36"/>
  <c r="BK138" i="36"/>
  <c r="BH132" i="36"/>
  <c r="AX138" i="36"/>
  <c r="BH129" i="36"/>
  <c r="BH126" i="36"/>
  <c r="CA126" i="36" s="1"/>
  <c r="CD127" i="36"/>
  <c r="BJ138" i="36"/>
  <c r="CD130" i="36"/>
  <c r="AQ138" i="36"/>
  <c r="BS138" i="36"/>
  <c r="BH131" i="36"/>
  <c r="BR138" i="36"/>
  <c r="AP130" i="36"/>
  <c r="AP131" i="36"/>
  <c r="AP132" i="36"/>
  <c r="BL138" i="36"/>
  <c r="CB138" i="36"/>
  <c r="BN138" i="36"/>
  <c r="BO138" i="36"/>
  <c r="AZ93" i="36"/>
  <c r="AT93" i="36"/>
  <c r="BM93" i="36"/>
  <c r="BA93" i="36"/>
  <c r="BJ93" i="36"/>
  <c r="AS93" i="36"/>
  <c r="AV93" i="36"/>
  <c r="BL93" i="36"/>
  <c r="BO93" i="36"/>
  <c r="AW93" i="36"/>
  <c r="AX93" i="36"/>
  <c r="CQ93" i="36" s="1"/>
  <c r="CU93" i="36" s="1"/>
  <c r="BP93" i="36"/>
  <c r="BR93" i="36"/>
  <c r="BS93" i="36"/>
  <c r="BK93" i="36"/>
  <c r="AU93" i="36"/>
  <c r="AY93" i="36"/>
  <c r="CG93" i="36" s="1"/>
  <c r="BQ93" i="36"/>
  <c r="BN93" i="36"/>
  <c r="CB93" i="36"/>
  <c r="BZ48" i="36"/>
  <c r="BZ50" i="36"/>
  <c r="BZ47" i="36"/>
  <c r="BQ80" i="36"/>
  <c r="AW80" i="36"/>
  <c r="AY80" i="36"/>
  <c r="CD53" i="36"/>
  <c r="BH47" i="36"/>
  <c r="BK80" i="36"/>
  <c r="BI80" i="36"/>
  <c r="AT80" i="36"/>
  <c r="AX80" i="36"/>
  <c r="CQ80" i="36" s="1"/>
  <c r="CU80" i="36" s="1"/>
  <c r="AQ80" i="36"/>
  <c r="BH50" i="36"/>
  <c r="AZ80" i="36"/>
  <c r="AS80" i="36"/>
  <c r="AV80" i="36"/>
  <c r="CD48" i="36"/>
  <c r="BJ80" i="36"/>
  <c r="BM80" i="36"/>
  <c r="BN80" i="36"/>
  <c r="BO80" i="36"/>
  <c r="BR80" i="36"/>
  <c r="BH48" i="36"/>
  <c r="CD47" i="36"/>
  <c r="CD50" i="36"/>
  <c r="AU80" i="36"/>
  <c r="BH53" i="36"/>
  <c r="CD37" i="36"/>
  <c r="CD35" i="36"/>
  <c r="CD36" i="36"/>
  <c r="CD38" i="36"/>
  <c r="BH37" i="36"/>
  <c r="BH36" i="36"/>
  <c r="BH38" i="36"/>
  <c r="BH35" i="36"/>
  <c r="BZ22" i="36"/>
  <c r="BZ24" i="36"/>
  <c r="AP20" i="36"/>
  <c r="AP22" i="36"/>
  <c r="AP24" i="36"/>
  <c r="AP19" i="36"/>
  <c r="BH19" i="36"/>
  <c r="BH20" i="36"/>
  <c r="BH21" i="36"/>
  <c r="BH22" i="36"/>
  <c r="BH24" i="36"/>
  <c r="AP21" i="36"/>
  <c r="BZ195" i="36" l="1"/>
  <c r="CC53" i="36"/>
  <c r="BH81" i="36"/>
  <c r="CU127" i="36"/>
  <c r="BP207" i="36"/>
  <c r="CG80" i="36"/>
  <c r="BZ53" i="36"/>
  <c r="CG128" i="36"/>
  <c r="CG138" i="36" s="1"/>
  <c r="CE80" i="36"/>
  <c r="CA53" i="36"/>
  <c r="BZ128" i="36"/>
  <c r="CA133" i="36"/>
  <c r="CE124" i="36"/>
  <c r="DH127" i="36"/>
  <c r="DH138" i="36" s="1"/>
  <c r="DD138" i="36"/>
  <c r="CA127" i="36"/>
  <c r="CA132" i="36"/>
  <c r="CC132" i="36"/>
  <c r="CA131" i="36"/>
  <c r="CC131" i="36"/>
  <c r="CA130" i="36"/>
  <c r="CC130" i="36"/>
  <c r="CA129" i="36"/>
  <c r="CC129" i="36"/>
  <c r="CA128" i="36"/>
  <c r="BZ130" i="36"/>
  <c r="BQ138" i="36"/>
  <c r="BQ140" i="36" s="1"/>
  <c r="CR138" i="36"/>
  <c r="CU126" i="36"/>
  <c r="CE138" i="36"/>
  <c r="CG139" i="36" s="1"/>
  <c r="BZ131" i="36"/>
  <c r="BZ132" i="36"/>
  <c r="BZ21" i="36"/>
  <c r="CC21" i="36" s="1"/>
  <c r="BZ19" i="36"/>
  <c r="CA19" i="36" s="1"/>
  <c r="BZ127" i="36"/>
  <c r="BZ20" i="36"/>
  <c r="CA20" i="36" s="1"/>
  <c r="BP138" i="36"/>
  <c r="BP140" i="36" s="1"/>
  <c r="D99" i="32"/>
  <c r="D96" i="32"/>
  <c r="CD138" i="36"/>
  <c r="U99" i="32" s="1"/>
  <c r="U95" i="32"/>
  <c r="AP138" i="36"/>
  <c r="BH80" i="36"/>
  <c r="AP93" i="36"/>
  <c r="CA188" i="36"/>
  <c r="CC204" i="36"/>
  <c r="CC205" i="36" s="1"/>
  <c r="CB206" i="36" s="1"/>
  <c r="BZ207" i="36"/>
  <c r="CA191" i="36"/>
  <c r="CC192" i="36"/>
  <c r="CA195" i="36"/>
  <c r="BZ206" i="36"/>
  <c r="I102" i="32"/>
  <c r="CC193" i="36"/>
  <c r="CA196" i="36"/>
  <c r="BZ194" i="36"/>
  <c r="CC194" i="36" s="1"/>
  <c r="AP205" i="36"/>
  <c r="CA206" i="36" s="1"/>
  <c r="CA204" i="36"/>
  <c r="CA205" i="36" s="1"/>
  <c r="CC189" i="36"/>
  <c r="CC196" i="36"/>
  <c r="CA182" i="36"/>
  <c r="CC195" i="36"/>
  <c r="CA193" i="36"/>
  <c r="CA192" i="36"/>
  <c r="CA189" i="36"/>
  <c r="BZ190" i="36"/>
  <c r="CC190" i="36" s="1"/>
  <c r="CC168" i="36"/>
  <c r="CC191" i="36"/>
  <c r="CA187" i="36"/>
  <c r="CC187" i="36"/>
  <c r="CC188" i="36"/>
  <c r="CA181" i="36"/>
  <c r="BZ186" i="36"/>
  <c r="CC186" i="36" s="1"/>
  <c r="CC47" i="36"/>
  <c r="CC182" i="36"/>
  <c r="CA168" i="36"/>
  <c r="CC180" i="36"/>
  <c r="CA180" i="36"/>
  <c r="CC181" i="36"/>
  <c r="CC157" i="36"/>
  <c r="CC156" i="36"/>
  <c r="CA159" i="36"/>
  <c r="CC153" i="36"/>
  <c r="CC159" i="36"/>
  <c r="CC158" i="36"/>
  <c r="CC155" i="36"/>
  <c r="CA158" i="36"/>
  <c r="CA157" i="36"/>
  <c r="CA155" i="36"/>
  <c r="CA153" i="36"/>
  <c r="CA156" i="36"/>
  <c r="BJ140" i="36"/>
  <c r="BO140" i="36"/>
  <c r="BS140" i="36"/>
  <c r="BI138" i="36"/>
  <c r="BI140" i="36" s="1"/>
  <c r="BL140" i="36"/>
  <c r="BK140" i="36"/>
  <c r="BR140" i="36"/>
  <c r="BN140" i="36"/>
  <c r="BZ126" i="36"/>
  <c r="BH138" i="36"/>
  <c r="BM138" i="36"/>
  <c r="BM140" i="36" s="1"/>
  <c r="CC50" i="36"/>
  <c r="CC48" i="36"/>
  <c r="BR95" i="36"/>
  <c r="BM95" i="36"/>
  <c r="BS95" i="36"/>
  <c r="BP95" i="36"/>
  <c r="BL95" i="36"/>
  <c r="BQ95" i="36"/>
  <c r="BO95" i="36"/>
  <c r="BH93" i="36"/>
  <c r="CB94" i="36" s="1"/>
  <c r="BN95" i="36"/>
  <c r="BK95" i="36"/>
  <c r="BI93" i="36"/>
  <c r="BI95" i="36" s="1"/>
  <c r="BJ95" i="36"/>
  <c r="CA35" i="36"/>
  <c r="CA47" i="36"/>
  <c r="CA48" i="36"/>
  <c r="CA50" i="36"/>
  <c r="BL80" i="36"/>
  <c r="AP80" i="36"/>
  <c r="CA36" i="36"/>
  <c r="CC38" i="36"/>
  <c r="CA38" i="36"/>
  <c r="CC36" i="36"/>
  <c r="CC35" i="36"/>
  <c r="CC37" i="36"/>
  <c r="CA37" i="36"/>
  <c r="CC22" i="36"/>
  <c r="CA24" i="36"/>
  <c r="CC24" i="36"/>
  <c r="CA22" i="36"/>
  <c r="CU138" i="36" l="1"/>
  <c r="BT96" i="36"/>
  <c r="BZ80" i="36"/>
  <c r="BZ81" i="36"/>
  <c r="BZ82" i="36" s="1"/>
  <c r="T95" i="32"/>
  <c r="CA94" i="36"/>
  <c r="CA93" i="36"/>
  <c r="CC94" i="36" s="1"/>
  <c r="CA80" i="36"/>
  <c r="CA21" i="36"/>
  <c r="CA138" i="36"/>
  <c r="CC19" i="36"/>
  <c r="CA139" i="36"/>
  <c r="CC20" i="36"/>
  <c r="N95" i="32"/>
  <c r="I96" i="32"/>
  <c r="I99" i="32"/>
  <c r="L99" i="32" s="1"/>
  <c r="I95" i="32"/>
  <c r="L102" i="32"/>
  <c r="W102" i="32"/>
  <c r="CA194" i="36"/>
  <c r="CC206" i="36"/>
  <c r="CC207" i="36" s="1"/>
  <c r="R102" i="32"/>
  <c r="CA186" i="36"/>
  <c r="CA190" i="36"/>
  <c r="BZ140" i="36"/>
  <c r="BZ138" i="36"/>
  <c r="CC126" i="36"/>
  <c r="CC138" i="36" s="1"/>
  <c r="BZ93" i="36"/>
  <c r="BZ95" i="36"/>
  <c r="CE97" i="36" s="1"/>
  <c r="CB139" i="36" l="1"/>
  <c r="T99" i="32"/>
  <c r="N96" i="32"/>
  <c r="T102" i="32"/>
  <c r="S102" i="32" s="1"/>
  <c r="Z102" i="32"/>
  <c r="N99" i="32"/>
  <c r="BZ139" i="36"/>
  <c r="CA140" i="36"/>
  <c r="CB140" i="36"/>
  <c r="BZ94" i="36"/>
  <c r="CC81" i="36"/>
  <c r="CC82" i="36" s="1"/>
  <c r="R95" i="32"/>
  <c r="CC95" i="36" l="1"/>
  <c r="R96" i="32"/>
  <c r="CC139" i="36"/>
  <c r="CC140" i="36" s="1"/>
  <c r="R99" i="32"/>
  <c r="BH157" i="34" l="1"/>
  <c r="AR157" i="34"/>
  <c r="BE157" i="34" s="1"/>
  <c r="AQ157" i="34"/>
  <c r="BD157" i="34" s="1"/>
  <c r="AP157" i="34"/>
  <c r="BC157" i="34" s="1"/>
  <c r="AO157" i="34"/>
  <c r="BB157" i="34" s="1"/>
  <c r="AN157" i="34"/>
  <c r="AM157" i="34"/>
  <c r="AZ157" i="34" s="1"/>
  <c r="AL157" i="34"/>
  <c r="AY157" i="34" s="1"/>
  <c r="AK157" i="34"/>
  <c r="AX157" i="34" s="1"/>
  <c r="AJ157" i="34"/>
  <c r="AW157" i="34" s="1"/>
  <c r="AI157" i="34"/>
  <c r="AV157" i="34" s="1"/>
  <c r="AH157" i="34"/>
  <c r="AU157" i="34" s="1"/>
  <c r="AG157" i="34"/>
  <c r="AT157" i="34" s="1"/>
  <c r="Q157" i="34"/>
  <c r="AF157" i="34" s="1"/>
  <c r="BH156" i="34"/>
  <c r="AR156" i="34"/>
  <c r="BE156" i="34" s="1"/>
  <c r="AQ156" i="34"/>
  <c r="BD156" i="34" s="1"/>
  <c r="AP156" i="34"/>
  <c r="BC156" i="34" s="1"/>
  <c r="AO156" i="34"/>
  <c r="BB156" i="34" s="1"/>
  <c r="AN156" i="34"/>
  <c r="AM156" i="34"/>
  <c r="AZ156" i="34" s="1"/>
  <c r="AL156" i="34"/>
  <c r="AY156" i="34" s="1"/>
  <c r="AK156" i="34"/>
  <c r="AX156" i="34" s="1"/>
  <c r="AJ156" i="34"/>
  <c r="AW156" i="34" s="1"/>
  <c r="AI156" i="34"/>
  <c r="AV156" i="34" s="1"/>
  <c r="AH156" i="34"/>
  <c r="AG156" i="34"/>
  <c r="AT156" i="34" s="1"/>
  <c r="Q156" i="34"/>
  <c r="AF156" i="34" s="1"/>
  <c r="BH155" i="34"/>
  <c r="AR155" i="34"/>
  <c r="BE155" i="34" s="1"/>
  <c r="AQ155" i="34"/>
  <c r="BD155" i="34" s="1"/>
  <c r="AP155" i="34"/>
  <c r="BC155" i="34" s="1"/>
  <c r="AO155" i="34"/>
  <c r="BB155" i="34" s="1"/>
  <c r="AN155" i="34"/>
  <c r="AM155" i="34"/>
  <c r="AZ155" i="34" s="1"/>
  <c r="AL155" i="34"/>
  <c r="AY155" i="34" s="1"/>
  <c r="AK155" i="34"/>
  <c r="AX155" i="34" s="1"/>
  <c r="AJ155" i="34"/>
  <c r="AW155" i="34" s="1"/>
  <c r="AI155" i="34"/>
  <c r="AV155" i="34" s="1"/>
  <c r="AH155" i="34"/>
  <c r="AU155" i="34" s="1"/>
  <c r="AG155" i="34"/>
  <c r="AT155" i="34" s="1"/>
  <c r="Q155" i="34"/>
  <c r="AF155" i="34" s="1"/>
  <c r="BH154" i="34"/>
  <c r="AR154" i="34"/>
  <c r="BE154" i="34" s="1"/>
  <c r="AQ154" i="34"/>
  <c r="BD154" i="34" s="1"/>
  <c r="AP154" i="34"/>
  <c r="BC154" i="34" s="1"/>
  <c r="AO154" i="34"/>
  <c r="BB154" i="34" s="1"/>
  <c r="AN154" i="34"/>
  <c r="AM154" i="34"/>
  <c r="AZ154" i="34" s="1"/>
  <c r="AL154" i="34"/>
  <c r="AY154" i="34" s="1"/>
  <c r="AK154" i="34"/>
  <c r="AX154" i="34" s="1"/>
  <c r="AJ154" i="34"/>
  <c r="AW154" i="34" s="1"/>
  <c r="AI154" i="34"/>
  <c r="AV154" i="34" s="1"/>
  <c r="AH154" i="34"/>
  <c r="AG154" i="34"/>
  <c r="AT154" i="34" s="1"/>
  <c r="Q154" i="34"/>
  <c r="AF154" i="34" s="1"/>
  <c r="BH153" i="34"/>
  <c r="AR153" i="34"/>
  <c r="BE153" i="34" s="1"/>
  <c r="AQ153" i="34"/>
  <c r="BD153" i="34" s="1"/>
  <c r="AP153" i="34"/>
  <c r="BC153" i="34" s="1"/>
  <c r="AO153" i="34"/>
  <c r="BB153" i="34" s="1"/>
  <c r="AN153" i="34"/>
  <c r="AM153" i="34"/>
  <c r="AZ153" i="34" s="1"/>
  <c r="AL153" i="34"/>
  <c r="AY153" i="34" s="1"/>
  <c r="AK153" i="34"/>
  <c r="AX153" i="34" s="1"/>
  <c r="AJ153" i="34"/>
  <c r="AW153" i="34" s="1"/>
  <c r="AI153" i="34"/>
  <c r="AV153" i="34" s="1"/>
  <c r="AH153" i="34"/>
  <c r="AU153" i="34" s="1"/>
  <c r="AG153" i="34"/>
  <c r="AT153" i="34" s="1"/>
  <c r="Q153" i="34"/>
  <c r="AF153" i="34" s="1"/>
  <c r="BH152" i="34"/>
  <c r="AR152" i="34"/>
  <c r="BE152" i="34" s="1"/>
  <c r="AQ152" i="34"/>
  <c r="BD152" i="34" s="1"/>
  <c r="AP152" i="34"/>
  <c r="BC152" i="34" s="1"/>
  <c r="AO152" i="34"/>
  <c r="BB152" i="34" s="1"/>
  <c r="AN152" i="34"/>
  <c r="AM152" i="34"/>
  <c r="AZ152" i="34" s="1"/>
  <c r="AL152" i="34"/>
  <c r="AY152" i="34" s="1"/>
  <c r="AK152" i="34"/>
  <c r="AX152" i="34" s="1"/>
  <c r="AJ152" i="34"/>
  <c r="AW152" i="34" s="1"/>
  <c r="AI152" i="34"/>
  <c r="AV152" i="34" s="1"/>
  <c r="AH152" i="34"/>
  <c r="AU152" i="34" s="1"/>
  <c r="AG152" i="34"/>
  <c r="AT152" i="34" s="1"/>
  <c r="Q152" i="34"/>
  <c r="AF152" i="34" s="1"/>
  <c r="BH160" i="34"/>
  <c r="AR160" i="34"/>
  <c r="BE160" i="34" s="1"/>
  <c r="AQ160" i="34"/>
  <c r="BD160" i="34" s="1"/>
  <c r="AP160" i="34"/>
  <c r="BC160" i="34" s="1"/>
  <c r="AO160" i="34"/>
  <c r="BB160" i="34" s="1"/>
  <c r="AN160" i="34"/>
  <c r="AM160" i="34"/>
  <c r="AZ160" i="34" s="1"/>
  <c r="AL160" i="34"/>
  <c r="AY160" i="34" s="1"/>
  <c r="AK160" i="34"/>
  <c r="AX160" i="34" s="1"/>
  <c r="AJ160" i="34"/>
  <c r="AW160" i="34" s="1"/>
  <c r="AI160" i="34"/>
  <c r="AV160" i="34" s="1"/>
  <c r="AH160" i="34"/>
  <c r="AU160" i="34" s="1"/>
  <c r="AG160" i="34"/>
  <c r="AT160" i="34" s="1"/>
  <c r="Q160" i="34"/>
  <c r="BJ160" i="34" s="1"/>
  <c r="BH159" i="34"/>
  <c r="AR159" i="34"/>
  <c r="BE159" i="34" s="1"/>
  <c r="AQ159" i="34"/>
  <c r="BD159" i="34" s="1"/>
  <c r="AP159" i="34"/>
  <c r="BC159" i="34" s="1"/>
  <c r="AO159" i="34"/>
  <c r="BB159" i="34" s="1"/>
  <c r="AN159" i="34"/>
  <c r="AM159" i="34"/>
  <c r="AZ159" i="34" s="1"/>
  <c r="AL159" i="34"/>
  <c r="AY159" i="34" s="1"/>
  <c r="AK159" i="34"/>
  <c r="AX159" i="34" s="1"/>
  <c r="AJ159" i="34"/>
  <c r="AW159" i="34" s="1"/>
  <c r="AI159" i="34"/>
  <c r="AV159" i="34" s="1"/>
  <c r="AH159" i="34"/>
  <c r="AU159" i="34" s="1"/>
  <c r="AG159" i="34"/>
  <c r="AT159" i="34" s="1"/>
  <c r="Q159" i="34"/>
  <c r="BJ159" i="34" s="1"/>
  <c r="BH158" i="34"/>
  <c r="AR158" i="34"/>
  <c r="BE158" i="34" s="1"/>
  <c r="AQ158" i="34"/>
  <c r="BD158" i="34" s="1"/>
  <c r="AP158" i="34"/>
  <c r="BC158" i="34" s="1"/>
  <c r="AO158" i="34"/>
  <c r="BB158" i="34" s="1"/>
  <c r="AN158" i="34"/>
  <c r="AM158" i="34"/>
  <c r="AZ158" i="34" s="1"/>
  <c r="AL158" i="34"/>
  <c r="AY158" i="34" s="1"/>
  <c r="AK158" i="34"/>
  <c r="AX158" i="34" s="1"/>
  <c r="AJ158" i="34"/>
  <c r="AW158" i="34" s="1"/>
  <c r="AI158" i="34"/>
  <c r="AV158" i="34" s="1"/>
  <c r="AH158" i="34"/>
  <c r="AU158" i="34" s="1"/>
  <c r="AG158" i="34"/>
  <c r="AT158" i="34" s="1"/>
  <c r="Q158" i="34"/>
  <c r="BJ158" i="34" s="1"/>
  <c r="BH151" i="34"/>
  <c r="AR151" i="34"/>
  <c r="BE151" i="34" s="1"/>
  <c r="AQ151" i="34"/>
  <c r="BD151" i="34" s="1"/>
  <c r="AP151" i="34"/>
  <c r="BC151" i="34" s="1"/>
  <c r="AO151" i="34"/>
  <c r="BB151" i="34" s="1"/>
  <c r="AN151" i="34"/>
  <c r="AM151" i="34"/>
  <c r="AZ151" i="34" s="1"/>
  <c r="AL151" i="34"/>
  <c r="AY151" i="34" s="1"/>
  <c r="AK151" i="34"/>
  <c r="AX151" i="34" s="1"/>
  <c r="AJ151" i="34"/>
  <c r="AW151" i="34" s="1"/>
  <c r="AI151" i="34"/>
  <c r="AV151" i="34" s="1"/>
  <c r="AH151" i="34"/>
  <c r="AU151" i="34" s="1"/>
  <c r="AG151" i="34"/>
  <c r="AT151" i="34" s="1"/>
  <c r="Q151" i="34"/>
  <c r="BJ151" i="34" s="1"/>
  <c r="BH150" i="34"/>
  <c r="AR150" i="34"/>
  <c r="BE150" i="34" s="1"/>
  <c r="AQ150" i="34"/>
  <c r="BD150" i="34" s="1"/>
  <c r="AP150" i="34"/>
  <c r="BC150" i="34" s="1"/>
  <c r="AO150" i="34"/>
  <c r="BB150" i="34" s="1"/>
  <c r="AN150" i="34"/>
  <c r="AM150" i="34"/>
  <c r="AZ150" i="34" s="1"/>
  <c r="AL150" i="34"/>
  <c r="AY150" i="34" s="1"/>
  <c r="AK150" i="34"/>
  <c r="AX150" i="34" s="1"/>
  <c r="AJ150" i="34"/>
  <c r="AW150" i="34" s="1"/>
  <c r="AI150" i="34"/>
  <c r="AV150" i="34" s="1"/>
  <c r="AH150" i="34"/>
  <c r="AU150" i="34" s="1"/>
  <c r="AG150" i="34"/>
  <c r="AT150" i="34" s="1"/>
  <c r="Q150" i="34"/>
  <c r="BJ150" i="34" s="1"/>
  <c r="BH149" i="34"/>
  <c r="AR149" i="34"/>
  <c r="BE149" i="34" s="1"/>
  <c r="AQ149" i="34"/>
  <c r="BD149" i="34" s="1"/>
  <c r="AP149" i="34"/>
  <c r="BC149" i="34" s="1"/>
  <c r="AO149" i="34"/>
  <c r="BB149" i="34" s="1"/>
  <c r="AN149" i="34"/>
  <c r="AM149" i="34"/>
  <c r="AZ149" i="34" s="1"/>
  <c r="AL149" i="34"/>
  <c r="AY149" i="34" s="1"/>
  <c r="AK149" i="34"/>
  <c r="AX149" i="34" s="1"/>
  <c r="AJ149" i="34"/>
  <c r="AW149" i="34" s="1"/>
  <c r="AI149" i="34"/>
  <c r="AV149" i="34" s="1"/>
  <c r="AH149" i="34"/>
  <c r="AU149" i="34" s="1"/>
  <c r="AG149" i="34"/>
  <c r="AT149" i="34" s="1"/>
  <c r="Q149" i="34"/>
  <c r="AF149" i="34" s="1"/>
  <c r="BH148" i="34"/>
  <c r="AR148" i="34"/>
  <c r="BE148" i="34" s="1"/>
  <c r="AQ148" i="34"/>
  <c r="BD148" i="34" s="1"/>
  <c r="AP148" i="34"/>
  <c r="BC148" i="34" s="1"/>
  <c r="AO148" i="34"/>
  <c r="BB148" i="34" s="1"/>
  <c r="AN148" i="34"/>
  <c r="AM148" i="34"/>
  <c r="AZ148" i="34" s="1"/>
  <c r="AL148" i="34"/>
  <c r="AY148" i="34" s="1"/>
  <c r="AK148" i="34"/>
  <c r="AX148" i="34" s="1"/>
  <c r="AJ148" i="34"/>
  <c r="AW148" i="34" s="1"/>
  <c r="AI148" i="34"/>
  <c r="AV148" i="34" s="1"/>
  <c r="AH148" i="34"/>
  <c r="AU148" i="34" s="1"/>
  <c r="AG148" i="34"/>
  <c r="AT148" i="34" s="1"/>
  <c r="Q148" i="34"/>
  <c r="AF148" i="34" s="1"/>
  <c r="BH147" i="34"/>
  <c r="AR147" i="34"/>
  <c r="BE147" i="34" s="1"/>
  <c r="AQ147" i="34"/>
  <c r="BD147" i="34" s="1"/>
  <c r="AP147" i="34"/>
  <c r="BC147" i="34" s="1"/>
  <c r="AO147" i="34"/>
  <c r="BB147" i="34" s="1"/>
  <c r="AN147" i="34"/>
  <c r="AM147" i="34"/>
  <c r="AZ147" i="34" s="1"/>
  <c r="AL147" i="34"/>
  <c r="AY147" i="34" s="1"/>
  <c r="AK147" i="34"/>
  <c r="AX147" i="34" s="1"/>
  <c r="AJ147" i="34"/>
  <c r="AW147" i="34" s="1"/>
  <c r="AI147" i="34"/>
  <c r="AV147" i="34" s="1"/>
  <c r="AH147" i="34"/>
  <c r="AU147" i="34" s="1"/>
  <c r="AG147" i="34"/>
  <c r="AT147" i="34" s="1"/>
  <c r="Q147" i="34"/>
  <c r="AF147" i="34" s="1"/>
  <c r="BH146" i="34"/>
  <c r="AR146" i="34"/>
  <c r="BE146" i="34" s="1"/>
  <c r="AQ146" i="34"/>
  <c r="BD146" i="34" s="1"/>
  <c r="AP146" i="34"/>
  <c r="BC146" i="34" s="1"/>
  <c r="AO146" i="34"/>
  <c r="BB146" i="34" s="1"/>
  <c r="AN146" i="34"/>
  <c r="AM146" i="34"/>
  <c r="AZ146" i="34" s="1"/>
  <c r="AL146" i="34"/>
  <c r="AY146" i="34" s="1"/>
  <c r="AK146" i="34"/>
  <c r="AX146" i="34" s="1"/>
  <c r="AJ146" i="34"/>
  <c r="AW146" i="34" s="1"/>
  <c r="AI146" i="34"/>
  <c r="AV146" i="34" s="1"/>
  <c r="AH146" i="34"/>
  <c r="AU146" i="34" s="1"/>
  <c r="AG146" i="34"/>
  <c r="AT146" i="34" s="1"/>
  <c r="Q146" i="34"/>
  <c r="AF146" i="34" s="1"/>
  <c r="BH145" i="34"/>
  <c r="AR145" i="34"/>
  <c r="BE145" i="34" s="1"/>
  <c r="AQ145" i="34"/>
  <c r="BD145" i="34" s="1"/>
  <c r="AP145" i="34"/>
  <c r="BC145" i="34" s="1"/>
  <c r="AO145" i="34"/>
  <c r="BB145" i="34" s="1"/>
  <c r="AN145" i="34"/>
  <c r="AM145" i="34"/>
  <c r="AZ145" i="34" s="1"/>
  <c r="AL145" i="34"/>
  <c r="AY145" i="34" s="1"/>
  <c r="AK145" i="34"/>
  <c r="AX145" i="34" s="1"/>
  <c r="AJ145" i="34"/>
  <c r="AW145" i="34" s="1"/>
  <c r="AI145" i="34"/>
  <c r="AV145" i="34" s="1"/>
  <c r="AH145" i="34"/>
  <c r="AU145" i="34" s="1"/>
  <c r="AG145" i="34"/>
  <c r="AT145" i="34" s="1"/>
  <c r="Q145" i="34"/>
  <c r="AF145" i="34" s="1"/>
  <c r="BH144" i="34"/>
  <c r="AR144" i="34"/>
  <c r="BE144" i="34" s="1"/>
  <c r="AQ144" i="34"/>
  <c r="BD144" i="34" s="1"/>
  <c r="AP144" i="34"/>
  <c r="BC144" i="34" s="1"/>
  <c r="AO144" i="34"/>
  <c r="BB144" i="34" s="1"/>
  <c r="AN144" i="34"/>
  <c r="AM144" i="34"/>
  <c r="AZ144" i="34" s="1"/>
  <c r="AL144" i="34"/>
  <c r="AY144" i="34" s="1"/>
  <c r="AK144" i="34"/>
  <c r="AX144" i="34" s="1"/>
  <c r="AJ144" i="34"/>
  <c r="AW144" i="34" s="1"/>
  <c r="AI144" i="34"/>
  <c r="AV144" i="34" s="1"/>
  <c r="AH144" i="34"/>
  <c r="AU144" i="34" s="1"/>
  <c r="AG144" i="34"/>
  <c r="AT144" i="34" s="1"/>
  <c r="Q144" i="34"/>
  <c r="AF144" i="34" s="1"/>
  <c r="BH143" i="34"/>
  <c r="AR143" i="34"/>
  <c r="BE143" i="34" s="1"/>
  <c r="AQ143" i="34"/>
  <c r="BD143" i="34" s="1"/>
  <c r="AP143" i="34"/>
  <c r="BC143" i="34" s="1"/>
  <c r="AO143" i="34"/>
  <c r="BB143" i="34" s="1"/>
  <c r="AN143" i="34"/>
  <c r="AM143" i="34"/>
  <c r="AZ143" i="34" s="1"/>
  <c r="AL143" i="34"/>
  <c r="AY143" i="34" s="1"/>
  <c r="AK143" i="34"/>
  <c r="AX143" i="34" s="1"/>
  <c r="AJ143" i="34"/>
  <c r="AW143" i="34" s="1"/>
  <c r="AI143" i="34"/>
  <c r="AH143" i="34"/>
  <c r="AG143" i="34"/>
  <c r="AF143" i="34"/>
  <c r="BH111" i="34"/>
  <c r="AR111" i="34"/>
  <c r="BE111" i="34" s="1"/>
  <c r="AQ111" i="34"/>
  <c r="BD111" i="34" s="1"/>
  <c r="AP111" i="34"/>
  <c r="BC111" i="34" s="1"/>
  <c r="AO111" i="34"/>
  <c r="BB111" i="34" s="1"/>
  <c r="AN111" i="34"/>
  <c r="AM111" i="34"/>
  <c r="AZ111" i="34" s="1"/>
  <c r="AL111" i="34"/>
  <c r="AY111" i="34" s="1"/>
  <c r="AK111" i="34"/>
  <c r="AX111" i="34" s="1"/>
  <c r="AJ111" i="34"/>
  <c r="AW111" i="34" s="1"/>
  <c r="AI111" i="34"/>
  <c r="AV111" i="34" s="1"/>
  <c r="AH111" i="34"/>
  <c r="AU111" i="34" s="1"/>
  <c r="AG111" i="34"/>
  <c r="AT111" i="34" s="1"/>
  <c r="Q111" i="34"/>
  <c r="BJ111" i="34" s="1"/>
  <c r="BH119" i="34"/>
  <c r="AR119" i="34"/>
  <c r="BE119" i="34" s="1"/>
  <c r="AQ119" i="34"/>
  <c r="BD119" i="34" s="1"/>
  <c r="AP119" i="34"/>
  <c r="BC119" i="34" s="1"/>
  <c r="AO119" i="34"/>
  <c r="BB119" i="34" s="1"/>
  <c r="AN119" i="34"/>
  <c r="AM119" i="34"/>
  <c r="AZ119" i="34" s="1"/>
  <c r="AL119" i="34"/>
  <c r="AY119" i="34" s="1"/>
  <c r="AK119" i="34"/>
  <c r="AX119" i="34" s="1"/>
  <c r="AJ119" i="34"/>
  <c r="AW119" i="34" s="1"/>
  <c r="AI119" i="34"/>
  <c r="AV119" i="34" s="1"/>
  <c r="AH119" i="34"/>
  <c r="AU119" i="34" s="1"/>
  <c r="AG119" i="34"/>
  <c r="Q119" i="34"/>
  <c r="AF119" i="34" s="1"/>
  <c r="BH116" i="34"/>
  <c r="AR116" i="34"/>
  <c r="BE116" i="34" s="1"/>
  <c r="AQ116" i="34"/>
  <c r="BD116" i="34" s="1"/>
  <c r="AP116" i="34"/>
  <c r="BC116" i="34" s="1"/>
  <c r="AO116" i="34"/>
  <c r="BB116" i="34" s="1"/>
  <c r="AN116" i="34"/>
  <c r="AM116" i="34"/>
  <c r="AZ116" i="34" s="1"/>
  <c r="AL116" i="34"/>
  <c r="AY116" i="34" s="1"/>
  <c r="AK116" i="34"/>
  <c r="AX116" i="34" s="1"/>
  <c r="AJ116" i="34"/>
  <c r="AW116" i="34" s="1"/>
  <c r="AI116" i="34"/>
  <c r="AV116" i="34" s="1"/>
  <c r="AH116" i="34"/>
  <c r="AU116" i="34" s="1"/>
  <c r="AG116" i="34"/>
  <c r="AT116" i="34" s="1"/>
  <c r="Q116" i="34"/>
  <c r="AF116" i="34" s="1"/>
  <c r="BH115" i="34"/>
  <c r="AR115" i="34"/>
  <c r="BE115" i="34" s="1"/>
  <c r="AQ115" i="34"/>
  <c r="BD115" i="34" s="1"/>
  <c r="AP115" i="34"/>
  <c r="BC115" i="34" s="1"/>
  <c r="AO115" i="34"/>
  <c r="BB115" i="34" s="1"/>
  <c r="AN115" i="34"/>
  <c r="AM115" i="34"/>
  <c r="AZ115" i="34" s="1"/>
  <c r="AL115" i="34"/>
  <c r="AY115" i="34" s="1"/>
  <c r="AK115" i="34"/>
  <c r="AX115" i="34" s="1"/>
  <c r="AJ115" i="34"/>
  <c r="AW115" i="34" s="1"/>
  <c r="AI115" i="34"/>
  <c r="AV115" i="34" s="1"/>
  <c r="AH115" i="34"/>
  <c r="AU115" i="34" s="1"/>
  <c r="AG115" i="34"/>
  <c r="Q115" i="34"/>
  <c r="BJ115" i="34" s="1"/>
  <c r="BH114" i="34"/>
  <c r="AR114" i="34"/>
  <c r="BE114" i="34" s="1"/>
  <c r="AQ114" i="34"/>
  <c r="BD114" i="34" s="1"/>
  <c r="AP114" i="34"/>
  <c r="BC114" i="34" s="1"/>
  <c r="AO114" i="34"/>
  <c r="BB114" i="34" s="1"/>
  <c r="AN114" i="34"/>
  <c r="AM114" i="34"/>
  <c r="AZ114" i="34" s="1"/>
  <c r="AL114" i="34"/>
  <c r="AY114" i="34" s="1"/>
  <c r="AK114" i="34"/>
  <c r="AX114" i="34" s="1"/>
  <c r="AJ114" i="34"/>
  <c r="AW114" i="34" s="1"/>
  <c r="AI114" i="34"/>
  <c r="AV114" i="34" s="1"/>
  <c r="AH114" i="34"/>
  <c r="AU114" i="34" s="1"/>
  <c r="AG114" i="34"/>
  <c r="Q114" i="34"/>
  <c r="BJ114" i="34" s="1"/>
  <c r="BH113" i="34"/>
  <c r="AR113" i="34"/>
  <c r="BE113" i="34" s="1"/>
  <c r="AQ113" i="34"/>
  <c r="BD113" i="34" s="1"/>
  <c r="AP113" i="34"/>
  <c r="BC113" i="34" s="1"/>
  <c r="AO113" i="34"/>
  <c r="BB113" i="34" s="1"/>
  <c r="AN113" i="34"/>
  <c r="AM113" i="34"/>
  <c r="AZ113" i="34" s="1"/>
  <c r="AL113" i="34"/>
  <c r="AY113" i="34" s="1"/>
  <c r="AK113" i="34"/>
  <c r="AX113" i="34" s="1"/>
  <c r="AJ113" i="34"/>
  <c r="AW113" i="34" s="1"/>
  <c r="AI113" i="34"/>
  <c r="AV113" i="34" s="1"/>
  <c r="AH113" i="34"/>
  <c r="AU113" i="34" s="1"/>
  <c r="AG113" i="34"/>
  <c r="Q113" i="34"/>
  <c r="BJ113" i="34" s="1"/>
  <c r="BH112" i="34"/>
  <c r="AR112" i="34"/>
  <c r="BE112" i="34" s="1"/>
  <c r="AQ112" i="34"/>
  <c r="BD112" i="34" s="1"/>
  <c r="AP112" i="34"/>
  <c r="BC112" i="34" s="1"/>
  <c r="AO112" i="34"/>
  <c r="BB112" i="34" s="1"/>
  <c r="AN112" i="34"/>
  <c r="AM112" i="34"/>
  <c r="AZ112" i="34" s="1"/>
  <c r="AL112" i="34"/>
  <c r="AY112" i="34" s="1"/>
  <c r="AK112" i="34"/>
  <c r="AX112" i="34" s="1"/>
  <c r="AJ112" i="34"/>
  <c r="AW112" i="34" s="1"/>
  <c r="AI112" i="34"/>
  <c r="AV112" i="34" s="1"/>
  <c r="AH112" i="34"/>
  <c r="AU112" i="34" s="1"/>
  <c r="AG112" i="34"/>
  <c r="AT112" i="34" s="1"/>
  <c r="Q112" i="34"/>
  <c r="BJ112" i="34" s="1"/>
  <c r="BH110" i="34"/>
  <c r="AR110" i="34"/>
  <c r="BE110" i="34" s="1"/>
  <c r="AQ110" i="34"/>
  <c r="BD110" i="34" s="1"/>
  <c r="AP110" i="34"/>
  <c r="BC110" i="34" s="1"/>
  <c r="AO110" i="34"/>
  <c r="BB110" i="34" s="1"/>
  <c r="AN110" i="34"/>
  <c r="AM110" i="34"/>
  <c r="AZ110" i="34" s="1"/>
  <c r="AL110" i="34"/>
  <c r="AY110" i="34" s="1"/>
  <c r="AK110" i="34"/>
  <c r="AX110" i="34" s="1"/>
  <c r="AJ110" i="34"/>
  <c r="AW110" i="34" s="1"/>
  <c r="AI110" i="34"/>
  <c r="AV110" i="34" s="1"/>
  <c r="AH110" i="34"/>
  <c r="AU110" i="34" s="1"/>
  <c r="AG110" i="34"/>
  <c r="AF110" i="34"/>
  <c r="U84" i="32"/>
  <c r="BH86" i="34"/>
  <c r="AR86" i="34"/>
  <c r="BE86" i="34" s="1"/>
  <c r="AQ86" i="34"/>
  <c r="BD86" i="34" s="1"/>
  <c r="AP86" i="34"/>
  <c r="BC86" i="34" s="1"/>
  <c r="AO86" i="34"/>
  <c r="BB86" i="34" s="1"/>
  <c r="AN86" i="34"/>
  <c r="AM86" i="34"/>
  <c r="AZ86" i="34" s="1"/>
  <c r="AL86" i="34"/>
  <c r="AY86" i="34" s="1"/>
  <c r="AK86" i="34"/>
  <c r="AX86" i="34" s="1"/>
  <c r="AJ86" i="34"/>
  <c r="AW86" i="34" s="1"/>
  <c r="AI86" i="34"/>
  <c r="AV86" i="34" s="1"/>
  <c r="AH86" i="34"/>
  <c r="AU86" i="34" s="1"/>
  <c r="AG86" i="34"/>
  <c r="Q86" i="34"/>
  <c r="AF86" i="34" s="1"/>
  <c r="BH85" i="34"/>
  <c r="AR85" i="34"/>
  <c r="BE85" i="34" s="1"/>
  <c r="AQ85" i="34"/>
  <c r="BD85" i="34" s="1"/>
  <c r="AP85" i="34"/>
  <c r="BC85" i="34" s="1"/>
  <c r="AO85" i="34"/>
  <c r="BB85" i="34" s="1"/>
  <c r="AN85" i="34"/>
  <c r="AM85" i="34"/>
  <c r="AZ85" i="34" s="1"/>
  <c r="AL85" i="34"/>
  <c r="AY85" i="34" s="1"/>
  <c r="AK85" i="34"/>
  <c r="AX85" i="34" s="1"/>
  <c r="AJ85" i="34"/>
  <c r="AW85" i="34" s="1"/>
  <c r="AI85" i="34"/>
  <c r="AV85" i="34" s="1"/>
  <c r="AH85" i="34"/>
  <c r="AU85" i="34" s="1"/>
  <c r="AG85" i="34"/>
  <c r="AT85" i="34" s="1"/>
  <c r="Q85" i="34"/>
  <c r="BJ85" i="34" s="1"/>
  <c r="BH84" i="34"/>
  <c r="AR84" i="34"/>
  <c r="BE84" i="34" s="1"/>
  <c r="AQ84" i="34"/>
  <c r="BD84" i="34" s="1"/>
  <c r="AP84" i="34"/>
  <c r="BC84" i="34" s="1"/>
  <c r="AO84" i="34"/>
  <c r="BB84" i="34" s="1"/>
  <c r="AN84" i="34"/>
  <c r="AM84" i="34"/>
  <c r="AZ84" i="34" s="1"/>
  <c r="AL84" i="34"/>
  <c r="AY84" i="34" s="1"/>
  <c r="AK84" i="34"/>
  <c r="AJ84" i="34"/>
  <c r="AW84" i="34" s="1"/>
  <c r="AI84" i="34"/>
  <c r="AV84" i="34" s="1"/>
  <c r="AH84" i="34"/>
  <c r="AU84" i="34" s="1"/>
  <c r="AG84" i="34"/>
  <c r="AT84" i="34" s="1"/>
  <c r="Q84" i="34"/>
  <c r="AF84" i="34" s="1"/>
  <c r="BH83" i="34"/>
  <c r="AR83" i="34"/>
  <c r="BE83" i="34" s="1"/>
  <c r="AQ83" i="34"/>
  <c r="BD83" i="34" s="1"/>
  <c r="AP83" i="34"/>
  <c r="BC83" i="34" s="1"/>
  <c r="AO83" i="34"/>
  <c r="BB83" i="34" s="1"/>
  <c r="AN83" i="34"/>
  <c r="AM83" i="34"/>
  <c r="AZ83" i="34" s="1"/>
  <c r="AL83" i="34"/>
  <c r="AY83" i="34" s="1"/>
  <c r="AK83" i="34"/>
  <c r="AX83" i="34" s="1"/>
  <c r="AJ83" i="34"/>
  <c r="AI83" i="34"/>
  <c r="AV83" i="34" s="1"/>
  <c r="AH83" i="34"/>
  <c r="AU83" i="34" s="1"/>
  <c r="AG83" i="34"/>
  <c r="AT83" i="34" s="1"/>
  <c r="Q83" i="34"/>
  <c r="AF83" i="34" s="1"/>
  <c r="BH82" i="34"/>
  <c r="AR82" i="34"/>
  <c r="BE82" i="34" s="1"/>
  <c r="AQ82" i="34"/>
  <c r="BD82" i="34" s="1"/>
  <c r="AP82" i="34"/>
  <c r="BC82" i="34" s="1"/>
  <c r="AO82" i="34"/>
  <c r="BB82" i="34" s="1"/>
  <c r="AN82" i="34"/>
  <c r="AM82" i="34"/>
  <c r="AZ82" i="34" s="1"/>
  <c r="AL82" i="34"/>
  <c r="AY82" i="34" s="1"/>
  <c r="AK82" i="34"/>
  <c r="AX82" i="34" s="1"/>
  <c r="AJ82" i="34"/>
  <c r="AW82" i="34" s="1"/>
  <c r="AI82" i="34"/>
  <c r="AV82" i="34" s="1"/>
  <c r="AH82" i="34"/>
  <c r="AU82" i="34" s="1"/>
  <c r="AG82" i="34"/>
  <c r="AT82" i="34" s="1"/>
  <c r="Q82" i="34"/>
  <c r="AF82" i="34" s="1"/>
  <c r="BH81" i="34"/>
  <c r="AR81" i="34"/>
  <c r="BE81" i="34" s="1"/>
  <c r="AQ81" i="34"/>
  <c r="AP81" i="34"/>
  <c r="AO81" i="34"/>
  <c r="AN81" i="34"/>
  <c r="BW81" i="34" s="1"/>
  <c r="CA81" i="34" s="1"/>
  <c r="AM81" i="34"/>
  <c r="AZ81" i="34" s="1"/>
  <c r="AL81" i="34"/>
  <c r="AY81" i="34" s="1"/>
  <c r="AK81" i="34"/>
  <c r="AX81" i="34" s="1"/>
  <c r="AJ81" i="34"/>
  <c r="AI81" i="34"/>
  <c r="AH81" i="34"/>
  <c r="AG81" i="34"/>
  <c r="AT81" i="34" s="1"/>
  <c r="Q81" i="34"/>
  <c r="AF81" i="34" s="1"/>
  <c r="AG122" i="34" l="1"/>
  <c r="AT119" i="34"/>
  <c r="BA83" i="34"/>
  <c r="BW83" i="34"/>
  <c r="CA83" i="34" s="1"/>
  <c r="BA144" i="34"/>
  <c r="BF144" i="34" s="1"/>
  <c r="BW144" i="34"/>
  <c r="CA144" i="34" s="1"/>
  <c r="BA148" i="34"/>
  <c r="BF148" i="34" s="1"/>
  <c r="BW148" i="34"/>
  <c r="CA148" i="34" s="1"/>
  <c r="BA158" i="34"/>
  <c r="BF158" i="34" s="1"/>
  <c r="BW158" i="34"/>
  <c r="CA158" i="34" s="1"/>
  <c r="BA153" i="34"/>
  <c r="BF153" i="34" s="1"/>
  <c r="BW153" i="34"/>
  <c r="CA153" i="34" s="1"/>
  <c r="BA110" i="34"/>
  <c r="BW110" i="34"/>
  <c r="CA110" i="34" s="1"/>
  <c r="BA115" i="34"/>
  <c r="BF115" i="34" s="1"/>
  <c r="BW115" i="34"/>
  <c r="CA115" i="34" s="1"/>
  <c r="BA157" i="34"/>
  <c r="BF157" i="34" s="1"/>
  <c r="BW157" i="34"/>
  <c r="CA157" i="34" s="1"/>
  <c r="BA116" i="34"/>
  <c r="BF116" i="34" s="1"/>
  <c r="BW116" i="34"/>
  <c r="CA116" i="34" s="1"/>
  <c r="BA82" i="34"/>
  <c r="BF82" i="34" s="1"/>
  <c r="BW82" i="34"/>
  <c r="CA82" i="34" s="1"/>
  <c r="BA86" i="34"/>
  <c r="BF86" i="34" s="1"/>
  <c r="BW86" i="34"/>
  <c r="CA86" i="34" s="1"/>
  <c r="BA143" i="34"/>
  <c r="BW143" i="34"/>
  <c r="CA143" i="34" s="1"/>
  <c r="BA147" i="34"/>
  <c r="BF147" i="34" s="1"/>
  <c r="BW147" i="34"/>
  <c r="CA147" i="34" s="1"/>
  <c r="BA151" i="34"/>
  <c r="BW151" i="34"/>
  <c r="CA151" i="34" s="1"/>
  <c r="BA152" i="34"/>
  <c r="BF152" i="34" s="1"/>
  <c r="BW152" i="34"/>
  <c r="CA152" i="34" s="1"/>
  <c r="BA114" i="34"/>
  <c r="BF114" i="34" s="1"/>
  <c r="BW114" i="34"/>
  <c r="CA114" i="34" s="1"/>
  <c r="BA111" i="34"/>
  <c r="BW111" i="34"/>
  <c r="CA111" i="34" s="1"/>
  <c r="BA156" i="34"/>
  <c r="BW156" i="34"/>
  <c r="CA156" i="34" s="1"/>
  <c r="BA112" i="34"/>
  <c r="BF112" i="34" s="1"/>
  <c r="BW112" i="34"/>
  <c r="CA112" i="34" s="1"/>
  <c r="BA85" i="34"/>
  <c r="BF85" i="34" s="1"/>
  <c r="BW85" i="34"/>
  <c r="CA85" i="34" s="1"/>
  <c r="BA146" i="34"/>
  <c r="BF146" i="34" s="1"/>
  <c r="BW146" i="34"/>
  <c r="CA146" i="34" s="1"/>
  <c r="BA150" i="34"/>
  <c r="BF150" i="34" s="1"/>
  <c r="BW150" i="34"/>
  <c r="CA150" i="34" s="1"/>
  <c r="BA160" i="34"/>
  <c r="BF160" i="34" s="1"/>
  <c r="BW160" i="34"/>
  <c r="CA160" i="34" s="1"/>
  <c r="BA155" i="34"/>
  <c r="BF155" i="34" s="1"/>
  <c r="BW155" i="34"/>
  <c r="CA155" i="34" s="1"/>
  <c r="BA113" i="34"/>
  <c r="BW113" i="34"/>
  <c r="CA113" i="34" s="1"/>
  <c r="BA119" i="34"/>
  <c r="BF119" i="34" s="1"/>
  <c r="BW119" i="34"/>
  <c r="CA119" i="34" s="1"/>
  <c r="BA84" i="34"/>
  <c r="BW84" i="34"/>
  <c r="CA84" i="34" s="1"/>
  <c r="BA145" i="34"/>
  <c r="BF145" i="34" s="1"/>
  <c r="BW145" i="34"/>
  <c r="CA145" i="34" s="1"/>
  <c r="BA149" i="34"/>
  <c r="BW149" i="34"/>
  <c r="CA149" i="34" s="1"/>
  <c r="BA159" i="34"/>
  <c r="BF159" i="34" s="1"/>
  <c r="BW159" i="34"/>
  <c r="CA159" i="34" s="1"/>
  <c r="BA154" i="34"/>
  <c r="BW154" i="34"/>
  <c r="CA154" i="34" s="1"/>
  <c r="AT87" i="34"/>
  <c r="AG87" i="34"/>
  <c r="BJ152" i="34"/>
  <c r="BJ156" i="34"/>
  <c r="AS157" i="34"/>
  <c r="AS152" i="34"/>
  <c r="AS154" i="34"/>
  <c r="AS156" i="34"/>
  <c r="BJ154" i="34"/>
  <c r="AS153" i="34"/>
  <c r="AU154" i="34"/>
  <c r="AS155" i="34"/>
  <c r="AU156" i="34"/>
  <c r="BF156" i="34" s="1"/>
  <c r="BJ153" i="34"/>
  <c r="BJ155" i="34"/>
  <c r="BJ157" i="34"/>
  <c r="BJ148" i="34"/>
  <c r="BJ146" i="34"/>
  <c r="BJ144" i="34"/>
  <c r="AI161" i="34"/>
  <c r="BD161" i="34"/>
  <c r="BD163" i="34" s="1"/>
  <c r="BF151" i="34"/>
  <c r="AF160" i="34"/>
  <c r="AS148" i="34"/>
  <c r="BH161" i="34"/>
  <c r="E86" i="32" s="1"/>
  <c r="G86" i="32" s="1"/>
  <c r="BJ145" i="34"/>
  <c r="BJ149" i="34"/>
  <c r="AG161" i="34"/>
  <c r="BB161" i="34"/>
  <c r="BB163" i="34" s="1"/>
  <c r="AS150" i="34"/>
  <c r="AS151" i="34"/>
  <c r="AS158" i="34"/>
  <c r="AS159" i="34"/>
  <c r="AS160" i="34"/>
  <c r="AF150" i="34"/>
  <c r="AF151" i="34"/>
  <c r="AF158" i="34"/>
  <c r="AF159" i="34"/>
  <c r="BJ147" i="34"/>
  <c r="AH161" i="34"/>
  <c r="AX161" i="34"/>
  <c r="AX163" i="34" s="1"/>
  <c r="BF149" i="34"/>
  <c r="AW161" i="34"/>
  <c r="AW163" i="34" s="1"/>
  <c r="AY161" i="34"/>
  <c r="AY163" i="34" s="1"/>
  <c r="AZ161" i="34"/>
  <c r="AZ163" i="34" s="1"/>
  <c r="BE161" i="34"/>
  <c r="BE163" i="34" s="1"/>
  <c r="BC161" i="34"/>
  <c r="BC163" i="34" s="1"/>
  <c r="AS145" i="34"/>
  <c r="AS146" i="34"/>
  <c r="AS147" i="34"/>
  <c r="AS143" i="34"/>
  <c r="AT143" i="34"/>
  <c r="AT161" i="34" s="1"/>
  <c r="AS144" i="34"/>
  <c r="AU143" i="34"/>
  <c r="AS149" i="34"/>
  <c r="AV143" i="34"/>
  <c r="AV161" i="34" s="1"/>
  <c r="BF111" i="34"/>
  <c r="AF111" i="34"/>
  <c r="AS111" i="34"/>
  <c r="BI111" i="34" s="1"/>
  <c r="AF112" i="34"/>
  <c r="AX120" i="34"/>
  <c r="AX122" i="34" s="1"/>
  <c r="BH120" i="34"/>
  <c r="E84" i="32" s="1"/>
  <c r="AY120" i="34"/>
  <c r="AY122" i="34" s="1"/>
  <c r="BE120" i="34"/>
  <c r="BE122" i="34" s="1"/>
  <c r="AW120" i="34"/>
  <c r="AW122" i="34" s="1"/>
  <c r="AH120" i="34"/>
  <c r="AS110" i="34"/>
  <c r="BG110" i="34" s="1"/>
  <c r="AF113" i="34"/>
  <c r="BD120" i="34"/>
  <c r="BD122" i="34" s="1"/>
  <c r="AI120" i="34"/>
  <c r="BB120" i="34"/>
  <c r="BB122" i="34" s="1"/>
  <c r="BJ116" i="34"/>
  <c r="BC120" i="34"/>
  <c r="BC122" i="34" s="1"/>
  <c r="AS115" i="34"/>
  <c r="BI115" i="34" s="1"/>
  <c r="BJ119" i="34"/>
  <c r="AT110" i="34"/>
  <c r="AU120" i="34"/>
  <c r="AS119" i="34"/>
  <c r="BF113" i="34"/>
  <c r="AS113" i="34"/>
  <c r="BI113" i="34" s="1"/>
  <c r="AF114" i="34"/>
  <c r="AS114" i="34"/>
  <c r="BI114" i="34" s="1"/>
  <c r="AF115" i="34"/>
  <c r="BG115" i="34" s="1"/>
  <c r="AS116" i="34"/>
  <c r="BG116" i="34" s="1"/>
  <c r="AZ120" i="34"/>
  <c r="AZ122" i="34" s="1"/>
  <c r="AV120" i="34"/>
  <c r="AS112" i="34"/>
  <c r="BI112" i="34" s="1"/>
  <c r="AO87" i="34"/>
  <c r="AH87" i="34"/>
  <c r="AP87" i="34"/>
  <c r="AQ87" i="34"/>
  <c r="BJ84" i="34"/>
  <c r="BJ82" i="34"/>
  <c r="BB81" i="34"/>
  <c r="BB87" i="34" s="1"/>
  <c r="BC81" i="34"/>
  <c r="BC87" i="34" s="1"/>
  <c r="AN87" i="34"/>
  <c r="BW87" i="34" s="1"/>
  <c r="CA87" i="34" s="1"/>
  <c r="BH87" i="34"/>
  <c r="D82" i="32" s="1"/>
  <c r="G82" i="32" s="1"/>
  <c r="BJ81" i="34"/>
  <c r="AJ87" i="34"/>
  <c r="AU81" i="34"/>
  <c r="AU87" i="34" s="1"/>
  <c r="AS83" i="34"/>
  <c r="BJ83" i="34"/>
  <c r="AS85" i="34"/>
  <c r="AS86" i="34"/>
  <c r="AS81" i="34"/>
  <c r="AS84" i="34"/>
  <c r="AM87" i="34"/>
  <c r="BA81" i="34"/>
  <c r="BE87" i="34"/>
  <c r="AX87" i="34"/>
  <c r="AY87" i="34"/>
  <c r="AZ87" i="34"/>
  <c r="AR87" i="34"/>
  <c r="AV81" i="34"/>
  <c r="AV87" i="34" s="1"/>
  <c r="BD81" i="34"/>
  <c r="BD87" i="34" s="1"/>
  <c r="AW83" i="34"/>
  <c r="BF83" i="34" s="1"/>
  <c r="AX84" i="34"/>
  <c r="AL87" i="34"/>
  <c r="AS82" i="34"/>
  <c r="AK87" i="34"/>
  <c r="AW81" i="34"/>
  <c r="BJ86" i="34"/>
  <c r="AI87" i="34"/>
  <c r="AF85" i="34"/>
  <c r="AF87" i="34" s="1"/>
  <c r="BA87" i="34" l="1"/>
  <c r="BF84" i="34"/>
  <c r="BG113" i="34"/>
  <c r="BA120" i="34"/>
  <c r="BA122" i="34" s="1"/>
  <c r="BA161" i="34"/>
  <c r="BA163" i="34" s="1"/>
  <c r="BG114" i="34"/>
  <c r="BI116" i="34"/>
  <c r="BG112" i="34"/>
  <c r="BG119" i="34"/>
  <c r="BG111" i="34"/>
  <c r="BJ161" i="34"/>
  <c r="U86" i="32" s="1"/>
  <c r="BF154" i="34"/>
  <c r="BI154" i="34" s="1"/>
  <c r="BI155" i="34"/>
  <c r="BG153" i="34"/>
  <c r="AS87" i="34"/>
  <c r="I82" i="32" s="1"/>
  <c r="AU161" i="34"/>
  <c r="AU163" i="34" s="1"/>
  <c r="BI152" i="34"/>
  <c r="BI153" i="34"/>
  <c r="BI156" i="34"/>
  <c r="BG155" i="34"/>
  <c r="BI145" i="34"/>
  <c r="BG157" i="34"/>
  <c r="BI151" i="34"/>
  <c r="BI150" i="34"/>
  <c r="AT163" i="34"/>
  <c r="BI159" i="34"/>
  <c r="BG152" i="34"/>
  <c r="BG156" i="34"/>
  <c r="AV163" i="34"/>
  <c r="BI149" i="34"/>
  <c r="BG147" i="34"/>
  <c r="BI157" i="34"/>
  <c r="BI146" i="34"/>
  <c r="BI160" i="34"/>
  <c r="BI144" i="34"/>
  <c r="BI158" i="34"/>
  <c r="BG159" i="34"/>
  <c r="AF161" i="34"/>
  <c r="BG158" i="34"/>
  <c r="BG160" i="34"/>
  <c r="BG148" i="34"/>
  <c r="BG151" i="34"/>
  <c r="BG149" i="34"/>
  <c r="BG150" i="34"/>
  <c r="BI148" i="34"/>
  <c r="BG146" i="34"/>
  <c r="BG145" i="34"/>
  <c r="BI147" i="34"/>
  <c r="BG144" i="34"/>
  <c r="AS161" i="34"/>
  <c r="J86" i="32" s="1"/>
  <c r="BG143" i="34"/>
  <c r="BI143" i="34"/>
  <c r="BG85" i="34"/>
  <c r="BG86" i="34"/>
  <c r="BI110" i="34"/>
  <c r="BI120" i="34" s="1"/>
  <c r="T84" i="32" s="1"/>
  <c r="AV122" i="34"/>
  <c r="BF120" i="34"/>
  <c r="O84" i="32" s="1"/>
  <c r="AU122" i="34"/>
  <c r="J84" i="32"/>
  <c r="L84" i="32" s="1"/>
  <c r="AT120" i="34"/>
  <c r="AF120" i="34"/>
  <c r="BB89" i="34"/>
  <c r="BI82" i="34"/>
  <c r="AU89" i="34"/>
  <c r="AT89" i="34"/>
  <c r="BC89" i="34"/>
  <c r="AY89" i="34"/>
  <c r="AZ89" i="34"/>
  <c r="BI85" i="34"/>
  <c r="BG82" i="34"/>
  <c r="BD89" i="34"/>
  <c r="BA89" i="34"/>
  <c r="BI86" i="34"/>
  <c r="U82" i="32"/>
  <c r="BE89" i="34"/>
  <c r="BG83" i="34"/>
  <c r="BI83" i="34"/>
  <c r="BI84" i="34"/>
  <c r="BG84" i="34"/>
  <c r="BF81" i="34"/>
  <c r="BF87" i="34" s="1"/>
  <c r="N82" i="32" s="1"/>
  <c r="AW87" i="34"/>
  <c r="AW89" i="34" s="1"/>
  <c r="AX89" i="34"/>
  <c r="AV89" i="34"/>
  <c r="BG121" i="34" l="1"/>
  <c r="BG154" i="34"/>
  <c r="BF161" i="34"/>
  <c r="O86" i="32" s="1"/>
  <c r="Q86" i="32" s="1"/>
  <c r="L82" i="32"/>
  <c r="W82" i="32"/>
  <c r="BF163" i="34"/>
  <c r="L86" i="32"/>
  <c r="BG161" i="34"/>
  <c r="BI161" i="34"/>
  <c r="BF122" i="34"/>
  <c r="BH121" i="34"/>
  <c r="BG120" i="34"/>
  <c r="BF121" i="34"/>
  <c r="BF89" i="34"/>
  <c r="Q82" i="32"/>
  <c r="BG81" i="34"/>
  <c r="BI81" i="34"/>
  <c r="BI87" i="34" s="1"/>
  <c r="BG162" i="34" l="1"/>
  <c r="X86" i="32"/>
  <c r="BF162" i="34"/>
  <c r="Z82" i="32"/>
  <c r="BI162" i="34"/>
  <c r="BI163" i="34" s="1"/>
  <c r="R86" i="32"/>
  <c r="Z86" i="32"/>
  <c r="T86" i="32"/>
  <c r="AA86" i="32" s="1"/>
  <c r="BH162" i="34"/>
  <c r="BI121" i="34"/>
  <c r="BI122" i="34" s="1"/>
  <c r="R84" i="32"/>
  <c r="BH88" i="34"/>
  <c r="BG87" i="34"/>
  <c r="BF88" i="34"/>
  <c r="BG88" i="34"/>
  <c r="S86" i="32" l="1"/>
  <c r="BI88" i="34"/>
  <c r="BI89" i="34" s="1"/>
  <c r="R82" i="32"/>
  <c r="S82" i="32" s="1"/>
  <c r="BH62" i="34" l="1"/>
  <c r="BH63" i="34" s="1"/>
  <c r="E80" i="32" s="1"/>
  <c r="AR62" i="34"/>
  <c r="BE62" i="34" s="1"/>
  <c r="BE63" i="34" s="1"/>
  <c r="AQ62" i="34"/>
  <c r="AQ63" i="34" s="1"/>
  <c r="AP62" i="34"/>
  <c r="BC62" i="34" s="1"/>
  <c r="BC63" i="34" s="1"/>
  <c r="AO62" i="34"/>
  <c r="BB62" i="34" s="1"/>
  <c r="BB63" i="34" s="1"/>
  <c r="AN62" i="34"/>
  <c r="AM62" i="34"/>
  <c r="AM63" i="34" s="1"/>
  <c r="AL62" i="34"/>
  <c r="AL63" i="34" s="1"/>
  <c r="AK62" i="34"/>
  <c r="AJ62" i="34"/>
  <c r="AI62" i="34"/>
  <c r="AH62" i="34"/>
  <c r="AG62" i="34"/>
  <c r="Q62" i="34"/>
  <c r="BJ62" i="34" s="1"/>
  <c r="U80" i="32" s="1"/>
  <c r="AU58" i="34"/>
  <c r="BH37" i="34"/>
  <c r="AR37" i="34"/>
  <c r="BE37" i="34" s="1"/>
  <c r="AQ37" i="34"/>
  <c r="BD37" i="34" s="1"/>
  <c r="AP37" i="34"/>
  <c r="BC37" i="34" s="1"/>
  <c r="AO37" i="34"/>
  <c r="BB37" i="34" s="1"/>
  <c r="AN37" i="34"/>
  <c r="AM37" i="34"/>
  <c r="AZ37" i="34" s="1"/>
  <c r="AL37" i="34"/>
  <c r="AY37" i="34" s="1"/>
  <c r="AK37" i="34"/>
  <c r="AX37" i="34" s="1"/>
  <c r="AJ37" i="34"/>
  <c r="AW37" i="34" s="1"/>
  <c r="AI37" i="34"/>
  <c r="AV37" i="34" s="1"/>
  <c r="AH37" i="34"/>
  <c r="AU37" i="34" s="1"/>
  <c r="AG37" i="34"/>
  <c r="Q37" i="34"/>
  <c r="BJ37" i="34" s="1"/>
  <c r="BH33" i="34"/>
  <c r="AR33" i="34"/>
  <c r="BE33" i="34" s="1"/>
  <c r="AQ33" i="34"/>
  <c r="BD33" i="34" s="1"/>
  <c r="AP33" i="34"/>
  <c r="BC33" i="34" s="1"/>
  <c r="AO33" i="34"/>
  <c r="BB33" i="34" s="1"/>
  <c r="AN33" i="34"/>
  <c r="AM33" i="34"/>
  <c r="AZ33" i="34" s="1"/>
  <c r="AL33" i="34"/>
  <c r="AY33" i="34" s="1"/>
  <c r="AK33" i="34"/>
  <c r="AX33" i="34" s="1"/>
  <c r="AJ33" i="34"/>
  <c r="AW33" i="34" s="1"/>
  <c r="AI33" i="34"/>
  <c r="AV33" i="34" s="1"/>
  <c r="AH33" i="34"/>
  <c r="AU33" i="34" s="1"/>
  <c r="AG33" i="34"/>
  <c r="AT33" i="34" s="1"/>
  <c r="Q33" i="34"/>
  <c r="AF33" i="34" s="1"/>
  <c r="BH32" i="34"/>
  <c r="AR32" i="34"/>
  <c r="BE32" i="34" s="1"/>
  <c r="AQ32" i="34"/>
  <c r="BD32" i="34" s="1"/>
  <c r="AP32" i="34"/>
  <c r="BC32" i="34" s="1"/>
  <c r="AO32" i="34"/>
  <c r="BB32" i="34" s="1"/>
  <c r="AN32" i="34"/>
  <c r="AM32" i="34"/>
  <c r="AZ32" i="34" s="1"/>
  <c r="AL32" i="34"/>
  <c r="AY32" i="34" s="1"/>
  <c r="AK32" i="34"/>
  <c r="AX32" i="34" s="1"/>
  <c r="AJ32" i="34"/>
  <c r="AW32" i="34" s="1"/>
  <c r="AI32" i="34"/>
  <c r="AH32" i="34"/>
  <c r="AU32" i="34" s="1"/>
  <c r="AG32" i="34"/>
  <c r="Q32" i="34"/>
  <c r="AF32" i="34" s="1"/>
  <c r="BH30" i="34"/>
  <c r="AR30" i="34"/>
  <c r="BE30" i="34" s="1"/>
  <c r="AQ30" i="34"/>
  <c r="BD30" i="34" s="1"/>
  <c r="AP30" i="34"/>
  <c r="BC30" i="34" s="1"/>
  <c r="AO30" i="34"/>
  <c r="BB30" i="34" s="1"/>
  <c r="AN30" i="34"/>
  <c r="AM30" i="34"/>
  <c r="AZ30" i="34" s="1"/>
  <c r="AL30" i="34"/>
  <c r="AY30" i="34" s="1"/>
  <c r="AK30" i="34"/>
  <c r="AX30" i="34" s="1"/>
  <c r="AJ30" i="34"/>
  <c r="AW30" i="34" s="1"/>
  <c r="AI30" i="34"/>
  <c r="AV30" i="34" s="1"/>
  <c r="AH30" i="34"/>
  <c r="AU30" i="34" s="1"/>
  <c r="AG30" i="34"/>
  <c r="Q30" i="34"/>
  <c r="AF30" i="34" s="1"/>
  <c r="BH29" i="34"/>
  <c r="AR29" i="34"/>
  <c r="BE29" i="34" s="1"/>
  <c r="AQ29" i="34"/>
  <c r="BD29" i="34" s="1"/>
  <c r="AP29" i="34"/>
  <c r="BC29" i="34" s="1"/>
  <c r="AO29" i="34"/>
  <c r="BB29" i="34" s="1"/>
  <c r="AN29" i="34"/>
  <c r="AM29" i="34"/>
  <c r="AZ29" i="34" s="1"/>
  <c r="AL29" i="34"/>
  <c r="AY29" i="34" s="1"/>
  <c r="AK29" i="34"/>
  <c r="AX29" i="34" s="1"/>
  <c r="AJ29" i="34"/>
  <c r="AW29" i="34" s="1"/>
  <c r="AI29" i="34"/>
  <c r="AV29" i="34" s="1"/>
  <c r="AH29" i="34"/>
  <c r="AU29" i="34" s="1"/>
  <c r="AG29" i="34"/>
  <c r="Q29" i="34"/>
  <c r="BJ29" i="34" s="1"/>
  <c r="BH28" i="34"/>
  <c r="AR28" i="34"/>
  <c r="BE28" i="34" s="1"/>
  <c r="AQ28" i="34"/>
  <c r="BD28" i="34" s="1"/>
  <c r="AP28" i="34"/>
  <c r="BC28" i="34" s="1"/>
  <c r="AO28" i="34"/>
  <c r="BB28" i="34" s="1"/>
  <c r="AN28" i="34"/>
  <c r="AM28" i="34"/>
  <c r="AZ28" i="34" s="1"/>
  <c r="AL28" i="34"/>
  <c r="AY28" i="34" s="1"/>
  <c r="AK28" i="34"/>
  <c r="AX28" i="34" s="1"/>
  <c r="AJ28" i="34"/>
  <c r="AW28" i="34" s="1"/>
  <c r="AI28" i="34"/>
  <c r="AV28" i="34" s="1"/>
  <c r="AH28" i="34"/>
  <c r="AU28" i="34" s="1"/>
  <c r="AG28" i="34"/>
  <c r="Q28" i="34"/>
  <c r="BJ28" i="34" s="1"/>
  <c r="BH27" i="34"/>
  <c r="AR27" i="34"/>
  <c r="BE27" i="34" s="1"/>
  <c r="AQ27" i="34"/>
  <c r="BD27" i="34" s="1"/>
  <c r="AP27" i="34"/>
  <c r="BC27" i="34" s="1"/>
  <c r="AO27" i="34"/>
  <c r="BB27" i="34" s="1"/>
  <c r="AN27" i="34"/>
  <c r="AM27" i="34"/>
  <c r="AZ27" i="34" s="1"/>
  <c r="AL27" i="34"/>
  <c r="AY27" i="34" s="1"/>
  <c r="AK27" i="34"/>
  <c r="AX27" i="34" s="1"/>
  <c r="AJ27" i="34"/>
  <c r="AW27" i="34" s="1"/>
  <c r="AI27" i="34"/>
  <c r="AV27" i="34" s="1"/>
  <c r="AH27" i="34"/>
  <c r="AU27" i="34" s="1"/>
  <c r="AG27" i="34"/>
  <c r="AT27" i="34" s="1"/>
  <c r="AT38" i="34" s="1"/>
  <c r="Q27" i="34"/>
  <c r="BJ27" i="34" s="1"/>
  <c r="BH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Q26" i="34"/>
  <c r="BJ26" i="34" s="1"/>
  <c r="AN38" i="34" l="1"/>
  <c r="BW38" i="34" s="1"/>
  <c r="CA38" i="34" s="1"/>
  <c r="BW26" i="34"/>
  <c r="CA26" i="34" s="1"/>
  <c r="BA30" i="34"/>
  <c r="BW30" i="34"/>
  <c r="CA30" i="34" s="1"/>
  <c r="AN63" i="34"/>
  <c r="BW63" i="34" s="1"/>
  <c r="CA63" i="34" s="1"/>
  <c r="BW62" i="34"/>
  <c r="BA29" i="34"/>
  <c r="BF29" i="34" s="1"/>
  <c r="BW29" i="34"/>
  <c r="CA29" i="34" s="1"/>
  <c r="BA37" i="34"/>
  <c r="BW37" i="34"/>
  <c r="CA37" i="34" s="1"/>
  <c r="BA28" i="34"/>
  <c r="BW28" i="34"/>
  <c r="CA28" i="34" s="1"/>
  <c r="BA33" i="34"/>
  <c r="BF33" i="34" s="1"/>
  <c r="BW33" i="34"/>
  <c r="CA33" i="34" s="1"/>
  <c r="AW63" i="34"/>
  <c r="CE62" i="34"/>
  <c r="BR62" i="34"/>
  <c r="BA27" i="34"/>
  <c r="BW27" i="34"/>
  <c r="CA27" i="34" s="1"/>
  <c r="BA32" i="34"/>
  <c r="BW32" i="34"/>
  <c r="CA32" i="34" s="1"/>
  <c r="AK63" i="34"/>
  <c r="CF62" i="34"/>
  <c r="BS62" i="34"/>
  <c r="AV26" i="34"/>
  <c r="AI38" i="34"/>
  <c r="BD26" i="34"/>
  <c r="BD38" i="34" s="1"/>
  <c r="AQ38" i="34"/>
  <c r="BB26" i="34"/>
  <c r="BB38" i="34" s="1"/>
  <c r="AO38" i="34"/>
  <c r="BC26" i="34"/>
  <c r="BC38" i="34" s="1"/>
  <c r="AP38" i="34"/>
  <c r="AG38" i="34"/>
  <c r="AH38" i="34"/>
  <c r="AW26" i="34"/>
  <c r="AW38" i="34" s="1"/>
  <c r="AJ38" i="34"/>
  <c r="AX26" i="34"/>
  <c r="AX38" i="34" s="1"/>
  <c r="AK38" i="34"/>
  <c r="AZ26" i="34"/>
  <c r="AZ38" i="34" s="1"/>
  <c r="AM38" i="34"/>
  <c r="AR38" i="34"/>
  <c r="AY26" i="34"/>
  <c r="AY38" i="34" s="1"/>
  <c r="AL38" i="34"/>
  <c r="BD62" i="34"/>
  <c r="BD63" i="34" s="1"/>
  <c r="BD65" i="34" s="1"/>
  <c r="AR63" i="34"/>
  <c r="BE65" i="34" s="1"/>
  <c r="AY62" i="34"/>
  <c r="AY63" i="34" s="1"/>
  <c r="AY65" i="34" s="1"/>
  <c r="AZ62" i="34"/>
  <c r="AZ63" i="34" s="1"/>
  <c r="AZ65" i="34" s="1"/>
  <c r="AJ63" i="34"/>
  <c r="AO63" i="34"/>
  <c r="BB65" i="34" s="1"/>
  <c r="AX63" i="34"/>
  <c r="AI63" i="34"/>
  <c r="AG63" i="34"/>
  <c r="AF62" i="34"/>
  <c r="AF63" i="34" s="1"/>
  <c r="AH63" i="34"/>
  <c r="AU65" i="34" s="1"/>
  <c r="AP63" i="34"/>
  <c r="BC65" i="34" s="1"/>
  <c r="AS62" i="34"/>
  <c r="BA62" i="34"/>
  <c r="BA63" i="34" s="1"/>
  <c r="BH38" i="34"/>
  <c r="D77" i="32" s="1"/>
  <c r="BJ33" i="34"/>
  <c r="BJ32" i="34"/>
  <c r="AF37" i="34"/>
  <c r="AS32" i="34"/>
  <c r="AS37" i="34"/>
  <c r="AS33" i="34"/>
  <c r="BF37" i="34"/>
  <c r="AF29" i="34"/>
  <c r="AS29" i="34"/>
  <c r="AV32" i="34"/>
  <c r="AS30" i="34"/>
  <c r="BF30" i="34"/>
  <c r="BJ30" i="34"/>
  <c r="AU26" i="34"/>
  <c r="AU38" i="34" s="1"/>
  <c r="AS28" i="34"/>
  <c r="AF26" i="34"/>
  <c r="AS26" i="34"/>
  <c r="BE26" i="34"/>
  <c r="BE38" i="34" s="1"/>
  <c r="BF27" i="34"/>
  <c r="BF28" i="34"/>
  <c r="AF27" i="34"/>
  <c r="AF28" i="34"/>
  <c r="BA26" i="34"/>
  <c r="AS27" i="34"/>
  <c r="BF32" i="34" l="1"/>
  <c r="BA38" i="34"/>
  <c r="BA65" i="34"/>
  <c r="AW65" i="34"/>
  <c r="CN62" i="34"/>
  <c r="BK62" i="34"/>
  <c r="BK60" i="34" s="1"/>
  <c r="BK63" i="34"/>
  <c r="BM63" i="34" s="1"/>
  <c r="AX65" i="34"/>
  <c r="CA62" i="34"/>
  <c r="AV65" i="34"/>
  <c r="J80" i="32"/>
  <c r="U77" i="32"/>
  <c r="AF38" i="34"/>
  <c r="AS38" i="34"/>
  <c r="I77" i="32" s="1"/>
  <c r="AV38" i="34"/>
  <c r="AV40" i="34" s="1"/>
  <c r="BF62" i="34"/>
  <c r="BG37" i="34"/>
  <c r="AT65" i="34"/>
  <c r="BI29" i="34"/>
  <c r="BI28" i="34"/>
  <c r="AY40" i="34"/>
  <c r="BD40" i="34"/>
  <c r="BG30" i="34"/>
  <c r="BI37" i="34"/>
  <c r="BE40" i="34"/>
  <c r="BG33" i="34"/>
  <c r="BG32" i="34"/>
  <c r="BI32" i="34"/>
  <c r="BI33" i="34"/>
  <c r="AU40" i="34"/>
  <c r="BI30" i="34"/>
  <c r="BA40" i="34"/>
  <c r="AW40" i="34"/>
  <c r="BG29" i="34"/>
  <c r="BC40" i="34"/>
  <c r="AX40" i="34"/>
  <c r="AZ40" i="34"/>
  <c r="BB40" i="34"/>
  <c r="BG28" i="34"/>
  <c r="BI27" i="34"/>
  <c r="BG27" i="34"/>
  <c r="AT40" i="34"/>
  <c r="BF26" i="34"/>
  <c r="BF38" i="34" s="1"/>
  <c r="BF63" i="34" l="1"/>
  <c r="BM62" i="34"/>
  <c r="BF65" i="34"/>
  <c r="O80" i="32"/>
  <c r="BI64" i="34"/>
  <c r="BF64" i="34"/>
  <c r="BF40" i="34"/>
  <c r="BF39" i="34"/>
  <c r="BI26" i="34"/>
  <c r="BG26" i="34"/>
  <c r="BH64" i="34" l="1"/>
  <c r="R80" i="32"/>
  <c r="BI65" i="34"/>
  <c r="BG39" i="34"/>
  <c r="BG38" i="34"/>
  <c r="N77" i="32"/>
  <c r="W77" i="32" s="1"/>
  <c r="BH39" i="34"/>
  <c r="BI39" i="34" l="1"/>
  <c r="BI40" i="34" s="1"/>
  <c r="R77" i="32"/>
  <c r="AX66" i="20" l="1"/>
  <c r="BH65" i="20"/>
  <c r="AR65" i="20"/>
  <c r="BE65" i="20" s="1"/>
  <c r="AQ65" i="20"/>
  <c r="BD65" i="20" s="1"/>
  <c r="AP65" i="20"/>
  <c r="BC65" i="20" s="1"/>
  <c r="AO65" i="20"/>
  <c r="BB65" i="20" s="1"/>
  <c r="AN65" i="20"/>
  <c r="BW65" i="20" s="1"/>
  <c r="CA65" i="20" s="1"/>
  <c r="AM65" i="20"/>
  <c r="AL65" i="20"/>
  <c r="AK65" i="20"/>
  <c r="AJ65" i="20"/>
  <c r="AI65" i="20"/>
  <c r="AH65" i="20"/>
  <c r="AG65" i="20"/>
  <c r="AT65" i="20" s="1"/>
  <c r="Q65" i="20"/>
  <c r="BJ65" i="20" s="1"/>
  <c r="AR52" i="20"/>
  <c r="BE52" i="20" s="1"/>
  <c r="AQ52" i="20"/>
  <c r="BD52" i="20" s="1"/>
  <c r="AP52" i="20"/>
  <c r="BC52" i="20" s="1"/>
  <c r="AO52" i="20"/>
  <c r="BB52" i="20" s="1"/>
  <c r="AN52" i="20"/>
  <c r="BW52" i="20" s="1"/>
  <c r="CA52" i="20" s="1"/>
  <c r="AM52" i="20"/>
  <c r="AL52" i="20"/>
  <c r="AK52" i="20"/>
  <c r="AJ52" i="20"/>
  <c r="AI52" i="20"/>
  <c r="AG52" i="20"/>
  <c r="AT52" i="20" s="1"/>
  <c r="Q52" i="20"/>
  <c r="AF52" i="20" s="1"/>
  <c r="BH47" i="20"/>
  <c r="AR47" i="20"/>
  <c r="BE47" i="20" s="1"/>
  <c r="AQ47" i="20"/>
  <c r="BD47" i="20" s="1"/>
  <c r="AP47" i="20"/>
  <c r="BC47" i="20" s="1"/>
  <c r="AO47" i="20"/>
  <c r="BB47" i="20" s="1"/>
  <c r="AN47" i="20"/>
  <c r="BW47" i="20" s="1"/>
  <c r="CA47" i="20" s="1"/>
  <c r="AM47" i="20"/>
  <c r="AL47" i="20"/>
  <c r="AJ47" i="20"/>
  <c r="AH47" i="20"/>
  <c r="AG47" i="20"/>
  <c r="Q47" i="20"/>
  <c r="AF47" i="20" s="1"/>
  <c r="BH46" i="20"/>
  <c r="BH66" i="20" s="1"/>
  <c r="AR46" i="20"/>
  <c r="AQ46" i="20"/>
  <c r="BD46" i="20" s="1"/>
  <c r="AP46" i="20"/>
  <c r="BC46" i="20" s="1"/>
  <c r="AO46" i="20"/>
  <c r="BB46" i="20" s="1"/>
  <c r="AN46" i="20"/>
  <c r="BW46" i="20" s="1"/>
  <c r="CA46" i="20" s="1"/>
  <c r="AM46" i="20"/>
  <c r="AL46" i="20"/>
  <c r="AK46" i="20"/>
  <c r="AJ46" i="20"/>
  <c r="AI46" i="20"/>
  <c r="AH46" i="20"/>
  <c r="AG46" i="20"/>
  <c r="AF46" i="20"/>
  <c r="BH32" i="20"/>
  <c r="AR32" i="20"/>
  <c r="BE32" i="20" s="1"/>
  <c r="AQ32" i="20"/>
  <c r="BD32" i="20" s="1"/>
  <c r="AP32" i="20"/>
  <c r="BC32" i="20" s="1"/>
  <c r="AO32" i="20"/>
  <c r="BB32" i="20" s="1"/>
  <c r="AN32" i="20"/>
  <c r="BW32" i="20" s="1"/>
  <c r="CA32" i="20" s="1"/>
  <c r="AM32" i="20"/>
  <c r="AL32" i="20"/>
  <c r="AK32" i="20"/>
  <c r="AJ32" i="20"/>
  <c r="AI32" i="20"/>
  <c r="AH32" i="20"/>
  <c r="Q32" i="20"/>
  <c r="AF32" i="20" s="1"/>
  <c r="AR33" i="20"/>
  <c r="BE33" i="20" s="1"/>
  <c r="AQ33" i="20"/>
  <c r="BD33" i="20" s="1"/>
  <c r="AP33" i="20"/>
  <c r="BC33" i="20" s="1"/>
  <c r="AO33" i="20"/>
  <c r="BB33" i="20" s="1"/>
  <c r="AN33" i="20"/>
  <c r="BW33" i="20" s="1"/>
  <c r="CA33" i="20" s="1"/>
  <c r="AM33" i="20"/>
  <c r="AL33" i="20"/>
  <c r="AK33" i="20"/>
  <c r="AJ33" i="20"/>
  <c r="AI33" i="20"/>
  <c r="AH33" i="20"/>
  <c r="AG33" i="20"/>
  <c r="AT33" i="20" s="1"/>
  <c r="Q33" i="20"/>
  <c r="BH33" i="20"/>
  <c r="AR38" i="20"/>
  <c r="BE38" i="20" s="1"/>
  <c r="AQ38" i="20"/>
  <c r="BD38" i="20" s="1"/>
  <c r="AP38" i="20"/>
  <c r="BC38" i="20" s="1"/>
  <c r="AO38" i="20"/>
  <c r="BB38" i="20" s="1"/>
  <c r="AN38" i="20"/>
  <c r="BW38" i="20" s="1"/>
  <c r="CA38" i="20" s="1"/>
  <c r="AM38" i="20"/>
  <c r="AL38" i="20"/>
  <c r="AK38" i="20"/>
  <c r="AJ38" i="20"/>
  <c r="AI38" i="20"/>
  <c r="AH38" i="20"/>
  <c r="AG38" i="20"/>
  <c r="Q38" i="20"/>
  <c r="AF38" i="20" s="1"/>
  <c r="BH38" i="20"/>
  <c r="AR37" i="20"/>
  <c r="BE37" i="20" s="1"/>
  <c r="AQ37" i="20"/>
  <c r="BD37" i="20" s="1"/>
  <c r="AP37" i="20"/>
  <c r="BC37" i="20" s="1"/>
  <c r="AO37" i="20"/>
  <c r="BB37" i="20" s="1"/>
  <c r="AN37" i="20"/>
  <c r="BW37" i="20" s="1"/>
  <c r="CA37" i="20" s="1"/>
  <c r="AM37" i="20"/>
  <c r="AL37" i="20"/>
  <c r="AK37" i="20"/>
  <c r="AJ37" i="20"/>
  <c r="AI37" i="20"/>
  <c r="AH37" i="20"/>
  <c r="AG37" i="20"/>
  <c r="Q37" i="20"/>
  <c r="AF37" i="20" s="1"/>
  <c r="BH37" i="20"/>
  <c r="AR36" i="20"/>
  <c r="BE36" i="20" s="1"/>
  <c r="AQ36" i="20"/>
  <c r="BD36" i="20" s="1"/>
  <c r="AP36" i="20"/>
  <c r="BC36" i="20" s="1"/>
  <c r="AO36" i="20"/>
  <c r="BB36" i="20" s="1"/>
  <c r="AN36" i="20"/>
  <c r="BW36" i="20" s="1"/>
  <c r="CA36" i="20" s="1"/>
  <c r="AM36" i="20"/>
  <c r="AL36" i="20"/>
  <c r="AK36" i="20"/>
  <c r="AJ36" i="20"/>
  <c r="AI36" i="20"/>
  <c r="AH36" i="20"/>
  <c r="AG36" i="20"/>
  <c r="Q36" i="20"/>
  <c r="AF36" i="20" s="1"/>
  <c r="BH36" i="20"/>
  <c r="AR35" i="20"/>
  <c r="BE35" i="20" s="1"/>
  <c r="AQ35" i="20"/>
  <c r="BD35" i="20" s="1"/>
  <c r="AP35" i="20"/>
  <c r="BC35" i="20" s="1"/>
  <c r="AO35" i="20"/>
  <c r="BB35" i="20" s="1"/>
  <c r="AN35" i="20"/>
  <c r="BW35" i="20" s="1"/>
  <c r="CA35" i="20" s="1"/>
  <c r="AM35" i="20"/>
  <c r="AL35" i="20"/>
  <c r="AK35" i="20"/>
  <c r="AJ35" i="20"/>
  <c r="AI35" i="20"/>
  <c r="AH35" i="20"/>
  <c r="AG35" i="20"/>
  <c r="AT35" i="20" s="1"/>
  <c r="Q35" i="20"/>
  <c r="AF35" i="20" s="1"/>
  <c r="BH35" i="20"/>
  <c r="AR34" i="20"/>
  <c r="BE34" i="20" s="1"/>
  <c r="AQ34" i="20"/>
  <c r="BD34" i="20" s="1"/>
  <c r="AP34" i="20"/>
  <c r="BC34" i="20" s="1"/>
  <c r="AO34" i="20"/>
  <c r="BB34" i="20" s="1"/>
  <c r="AN34" i="20"/>
  <c r="BW34" i="20" s="1"/>
  <c r="CA34" i="20" s="1"/>
  <c r="AM34" i="20"/>
  <c r="AL34" i="20"/>
  <c r="AK34" i="20"/>
  <c r="AJ34" i="20"/>
  <c r="AI34" i="20"/>
  <c r="AH34" i="20"/>
  <c r="AG34" i="20"/>
  <c r="AT34" i="20" s="1"/>
  <c r="Q34" i="20"/>
  <c r="AF34" i="20" s="1"/>
  <c r="BH34" i="20"/>
  <c r="AX39" i="20"/>
  <c r="BH31" i="20"/>
  <c r="AR31" i="20"/>
  <c r="AQ31" i="20"/>
  <c r="AP31" i="20"/>
  <c r="BC31" i="20" s="1"/>
  <c r="AO31" i="20"/>
  <c r="BB31" i="20" s="1"/>
  <c r="AN31" i="20"/>
  <c r="AM31" i="20"/>
  <c r="AL31" i="20"/>
  <c r="AK31" i="20"/>
  <c r="AJ31" i="20"/>
  <c r="AW31" i="20" s="1"/>
  <c r="AI31" i="20"/>
  <c r="AH31" i="20"/>
  <c r="AU31" i="20" s="1"/>
  <c r="AG31" i="20"/>
  <c r="AU46" i="20" l="1"/>
  <c r="AH66" i="20"/>
  <c r="AJ66" i="20"/>
  <c r="BK65" i="20"/>
  <c r="AU52" i="20"/>
  <c r="AU66" i="20" s="1"/>
  <c r="BJ33" i="20"/>
  <c r="AF33" i="20"/>
  <c r="BA31" i="20"/>
  <c r="BA39" i="20" s="1"/>
  <c r="BW31" i="20"/>
  <c r="CA31" i="20" s="1"/>
  <c r="AT47" i="20"/>
  <c r="AG66" i="20"/>
  <c r="AT31" i="20"/>
  <c r="AT39" i="20" s="1"/>
  <c r="AM66" i="20"/>
  <c r="AN66" i="20"/>
  <c r="BW66" i="20" s="1"/>
  <c r="CA66" i="20" s="1"/>
  <c r="AI66" i="20"/>
  <c r="AF65" i="20"/>
  <c r="AF66" i="20" s="1"/>
  <c r="AS52" i="20"/>
  <c r="AK66" i="20"/>
  <c r="AT46" i="20"/>
  <c r="AS47" i="20"/>
  <c r="AO66" i="20"/>
  <c r="AS46" i="20"/>
  <c r="AR66" i="20"/>
  <c r="AL66" i="20"/>
  <c r="BF65" i="20"/>
  <c r="BB66" i="20"/>
  <c r="BC66" i="20"/>
  <c r="BD66" i="20"/>
  <c r="AP66" i="20"/>
  <c r="BE46" i="20"/>
  <c r="BE66" i="20" s="1"/>
  <c r="BJ52" i="20"/>
  <c r="AW46" i="20"/>
  <c r="AW66" i="20" s="1"/>
  <c r="BJ47" i="20"/>
  <c r="AQ66" i="20"/>
  <c r="AY46" i="20"/>
  <c r="AY66" i="20" s="1"/>
  <c r="AS65" i="20"/>
  <c r="AZ46" i="20"/>
  <c r="AZ66" i="20" s="1"/>
  <c r="BF32" i="20"/>
  <c r="BA46" i="20"/>
  <c r="BA66" i="20" s="1"/>
  <c r="AS32" i="20"/>
  <c r="BJ32" i="20"/>
  <c r="BF33" i="20"/>
  <c r="BB39" i="20"/>
  <c r="AS33" i="20"/>
  <c r="AR39" i="20"/>
  <c r="BJ37" i="20"/>
  <c r="AM39" i="20"/>
  <c r="AS36" i="20"/>
  <c r="BF37" i="20"/>
  <c r="AS38" i="20"/>
  <c r="BF38" i="20"/>
  <c r="BF36" i="20"/>
  <c r="BJ38" i="20"/>
  <c r="BJ36" i="20"/>
  <c r="AS37" i="20"/>
  <c r="AI39" i="20"/>
  <c r="AQ39" i="20"/>
  <c r="AZ31" i="20"/>
  <c r="AZ39" i="20" s="1"/>
  <c r="AL39" i="20"/>
  <c r="AS34" i="20"/>
  <c r="AK39" i="20"/>
  <c r="AX41" i="20" s="1"/>
  <c r="AY31" i="20"/>
  <c r="AY39" i="20" s="1"/>
  <c r="AF31" i="20"/>
  <c r="AN39" i="20"/>
  <c r="BW39" i="20" s="1"/>
  <c r="CA39" i="20" s="1"/>
  <c r="BC39" i="20"/>
  <c r="AO39" i="20"/>
  <c r="AU39" i="20"/>
  <c r="AP39" i="20"/>
  <c r="AV39" i="20"/>
  <c r="BF34" i="20"/>
  <c r="AW39" i="20"/>
  <c r="BH39" i="20"/>
  <c r="BF35" i="20"/>
  <c r="AS31" i="20"/>
  <c r="BJ34" i="20"/>
  <c r="BD31" i="20"/>
  <c r="BD39" i="20" s="1"/>
  <c r="AS35" i="20"/>
  <c r="BG35" i="20" s="1"/>
  <c r="AH39" i="20"/>
  <c r="BE31" i="20"/>
  <c r="BE39" i="20" s="1"/>
  <c r="BJ35" i="20"/>
  <c r="AJ39" i="20"/>
  <c r="BF52" i="20" l="1"/>
  <c r="BD69" i="20" s="1"/>
  <c r="AJ68" i="20"/>
  <c r="AK68" i="20" s="1"/>
  <c r="AX68" i="20"/>
  <c r="BG37" i="20"/>
  <c r="AV68" i="20"/>
  <c r="BG52" i="20"/>
  <c r="BG34" i="20"/>
  <c r="BG38" i="20"/>
  <c r="BG36" i="20"/>
  <c r="AF39" i="20"/>
  <c r="BG33" i="20"/>
  <c r="BA68" i="20"/>
  <c r="AT66" i="20"/>
  <c r="AT68" i="20" s="1"/>
  <c r="AZ68" i="20"/>
  <c r="BF47" i="20"/>
  <c r="BG47" i="20" s="1"/>
  <c r="U69" i="32"/>
  <c r="D68" i="32"/>
  <c r="I68" i="32"/>
  <c r="U68" i="32"/>
  <c r="BB68" i="20"/>
  <c r="G70" i="32"/>
  <c r="D69" i="32"/>
  <c r="G69" i="32" s="1"/>
  <c r="BI38" i="20"/>
  <c r="AY68" i="20"/>
  <c r="BI33" i="20"/>
  <c r="BE68" i="20"/>
  <c r="BB41" i="20"/>
  <c r="BE41" i="20"/>
  <c r="BI65" i="20"/>
  <c r="BI32" i="20"/>
  <c r="BD68" i="20"/>
  <c r="BG32" i="20"/>
  <c r="BF46" i="20"/>
  <c r="BC68" i="20"/>
  <c r="BG65" i="20"/>
  <c r="AW68" i="20"/>
  <c r="AY41" i="20"/>
  <c r="AZ41" i="20"/>
  <c r="AV41" i="20"/>
  <c r="BD41" i="20"/>
  <c r="BC41" i="20"/>
  <c r="BI36" i="20"/>
  <c r="BI37" i="20"/>
  <c r="BI34" i="20"/>
  <c r="BA41" i="20"/>
  <c r="AU41" i="20"/>
  <c r="AW41" i="20"/>
  <c r="AT41" i="20"/>
  <c r="BF31" i="20"/>
  <c r="BF39" i="20" s="1"/>
  <c r="BI35" i="20"/>
  <c r="L68" i="32" l="1"/>
  <c r="BI48" i="20"/>
  <c r="BG67" i="20"/>
  <c r="BF66" i="20"/>
  <c r="BK66" i="20"/>
  <c r="BI47" i="20"/>
  <c r="BG40" i="20"/>
  <c r="BF40" i="20"/>
  <c r="L70" i="32"/>
  <c r="T70" i="32" s="1"/>
  <c r="I69" i="32"/>
  <c r="I73" i="32" s="1"/>
  <c r="BF68" i="20"/>
  <c r="BG46" i="20"/>
  <c r="BG66" i="20" s="1"/>
  <c r="BI46" i="20"/>
  <c r="BF41" i="20"/>
  <c r="BI31" i="20"/>
  <c r="BI39" i="20" s="1"/>
  <c r="BG31" i="20"/>
  <c r="BG39" i="20" s="1"/>
  <c r="BG68" i="20" l="1"/>
  <c r="BH67" i="20"/>
  <c r="BH68" i="20" s="1"/>
  <c r="BF67" i="20"/>
  <c r="N69" i="32"/>
  <c r="Q69" i="32" s="1"/>
  <c r="L69" i="32"/>
  <c r="L73" i="32" s="1"/>
  <c r="BI40" i="20"/>
  <c r="BI41" i="20" s="1"/>
  <c r="Q70" i="32"/>
  <c r="W70" i="32"/>
  <c r="N68" i="32"/>
  <c r="BH40" i="20"/>
  <c r="W69" i="32" l="1"/>
  <c r="R69" i="32"/>
  <c r="R68" i="32"/>
  <c r="Z69" i="32"/>
  <c r="BI67" i="20"/>
  <c r="BI68" i="20" s="1"/>
  <c r="Z70" i="32"/>
  <c r="S69" i="32" l="1"/>
  <c r="S70" i="32"/>
  <c r="BZ241" i="18" l="1"/>
  <c r="BD241" i="18"/>
  <c r="BW241" i="18" s="1"/>
  <c r="BC241" i="18"/>
  <c r="BV241" i="18" s="1"/>
  <c r="BB241" i="18"/>
  <c r="BU241" i="18" s="1"/>
  <c r="BA241" i="18"/>
  <c r="BT241" i="18" s="1"/>
  <c r="AZ241" i="18"/>
  <c r="AY241" i="18"/>
  <c r="BR241" i="18" s="1"/>
  <c r="AX241" i="18"/>
  <c r="BQ241" i="18" s="1"/>
  <c r="AW241" i="18"/>
  <c r="BP241" i="18" s="1"/>
  <c r="AV241" i="18"/>
  <c r="AU241" i="18"/>
  <c r="AT241" i="18"/>
  <c r="BM241" i="18" s="1"/>
  <c r="AS241" i="18"/>
  <c r="BL241" i="18" s="1"/>
  <c r="W241" i="18"/>
  <c r="CB241" i="18" s="1"/>
  <c r="BZ240" i="18"/>
  <c r="BD240" i="18"/>
  <c r="BW240" i="18" s="1"/>
  <c r="BC240" i="18"/>
  <c r="BV240" i="18" s="1"/>
  <c r="BB240" i="18"/>
  <c r="BU240" i="18" s="1"/>
  <c r="BA240" i="18"/>
  <c r="BT240" i="18" s="1"/>
  <c r="AZ240" i="18"/>
  <c r="AY240" i="18"/>
  <c r="BR240" i="18" s="1"/>
  <c r="AX240" i="18"/>
  <c r="BQ240" i="18" s="1"/>
  <c r="AW240" i="18"/>
  <c r="BP240" i="18" s="1"/>
  <c r="AV240" i="18"/>
  <c r="AU240" i="18"/>
  <c r="BN240" i="18" s="1"/>
  <c r="AT240" i="18"/>
  <c r="AS240" i="18"/>
  <c r="BL240" i="18" s="1"/>
  <c r="W240" i="18"/>
  <c r="CB240" i="18" s="1"/>
  <c r="BZ239" i="18"/>
  <c r="BD239" i="18"/>
  <c r="BW239" i="18" s="1"/>
  <c r="BC239" i="18"/>
  <c r="BV239" i="18" s="1"/>
  <c r="BB239" i="18"/>
  <c r="BU239" i="18" s="1"/>
  <c r="BA239" i="18"/>
  <c r="BT239" i="18" s="1"/>
  <c r="AZ239" i="18"/>
  <c r="AY239" i="18"/>
  <c r="BR239" i="18" s="1"/>
  <c r="AX239" i="18"/>
  <c r="BQ239" i="18" s="1"/>
  <c r="AW239" i="18"/>
  <c r="BP239" i="18" s="1"/>
  <c r="AV239" i="18"/>
  <c r="AU239" i="18"/>
  <c r="BN239" i="18" s="1"/>
  <c r="AT239" i="18"/>
  <c r="AS239" i="18"/>
  <c r="BL239" i="18" s="1"/>
  <c r="W239" i="18"/>
  <c r="CB239" i="18" s="1"/>
  <c r="BZ238" i="18"/>
  <c r="BD238" i="18"/>
  <c r="BW238" i="18" s="1"/>
  <c r="BC238" i="18"/>
  <c r="BV238" i="18" s="1"/>
  <c r="BB238" i="18"/>
  <c r="BU238" i="18" s="1"/>
  <c r="BA238" i="18"/>
  <c r="BT238" i="18" s="1"/>
  <c r="AZ238" i="18"/>
  <c r="AY238" i="18"/>
  <c r="BR238" i="18" s="1"/>
  <c r="AX238" i="18"/>
  <c r="BQ238" i="18" s="1"/>
  <c r="AW238" i="18"/>
  <c r="BP238" i="18" s="1"/>
  <c r="AV238" i="18"/>
  <c r="BO238" i="18" s="1"/>
  <c r="AU238" i="18"/>
  <c r="BN238" i="18" s="1"/>
  <c r="AT238" i="18"/>
  <c r="AS238" i="18"/>
  <c r="BL238" i="18" s="1"/>
  <c r="W238" i="18"/>
  <c r="CB238" i="18" s="1"/>
  <c r="BZ237" i="18"/>
  <c r="BD237" i="18"/>
  <c r="BW237" i="18" s="1"/>
  <c r="BC237" i="18"/>
  <c r="BV237" i="18" s="1"/>
  <c r="BB237" i="18"/>
  <c r="BU237" i="18" s="1"/>
  <c r="BA237" i="18"/>
  <c r="BT237" i="18" s="1"/>
  <c r="AZ237" i="18"/>
  <c r="AY237" i="18"/>
  <c r="BR237" i="18" s="1"/>
  <c r="AX237" i="18"/>
  <c r="BQ237" i="18" s="1"/>
  <c r="AW237" i="18"/>
  <c r="BP237" i="18" s="1"/>
  <c r="AV237" i="18"/>
  <c r="BO237" i="18" s="1"/>
  <c r="AU237" i="18"/>
  <c r="BN237" i="18" s="1"/>
  <c r="AT237" i="18"/>
  <c r="AS237" i="18"/>
  <c r="BL237" i="18" s="1"/>
  <c r="W237" i="18"/>
  <c r="CB237" i="18" s="1"/>
  <c r="BZ236" i="18"/>
  <c r="BD236" i="18"/>
  <c r="BW236" i="18" s="1"/>
  <c r="BC236" i="18"/>
  <c r="BV236" i="18" s="1"/>
  <c r="BB236" i="18"/>
  <c r="BU236" i="18" s="1"/>
  <c r="BA236" i="18"/>
  <c r="BT236" i="18" s="1"/>
  <c r="AZ236" i="18"/>
  <c r="AY236" i="18"/>
  <c r="BR236" i="18" s="1"/>
  <c r="AX236" i="18"/>
  <c r="BQ236" i="18" s="1"/>
  <c r="AW236" i="18"/>
  <c r="BP236" i="18" s="1"/>
  <c r="AV236" i="18"/>
  <c r="BO236" i="18" s="1"/>
  <c r="AU236" i="18"/>
  <c r="BN236" i="18" s="1"/>
  <c r="AT236" i="18"/>
  <c r="AS236" i="18"/>
  <c r="BL236" i="18" s="1"/>
  <c r="W236" i="18"/>
  <c r="CB236" i="18" s="1"/>
  <c r="BZ235" i="18"/>
  <c r="BD235" i="18"/>
  <c r="BW235" i="18" s="1"/>
  <c r="BC235" i="18"/>
  <c r="BV235" i="18" s="1"/>
  <c r="BB235" i="18"/>
  <c r="BU235" i="18" s="1"/>
  <c r="BA235" i="18"/>
  <c r="BT235" i="18" s="1"/>
  <c r="AZ235" i="18"/>
  <c r="AY235" i="18"/>
  <c r="BR235" i="18" s="1"/>
  <c r="AX235" i="18"/>
  <c r="BQ235" i="18" s="1"/>
  <c r="AW235" i="18"/>
  <c r="BP235" i="18" s="1"/>
  <c r="AV235" i="18"/>
  <c r="BO235" i="18" s="1"/>
  <c r="AU235" i="18"/>
  <c r="BN235" i="18" s="1"/>
  <c r="AT235" i="18"/>
  <c r="AS235" i="18"/>
  <c r="BL235" i="18" s="1"/>
  <c r="W235" i="18"/>
  <c r="CB235" i="18" s="1"/>
  <c r="BZ234" i="18"/>
  <c r="BD234" i="18"/>
  <c r="BW234" i="18" s="1"/>
  <c r="BC234" i="18"/>
  <c r="BV234" i="18" s="1"/>
  <c r="BB234" i="18"/>
  <c r="BU234" i="18" s="1"/>
  <c r="BA234" i="18"/>
  <c r="BT234" i="18" s="1"/>
  <c r="AZ234" i="18"/>
  <c r="AY234" i="18"/>
  <c r="BR234" i="18" s="1"/>
  <c r="AX234" i="18"/>
  <c r="BQ234" i="18" s="1"/>
  <c r="AW234" i="18"/>
  <c r="BP234" i="18" s="1"/>
  <c r="AV234" i="18"/>
  <c r="BO234" i="18" s="1"/>
  <c r="AU234" i="18"/>
  <c r="BN234" i="18" s="1"/>
  <c r="AT234" i="18"/>
  <c r="AS234" i="18"/>
  <c r="BL234" i="18" s="1"/>
  <c r="W234" i="18"/>
  <c r="CB234" i="18" s="1"/>
  <c r="BZ233" i="18"/>
  <c r="BD233" i="18"/>
  <c r="BW233" i="18" s="1"/>
  <c r="BC233" i="18"/>
  <c r="BV233" i="18" s="1"/>
  <c r="BB233" i="18"/>
  <c r="BU233" i="18" s="1"/>
  <c r="BA233" i="18"/>
  <c r="BT233" i="18" s="1"/>
  <c r="AZ233" i="18"/>
  <c r="AY233" i="18"/>
  <c r="BR233" i="18" s="1"/>
  <c r="AX233" i="18"/>
  <c r="BQ233" i="18" s="1"/>
  <c r="AW233" i="18"/>
  <c r="BP233" i="18" s="1"/>
  <c r="AV233" i="18"/>
  <c r="BO233" i="18" s="1"/>
  <c r="AU233" i="18"/>
  <c r="BN233" i="18" s="1"/>
  <c r="AT233" i="18"/>
  <c r="AS233" i="18"/>
  <c r="BL233" i="18" s="1"/>
  <c r="W233" i="18"/>
  <c r="CB233" i="18" s="1"/>
  <c r="BZ232" i="18"/>
  <c r="BD232" i="18"/>
  <c r="BW232" i="18" s="1"/>
  <c r="BC232" i="18"/>
  <c r="BV232" i="18" s="1"/>
  <c r="BB232" i="18"/>
  <c r="BU232" i="18" s="1"/>
  <c r="BA232" i="18"/>
  <c r="BT232" i="18" s="1"/>
  <c r="AZ232" i="18"/>
  <c r="AY232" i="18"/>
  <c r="BR232" i="18" s="1"/>
  <c r="AX232" i="18"/>
  <c r="BQ232" i="18" s="1"/>
  <c r="AW232" i="18"/>
  <c r="BP232" i="18" s="1"/>
  <c r="AV232" i="18"/>
  <c r="BO232" i="18" s="1"/>
  <c r="AU232" i="18"/>
  <c r="BN232" i="18" s="1"/>
  <c r="AT232" i="18"/>
  <c r="AS232" i="18"/>
  <c r="BL232" i="18" s="1"/>
  <c r="W232" i="18"/>
  <c r="AR232" i="18" s="1"/>
  <c r="BZ231" i="18"/>
  <c r="BD231" i="18"/>
  <c r="BW231" i="18" s="1"/>
  <c r="BC231" i="18"/>
  <c r="BV231" i="18" s="1"/>
  <c r="BB231" i="18"/>
  <c r="BU231" i="18" s="1"/>
  <c r="BA231" i="18"/>
  <c r="BT231" i="18" s="1"/>
  <c r="AZ231" i="18"/>
  <c r="AY231" i="18"/>
  <c r="BR231" i="18" s="1"/>
  <c r="AX231" i="18"/>
  <c r="BQ231" i="18" s="1"/>
  <c r="AW231" i="18"/>
  <c r="BP231" i="18" s="1"/>
  <c r="AV231" i="18"/>
  <c r="BO231" i="18" s="1"/>
  <c r="AU231" i="18"/>
  <c r="BN231" i="18" s="1"/>
  <c r="AT231" i="18"/>
  <c r="BM231" i="18" s="1"/>
  <c r="AS231" i="18"/>
  <c r="BL231" i="18" s="1"/>
  <c r="W231" i="18"/>
  <c r="CB231" i="18" s="1"/>
  <c r="BZ230" i="18"/>
  <c r="BD230" i="18"/>
  <c r="BW230" i="18" s="1"/>
  <c r="BC230" i="18"/>
  <c r="BV230" i="18" s="1"/>
  <c r="BB230" i="18"/>
  <c r="BU230" i="18" s="1"/>
  <c r="BA230" i="18"/>
  <c r="BT230" i="18" s="1"/>
  <c r="AZ230" i="18"/>
  <c r="AY230" i="18"/>
  <c r="BR230" i="18" s="1"/>
  <c r="AX230" i="18"/>
  <c r="BQ230" i="18" s="1"/>
  <c r="AW230" i="18"/>
  <c r="BP230" i="18" s="1"/>
  <c r="AV230" i="18"/>
  <c r="BO230" i="18" s="1"/>
  <c r="AU230" i="18"/>
  <c r="BN230" i="18" s="1"/>
  <c r="AT230" i="18"/>
  <c r="BM230" i="18" s="1"/>
  <c r="AS230" i="18"/>
  <c r="BL230" i="18" s="1"/>
  <c r="W230" i="18"/>
  <c r="CB230" i="18" s="1"/>
  <c r="BZ229" i="18"/>
  <c r="BD229" i="18"/>
  <c r="BW229" i="18" s="1"/>
  <c r="BC229" i="18"/>
  <c r="BV229" i="18" s="1"/>
  <c r="BB229" i="18"/>
  <c r="BU229" i="18" s="1"/>
  <c r="BA229" i="18"/>
  <c r="BT229" i="18" s="1"/>
  <c r="AZ229" i="18"/>
  <c r="AY229" i="18"/>
  <c r="BR229" i="18" s="1"/>
  <c r="AX229" i="18"/>
  <c r="BQ229" i="18" s="1"/>
  <c r="AW229" i="18"/>
  <c r="BP229" i="18" s="1"/>
  <c r="AV229" i="18"/>
  <c r="BO229" i="18" s="1"/>
  <c r="AU229" i="18"/>
  <c r="BN229" i="18" s="1"/>
  <c r="AT229" i="18"/>
  <c r="BM229" i="18" s="1"/>
  <c r="AS229" i="18"/>
  <c r="BL229" i="18" s="1"/>
  <c r="W229" i="18"/>
  <c r="CB229" i="18" s="1"/>
  <c r="BZ228" i="18"/>
  <c r="BD228" i="18"/>
  <c r="BW228" i="18" s="1"/>
  <c r="BC228" i="18"/>
  <c r="BV228" i="18" s="1"/>
  <c r="BB228" i="18"/>
  <c r="BU228" i="18" s="1"/>
  <c r="BA228" i="18"/>
  <c r="BT228" i="18" s="1"/>
  <c r="AZ228" i="18"/>
  <c r="AY228" i="18"/>
  <c r="BR228" i="18" s="1"/>
  <c r="AX228" i="18"/>
  <c r="BQ228" i="18" s="1"/>
  <c r="AW228" i="18"/>
  <c r="BP228" i="18" s="1"/>
  <c r="AV228" i="18"/>
  <c r="BO228" i="18" s="1"/>
  <c r="AU228" i="18"/>
  <c r="BN228" i="18" s="1"/>
  <c r="AT228" i="18"/>
  <c r="BM228" i="18" s="1"/>
  <c r="AS228" i="18"/>
  <c r="BL228" i="18" s="1"/>
  <c r="W228" i="18"/>
  <c r="AR228" i="18" s="1"/>
  <c r="BS238" i="18" l="1"/>
  <c r="BX238" i="18" s="1"/>
  <c r="CO238" i="18"/>
  <c r="CY238" i="18" s="1"/>
  <c r="BS229" i="18"/>
  <c r="BX229" i="18" s="1"/>
  <c r="CO229" i="18"/>
  <c r="CY229" i="18" s="1"/>
  <c r="BS233" i="18"/>
  <c r="BX233" i="18" s="1"/>
  <c r="CO233" i="18"/>
  <c r="CY233" i="18" s="1"/>
  <c r="BS237" i="18"/>
  <c r="BX237" i="18" s="1"/>
  <c r="CO237" i="18"/>
  <c r="CY237" i="18" s="1"/>
  <c r="BS241" i="18"/>
  <c r="BX241" i="18" s="1"/>
  <c r="CO241" i="18"/>
  <c r="CY241" i="18" s="1"/>
  <c r="BS234" i="18"/>
  <c r="BX234" i="18" s="1"/>
  <c r="CO234" i="18"/>
  <c r="CY234" i="18" s="1"/>
  <c r="BS228" i="18"/>
  <c r="BX228" i="18" s="1"/>
  <c r="CO228" i="18"/>
  <c r="CY228" i="18" s="1"/>
  <c r="BS232" i="18"/>
  <c r="BX232" i="18" s="1"/>
  <c r="CO232" i="18"/>
  <c r="CY232" i="18" s="1"/>
  <c r="BS236" i="18"/>
  <c r="BX236" i="18" s="1"/>
  <c r="CO236" i="18"/>
  <c r="CY236" i="18" s="1"/>
  <c r="BS240" i="18"/>
  <c r="CO240" i="18"/>
  <c r="CY240" i="18" s="1"/>
  <c r="BS230" i="18"/>
  <c r="BX230" i="18" s="1"/>
  <c r="CO230" i="18"/>
  <c r="CY230" i="18" s="1"/>
  <c r="BS231" i="18"/>
  <c r="BX231" i="18" s="1"/>
  <c r="CO231" i="18"/>
  <c r="CY231" i="18" s="1"/>
  <c r="BS235" i="18"/>
  <c r="BX235" i="18" s="1"/>
  <c r="CO235" i="18"/>
  <c r="CY235" i="18" s="1"/>
  <c r="BS239" i="18"/>
  <c r="CO239" i="18"/>
  <c r="CY239" i="18" s="1"/>
  <c r="BK240" i="18"/>
  <c r="CB228" i="18"/>
  <c r="AR239" i="18"/>
  <c r="AR238" i="18"/>
  <c r="AR231" i="18"/>
  <c r="CB232" i="18"/>
  <c r="BK238" i="18"/>
  <c r="BK241" i="18"/>
  <c r="CA241" i="18" s="1"/>
  <c r="AR235" i="18"/>
  <c r="AR237" i="18"/>
  <c r="AR234" i="18"/>
  <c r="BK237" i="18"/>
  <c r="AR229" i="18"/>
  <c r="BK228" i="18"/>
  <c r="AR233" i="18"/>
  <c r="BK236" i="18"/>
  <c r="AR241" i="18"/>
  <c r="BK231" i="18"/>
  <c r="BK229" i="18"/>
  <c r="AR236" i="18"/>
  <c r="BK233" i="18"/>
  <c r="BK234" i="18"/>
  <c r="AR230" i="18"/>
  <c r="BK230" i="18"/>
  <c r="BK239" i="18"/>
  <c r="BK232" i="18"/>
  <c r="BK235" i="18"/>
  <c r="L89" i="32" s="1"/>
  <c r="AR240" i="18"/>
  <c r="BO239" i="18"/>
  <c r="BO240" i="18"/>
  <c r="BY237" i="18" l="1"/>
  <c r="BX240" i="18"/>
  <c r="BX239" i="18"/>
  <c r="M89" i="32"/>
  <c r="CA240" i="18"/>
  <c r="CA231" i="18"/>
  <c r="CA229" i="18"/>
  <c r="CA238" i="18"/>
  <c r="CA237" i="18"/>
  <c r="BY228" i="18"/>
  <c r="BY232" i="18"/>
  <c r="CA236" i="18"/>
  <c r="BY235" i="18"/>
  <c r="CA234" i="18"/>
  <c r="BY233" i="18"/>
  <c r="CA233" i="18"/>
  <c r="CA230" i="18"/>
  <c r="CA239" i="18"/>
  <c r="BY239" i="18"/>
  <c r="BY229" i="18"/>
  <c r="BY240" i="18"/>
  <c r="CA232" i="18"/>
  <c r="BY236" i="18"/>
  <c r="BY238" i="18"/>
  <c r="BY231" i="18"/>
  <c r="CA235" i="18"/>
  <c r="BY234" i="18"/>
  <c r="CA228" i="18"/>
  <c r="BY230" i="18"/>
  <c r="BY241" i="18"/>
  <c r="W227" i="18" l="1"/>
  <c r="CB227" i="18" s="1"/>
  <c r="AS227" i="18"/>
  <c r="BL227" i="18" s="1"/>
  <c r="AT227" i="18"/>
  <c r="BM227" i="18" s="1"/>
  <c r="BM249" i="18" s="1"/>
  <c r="AU227" i="18"/>
  <c r="BN227" i="18" s="1"/>
  <c r="BN249" i="18" s="1"/>
  <c r="AV227" i="18"/>
  <c r="BO227" i="18" s="1"/>
  <c r="AW227" i="18"/>
  <c r="AW249" i="18" s="1"/>
  <c r="AX227" i="18"/>
  <c r="BQ227" i="18" s="1"/>
  <c r="AY227" i="18"/>
  <c r="BR227" i="18" s="1"/>
  <c r="AZ227" i="18"/>
  <c r="BA227" i="18"/>
  <c r="BA249" i="18" s="1"/>
  <c r="BB227" i="18"/>
  <c r="BB249" i="18" s="1"/>
  <c r="BC227" i="18"/>
  <c r="BV227" i="18" s="1"/>
  <c r="BD227" i="18"/>
  <c r="BW227" i="18" s="1"/>
  <c r="BZ227" i="18"/>
  <c r="AZ249" i="18" l="1"/>
  <c r="CO249" i="18" s="1"/>
  <c r="CY249" i="18" s="1"/>
  <c r="CO227" i="18"/>
  <c r="CY227" i="18" s="1"/>
  <c r="BP227" i="18"/>
  <c r="BP249" i="18" s="1"/>
  <c r="BP251" i="18" s="1"/>
  <c r="AU249" i="18"/>
  <c r="BN251" i="18" s="1"/>
  <c r="AR227" i="18"/>
  <c r="AR249" i="18" s="1"/>
  <c r="BK227" i="18"/>
  <c r="BK249" i="18" s="1"/>
  <c r="BV249" i="18"/>
  <c r="BO249" i="18"/>
  <c r="BR249" i="18"/>
  <c r="U61" i="32"/>
  <c r="BC249" i="18"/>
  <c r="BW249" i="18"/>
  <c r="AT249" i="18"/>
  <c r="BM251" i="18" s="1"/>
  <c r="BM252" i="18" s="1"/>
  <c r="BU227" i="18"/>
  <c r="BU249" i="18" s="1"/>
  <c r="BU251" i="18" s="1"/>
  <c r="BZ249" i="18"/>
  <c r="BD249" i="18"/>
  <c r="AV249" i="18"/>
  <c r="BQ249" i="18"/>
  <c r="AS249" i="18"/>
  <c r="AY249" i="18"/>
  <c r="BT227" i="18"/>
  <c r="BT249" i="18" s="1"/>
  <c r="BT251" i="18" s="1"/>
  <c r="AX249" i="18"/>
  <c r="BS227" i="18"/>
  <c r="BS249" i="18" s="1"/>
  <c r="BS251" i="18" l="1"/>
  <c r="F61" i="32"/>
  <c r="BO251" i="18"/>
  <c r="K61" i="32"/>
  <c r="BQ251" i="18"/>
  <c r="BW251" i="18"/>
  <c r="BR251" i="18"/>
  <c r="BV251" i="18"/>
  <c r="BX227" i="18"/>
  <c r="BL249" i="18"/>
  <c r="BL251" i="18" s="1"/>
  <c r="G61" i="32" l="1"/>
  <c r="L61" i="32"/>
  <c r="BX251" i="18"/>
  <c r="BX249" i="18"/>
  <c r="CA227" i="18"/>
  <c r="CA249" i="18" s="1"/>
  <c r="CB253" i="18" s="1"/>
  <c r="BY227" i="18"/>
  <c r="BY249" i="18" s="1"/>
  <c r="P61" i="32" l="1"/>
  <c r="Y61" i="32" s="1"/>
  <c r="BZ250" i="18"/>
  <c r="BX250" i="18"/>
  <c r="BY250" i="18"/>
  <c r="Q61" i="32" l="1"/>
  <c r="CA250" i="18"/>
  <c r="CA251" i="18" s="1"/>
  <c r="R61" i="32"/>
  <c r="Z61" i="32" l="1"/>
  <c r="K109" i="32"/>
  <c r="Y107" i="32"/>
  <c r="S61" i="32"/>
  <c r="D23" i="20" l="1"/>
  <c r="D9" i="20"/>
  <c r="BH9" i="20" s="1"/>
  <c r="D8" i="20"/>
  <c r="D7" i="20"/>
  <c r="BH10" i="20"/>
  <c r="AQ10" i="20"/>
  <c r="BD10" i="20" s="1"/>
  <c r="AP10" i="20"/>
  <c r="BC10" i="20" s="1"/>
  <c r="AO10" i="20"/>
  <c r="AN10" i="20"/>
  <c r="AM10" i="20"/>
  <c r="AL10" i="20"/>
  <c r="AK10" i="20"/>
  <c r="AJ10" i="20"/>
  <c r="AI10" i="20"/>
  <c r="AH10" i="20"/>
  <c r="AG10" i="20"/>
  <c r="AT10" i="20" s="1"/>
  <c r="Q10" i="20"/>
  <c r="AR9" i="20"/>
  <c r="BE9" i="20" s="1"/>
  <c r="AQ9" i="20"/>
  <c r="BD9" i="20" s="1"/>
  <c r="AP9" i="20"/>
  <c r="BC9" i="20" s="1"/>
  <c r="AO9" i="20"/>
  <c r="AN9" i="20"/>
  <c r="AM9" i="20"/>
  <c r="AL9" i="20"/>
  <c r="AK9" i="20"/>
  <c r="AJ9" i="20"/>
  <c r="AI9" i="20"/>
  <c r="AH9" i="20"/>
  <c r="AG9" i="20"/>
  <c r="Q9" i="20"/>
  <c r="AF9" i="20" s="1"/>
  <c r="AF10" i="20" l="1"/>
  <c r="CA9" i="20"/>
  <c r="BK9" i="20"/>
  <c r="BM9" i="20" s="1"/>
  <c r="CA10" i="20"/>
  <c r="BK10" i="20"/>
  <c r="BF10" i="20"/>
  <c r="BF9" i="20"/>
  <c r="AS9" i="20"/>
  <c r="AS10" i="20"/>
  <c r="BJ9" i="20"/>
  <c r="BL10" i="20" l="1"/>
  <c r="BL15" i="20" s="1"/>
  <c r="BG9" i="20"/>
  <c r="BI9" i="20"/>
  <c r="BG10" i="20"/>
  <c r="BM10" i="20" l="1"/>
  <c r="AT180" i="18"/>
  <c r="AU180" i="18"/>
  <c r="AV180" i="18"/>
  <c r="AW180" i="18"/>
  <c r="AX180" i="18"/>
  <c r="AY180" i="18"/>
  <c r="AZ180" i="18"/>
  <c r="CO180" i="18" s="1"/>
  <c r="CY180" i="18" s="1"/>
  <c r="BA180" i="18"/>
  <c r="BB180" i="18"/>
  <c r="BC180" i="18"/>
  <c r="BC220" i="18" s="1"/>
  <c r="BD180" i="18"/>
  <c r="D172" i="18"/>
  <c r="BZ172" i="18" s="1"/>
  <c r="BZ173" i="18" s="1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X172" i="18"/>
  <c r="BX173" i="18" s="1"/>
  <c r="BD172" i="18"/>
  <c r="BD173" i="18" s="1"/>
  <c r="BC172" i="18"/>
  <c r="BC173" i="18" s="1"/>
  <c r="BB172" i="18"/>
  <c r="BB173" i="18" s="1"/>
  <c r="BA172" i="18"/>
  <c r="BA173" i="18" s="1"/>
  <c r="AZ172" i="18"/>
  <c r="AY172" i="18"/>
  <c r="AY173" i="18" s="1"/>
  <c r="AX172" i="18"/>
  <c r="AX173" i="18" s="1"/>
  <c r="AW172" i="18"/>
  <c r="AW173" i="18" s="1"/>
  <c r="AV172" i="18"/>
  <c r="AU172" i="18"/>
  <c r="AU173" i="18" s="1"/>
  <c r="AT172" i="18"/>
  <c r="AT173" i="18" s="1"/>
  <c r="AS172" i="18"/>
  <c r="AS173" i="18" s="1"/>
  <c r="W172" i="18"/>
  <c r="A94" i="18"/>
  <c r="A95" i="18" s="1"/>
  <c r="A96" i="18" s="1"/>
  <c r="A97" i="18" s="1"/>
  <c r="A98" i="18" s="1"/>
  <c r="A99" i="18" s="1"/>
  <c r="A100" i="18" s="1"/>
  <c r="A101" i="18" s="1"/>
  <c r="A102" i="18" s="1"/>
  <c r="A110" i="18" s="1"/>
  <c r="A113" i="18" s="1"/>
  <c r="A122" i="18" s="1"/>
  <c r="A123" i="18" s="1"/>
  <c r="BD106" i="18"/>
  <c r="BW106" i="18" s="1"/>
  <c r="BC106" i="18"/>
  <c r="BV106" i="18" s="1"/>
  <c r="BB106" i="18"/>
  <c r="BU106" i="18" s="1"/>
  <c r="BA106" i="18"/>
  <c r="BT106" i="18" s="1"/>
  <c r="AZ106" i="18"/>
  <c r="AY106" i="18"/>
  <c r="BR106" i="18" s="1"/>
  <c r="AX106" i="18"/>
  <c r="BQ106" i="18" s="1"/>
  <c r="AW106" i="18"/>
  <c r="BP106" i="18" s="1"/>
  <c r="AV106" i="18"/>
  <c r="BO106" i="18" s="1"/>
  <c r="AU106" i="18"/>
  <c r="AT106" i="18"/>
  <c r="AS106" i="18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BZ83" i="18"/>
  <c r="BD83" i="18"/>
  <c r="BC83" i="18"/>
  <c r="BV83" i="18" s="1"/>
  <c r="BB83" i="18"/>
  <c r="BU83" i="18" s="1"/>
  <c r="BA83" i="18"/>
  <c r="BT83" i="18" s="1"/>
  <c r="AZ83" i="18"/>
  <c r="AY83" i="18"/>
  <c r="BR83" i="18" s="1"/>
  <c r="AX83" i="18"/>
  <c r="BQ83" i="18" s="1"/>
  <c r="AW83" i="18"/>
  <c r="BP83" i="18" s="1"/>
  <c r="AV83" i="18"/>
  <c r="BO83" i="18" s="1"/>
  <c r="AU83" i="18"/>
  <c r="BN83" i="18" s="1"/>
  <c r="AT83" i="18"/>
  <c r="BM83" i="18" s="1"/>
  <c r="AS83" i="18"/>
  <c r="CB83" i="18"/>
  <c r="D31" i="18"/>
  <c r="D30" i="18"/>
  <c r="BL106" i="18" l="1"/>
  <c r="BK106" i="18"/>
  <c r="BK83" i="18"/>
  <c r="CA83" i="18" s="1"/>
  <c r="AZ173" i="18"/>
  <c r="CO173" i="18" s="1"/>
  <c r="CY173" i="18" s="1"/>
  <c r="CO172" i="18"/>
  <c r="CY172" i="18" s="1"/>
  <c r="BS106" i="18"/>
  <c r="BX106" i="18" s="1"/>
  <c r="CO106" i="18"/>
  <c r="CY106" i="18" s="1"/>
  <c r="CB71" i="18"/>
  <c r="AR71" i="18"/>
  <c r="BY71" i="18" s="1"/>
  <c r="CB70" i="18"/>
  <c r="AR70" i="18"/>
  <c r="BY70" i="18" s="1"/>
  <c r="E59" i="32"/>
  <c r="A21" i="18"/>
  <c r="A22" i="18" s="1"/>
  <c r="A23" i="18" s="1"/>
  <c r="A24" i="18" s="1"/>
  <c r="A25" i="18" s="1"/>
  <c r="A26" i="18" s="1"/>
  <c r="A27" i="18" s="1"/>
  <c r="A28" i="18" s="1"/>
  <c r="A31" i="18" s="1"/>
  <c r="A38" i="18" s="1"/>
  <c r="A39" i="18" s="1"/>
  <c r="A40" i="18" s="1"/>
  <c r="A43" i="18" s="1"/>
  <c r="A46" i="18" s="1"/>
  <c r="A47" i="18" s="1"/>
  <c r="A18" i="18"/>
  <c r="BS180" i="18"/>
  <c r="BR180" i="18"/>
  <c r="BP180" i="18"/>
  <c r="BW180" i="18"/>
  <c r="BO180" i="18"/>
  <c r="BV180" i="18"/>
  <c r="BN180" i="18"/>
  <c r="BT180" i="18"/>
  <c r="BQ180" i="18"/>
  <c r="BU180" i="18"/>
  <c r="BM180" i="18"/>
  <c r="BN175" i="18"/>
  <c r="BV175" i="18"/>
  <c r="BT175" i="18"/>
  <c r="BL175" i="18"/>
  <c r="BM175" i="18"/>
  <c r="BW175" i="18"/>
  <c r="BU175" i="18"/>
  <c r="BP175" i="18"/>
  <c r="Q59" i="32"/>
  <c r="BQ175" i="18"/>
  <c r="BR175" i="18"/>
  <c r="BK172" i="18"/>
  <c r="BK173" i="18" s="1"/>
  <c r="BX174" i="18" s="1"/>
  <c r="CB172" i="18"/>
  <c r="U59" i="32" s="1"/>
  <c r="BS175" i="18"/>
  <c r="AR172" i="18"/>
  <c r="AV173" i="18"/>
  <c r="BO175" i="18" s="1"/>
  <c r="AR106" i="18"/>
  <c r="BY106" i="18" s="1"/>
  <c r="AR83" i="18"/>
  <c r="BL83" i="18"/>
  <c r="BX83" i="18" s="1"/>
  <c r="BZ106" i="18" l="1"/>
  <c r="BY83" i="18"/>
  <c r="A50" i="18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3" i="18" s="1"/>
  <c r="A64" i="18" s="1"/>
  <c r="A65" i="18" s="1"/>
  <c r="A66" i="18" s="1"/>
  <c r="A67" i="18" s="1"/>
  <c r="A68" i="18" s="1"/>
  <c r="A69" i="18" s="1"/>
  <c r="A70" i="18" s="1"/>
  <c r="A71" i="18" s="1"/>
  <c r="A76" i="18" s="1"/>
  <c r="A77" i="18" s="1"/>
  <c r="A80" i="18" s="1"/>
  <c r="A81" i="18" s="1"/>
  <c r="A84" i="18" s="1"/>
  <c r="J59" i="32"/>
  <c r="G59" i="32"/>
  <c r="CA172" i="18"/>
  <c r="CA173" i="18" s="1"/>
  <c r="BZ174" i="18" s="1"/>
  <c r="BX175" i="18"/>
  <c r="AR173" i="18"/>
  <c r="BY172" i="18"/>
  <c r="CA104" i="18" l="1"/>
  <c r="X59" i="32"/>
  <c r="L59" i="32"/>
  <c r="T59" i="32" s="1"/>
  <c r="BY174" i="18"/>
  <c r="BY173" i="18"/>
  <c r="Z59" i="32" l="1"/>
  <c r="CA174" i="18"/>
  <c r="CA175" i="18" s="1"/>
  <c r="R59" i="32"/>
  <c r="AS26" i="18"/>
  <c r="AT26" i="18"/>
  <c r="AU26" i="18"/>
  <c r="AV26" i="18"/>
  <c r="BO26" i="18" s="1"/>
  <c r="AW26" i="18"/>
  <c r="BP26" i="18" s="1"/>
  <c r="AX26" i="18"/>
  <c r="BQ26" i="18" s="1"/>
  <c r="AY26" i="18"/>
  <c r="BR26" i="18" s="1"/>
  <c r="AZ26" i="18"/>
  <c r="BS26" i="18" s="1"/>
  <c r="BA26" i="18"/>
  <c r="BT26" i="18" s="1"/>
  <c r="BB26" i="18"/>
  <c r="BU26" i="18" s="1"/>
  <c r="BC26" i="18"/>
  <c r="BV26" i="18" s="1"/>
  <c r="BD26" i="18"/>
  <c r="BZ26" i="18"/>
  <c r="AS27" i="18"/>
  <c r="AT27" i="18"/>
  <c r="AU27" i="18"/>
  <c r="AV27" i="18"/>
  <c r="BO27" i="18" s="1"/>
  <c r="AW27" i="18"/>
  <c r="BP27" i="18" s="1"/>
  <c r="AX27" i="18"/>
  <c r="BQ27" i="18" s="1"/>
  <c r="AY27" i="18"/>
  <c r="BR27" i="18" s="1"/>
  <c r="AZ27" i="18"/>
  <c r="BS27" i="18" s="1"/>
  <c r="BA27" i="18"/>
  <c r="BT27" i="18" s="1"/>
  <c r="BB27" i="18"/>
  <c r="BU27" i="18" s="1"/>
  <c r="BC27" i="18"/>
  <c r="BV27" i="18" s="1"/>
  <c r="BD27" i="18"/>
  <c r="BZ27" i="18"/>
  <c r="AS28" i="18"/>
  <c r="AT28" i="18"/>
  <c r="AU28" i="18"/>
  <c r="AV28" i="18"/>
  <c r="BO28" i="18" s="1"/>
  <c r="AW28" i="18"/>
  <c r="BP28" i="18" s="1"/>
  <c r="AX28" i="18"/>
  <c r="AY28" i="18"/>
  <c r="BR28" i="18" s="1"/>
  <c r="AZ28" i="18"/>
  <c r="BS28" i="18" s="1"/>
  <c r="BA28" i="18"/>
  <c r="BT28" i="18" s="1"/>
  <c r="BB28" i="18"/>
  <c r="BU28" i="18" s="1"/>
  <c r="BC28" i="18"/>
  <c r="BV28" i="18" s="1"/>
  <c r="BD28" i="18"/>
  <c r="BZ28" i="18"/>
  <c r="D23" i="18"/>
  <c r="BL28" i="18" l="1"/>
  <c r="BK28" i="18"/>
  <c r="BL26" i="18"/>
  <c r="BK26" i="18"/>
  <c r="BK27" i="18"/>
  <c r="AR28" i="18"/>
  <c r="CB28" i="18"/>
  <c r="AR27" i="18"/>
  <c r="CB27" i="18"/>
  <c r="AR26" i="18"/>
  <c r="CB26" i="18"/>
  <c r="BX26" i="18"/>
  <c r="BL27" i="18"/>
  <c r="BX27" i="18" s="1"/>
  <c r="BQ28" i="18"/>
  <c r="BX28" i="18" s="1"/>
  <c r="BY27" i="18" l="1"/>
  <c r="CA28" i="18"/>
  <c r="BY28" i="18"/>
  <c r="CA27" i="18"/>
  <c r="BY26" i="18"/>
  <c r="CA26" i="18"/>
  <c r="AV95" i="37" l="1"/>
  <c r="AU95" i="37"/>
  <c r="AT95" i="37"/>
  <c r="BH94" i="37"/>
  <c r="BH95" i="37" s="1"/>
  <c r="C41" i="32" s="1"/>
  <c r="BF94" i="37"/>
  <c r="BF95" i="37" s="1"/>
  <c r="M41" i="32" s="1"/>
  <c r="AR94" i="37"/>
  <c r="AR95" i="37" s="1"/>
  <c r="BE97" i="37" s="1"/>
  <c r="AQ94" i="37"/>
  <c r="AQ95" i="37" s="1"/>
  <c r="BD97" i="37" s="1"/>
  <c r="AP94" i="37"/>
  <c r="AP95" i="37" s="1"/>
  <c r="BC97" i="37" s="1"/>
  <c r="AO94" i="37"/>
  <c r="AO95" i="37" s="1"/>
  <c r="BB97" i="37" s="1"/>
  <c r="AN94" i="37"/>
  <c r="AN95" i="37" s="1"/>
  <c r="BA97" i="37" s="1"/>
  <c r="AM94" i="37"/>
  <c r="AM95" i="37" s="1"/>
  <c r="AZ97" i="37" s="1"/>
  <c r="AL94" i="37"/>
  <c r="AL95" i="37" s="1"/>
  <c r="AY97" i="37" s="1"/>
  <c r="AK94" i="37"/>
  <c r="AK95" i="37" s="1"/>
  <c r="AX97" i="37" s="1"/>
  <c r="AJ94" i="37"/>
  <c r="AJ95" i="37" s="1"/>
  <c r="AW97" i="37" s="1"/>
  <c r="AI94" i="37"/>
  <c r="AI95" i="37" s="1"/>
  <c r="AV97" i="37" s="1"/>
  <c r="AH94" i="37"/>
  <c r="AH95" i="37" s="1"/>
  <c r="AG94" i="37"/>
  <c r="AG95" i="37" s="1"/>
  <c r="BJ94" i="37"/>
  <c r="R41" i="32"/>
  <c r="M39" i="32"/>
  <c r="AV87" i="37"/>
  <c r="AU87" i="37"/>
  <c r="AT87" i="37"/>
  <c r="BH86" i="37"/>
  <c r="BH87" i="37" s="1"/>
  <c r="C40" i="32" s="1"/>
  <c r="BF86" i="37"/>
  <c r="BF87" i="37" s="1"/>
  <c r="M40" i="32" s="1"/>
  <c r="AR86" i="37"/>
  <c r="AR87" i="37" s="1"/>
  <c r="BE89" i="37" s="1"/>
  <c r="AQ86" i="37"/>
  <c r="AQ87" i="37" s="1"/>
  <c r="BD89" i="37" s="1"/>
  <c r="AP86" i="37"/>
  <c r="AP87" i="37" s="1"/>
  <c r="BC89" i="37" s="1"/>
  <c r="AO86" i="37"/>
  <c r="AO87" i="37" s="1"/>
  <c r="BB89" i="37" s="1"/>
  <c r="AN86" i="37"/>
  <c r="AN87" i="37" s="1"/>
  <c r="BA89" i="37" s="1"/>
  <c r="AM86" i="37"/>
  <c r="AM87" i="37" s="1"/>
  <c r="AZ89" i="37" s="1"/>
  <c r="AL86" i="37"/>
  <c r="AL87" i="37" s="1"/>
  <c r="AY89" i="37" s="1"/>
  <c r="AK86" i="37"/>
  <c r="AK87" i="37" s="1"/>
  <c r="AX89" i="37" s="1"/>
  <c r="AJ86" i="37"/>
  <c r="AJ87" i="37" s="1"/>
  <c r="AW89" i="37" s="1"/>
  <c r="AI86" i="37"/>
  <c r="AH86" i="37"/>
  <c r="AH87" i="37" s="1"/>
  <c r="AG86" i="37"/>
  <c r="AG87" i="37" s="1"/>
  <c r="Q86" i="37"/>
  <c r="BJ86" i="37" s="1"/>
  <c r="AT89" i="37" l="1"/>
  <c r="AU89" i="37"/>
  <c r="AT97" i="37"/>
  <c r="AU97" i="37"/>
  <c r="AS94" i="37"/>
  <c r="AS86" i="37"/>
  <c r="AS87" i="37" s="1"/>
  <c r="AF94" i="37"/>
  <c r="AI87" i="37"/>
  <c r="AV89" i="37" s="1"/>
  <c r="AF86" i="37"/>
  <c r="BF89" i="37" l="1"/>
  <c r="BF97" i="37"/>
  <c r="BI86" i="37"/>
  <c r="BI87" i="37" s="1"/>
  <c r="BH88" i="37" s="1"/>
  <c r="G41" i="32" s="1"/>
  <c r="BF88" i="37"/>
  <c r="H40" i="32"/>
  <c r="L40" i="32" s="1"/>
  <c r="BI94" i="37"/>
  <c r="BI95" i="37" s="1"/>
  <c r="AS95" i="37"/>
  <c r="BG94" i="37"/>
  <c r="AF95" i="37"/>
  <c r="AF87" i="37"/>
  <c r="BG86" i="37"/>
  <c r="BF96" i="37" l="1"/>
  <c r="H41" i="32"/>
  <c r="L41" i="32" s="1"/>
  <c r="BG96" i="37"/>
  <c r="BG95" i="37"/>
  <c r="BI96" i="37" s="1"/>
  <c r="BI97" i="37" s="1"/>
  <c r="BH96" i="37"/>
  <c r="Q41" i="32"/>
  <c r="BG88" i="37"/>
  <c r="BG87" i="37"/>
  <c r="BI88" i="37" s="1"/>
  <c r="BI89" i="37" s="1"/>
  <c r="V41" i="32" l="1"/>
  <c r="Z41" i="32"/>
  <c r="T41" i="32"/>
  <c r="S41" i="32" s="1"/>
  <c r="AV79" i="37" l="1"/>
  <c r="AU79" i="37"/>
  <c r="AT79" i="37"/>
  <c r="BH78" i="37"/>
  <c r="BH79" i="37" s="1"/>
  <c r="C39" i="32" s="1"/>
  <c r="G39" i="32" s="1"/>
  <c r="BF78" i="37"/>
  <c r="BF79" i="37" s="1"/>
  <c r="AR78" i="37"/>
  <c r="AR79" i="37" s="1"/>
  <c r="BE81" i="37" s="1"/>
  <c r="AQ78" i="37"/>
  <c r="AQ79" i="37" s="1"/>
  <c r="BD81" i="37" s="1"/>
  <c r="AP78" i="37"/>
  <c r="AP79" i="37" s="1"/>
  <c r="BC81" i="37" s="1"/>
  <c r="AO78" i="37"/>
  <c r="AO79" i="37" s="1"/>
  <c r="BB81" i="37" s="1"/>
  <c r="AN78" i="37"/>
  <c r="AN79" i="37" s="1"/>
  <c r="BA81" i="37" s="1"/>
  <c r="AM78" i="37"/>
  <c r="AM79" i="37" s="1"/>
  <c r="AZ81" i="37" s="1"/>
  <c r="AL78" i="37"/>
  <c r="AL79" i="37" s="1"/>
  <c r="AY81" i="37" s="1"/>
  <c r="AK78" i="37"/>
  <c r="AK79" i="37" s="1"/>
  <c r="AX81" i="37" s="1"/>
  <c r="AJ78" i="37"/>
  <c r="AJ79" i="37" s="1"/>
  <c r="AW81" i="37" s="1"/>
  <c r="AI78" i="37"/>
  <c r="AH78" i="37"/>
  <c r="AH79" i="37" s="1"/>
  <c r="AG78" i="37"/>
  <c r="AG79" i="37" s="1"/>
  <c r="Q78" i="37"/>
  <c r="BJ78" i="37" s="1"/>
  <c r="BJ79" i="37" s="1"/>
  <c r="AV23" i="37"/>
  <c r="AU23" i="37"/>
  <c r="AT23" i="37"/>
  <c r="BH22" i="37"/>
  <c r="BH23" i="37" s="1"/>
  <c r="C32" i="32" s="1"/>
  <c r="BF22" i="37"/>
  <c r="BF23" i="37" s="1"/>
  <c r="AR22" i="37"/>
  <c r="AR23" i="37" s="1"/>
  <c r="BE25" i="37" s="1"/>
  <c r="AQ22" i="37"/>
  <c r="AQ23" i="37" s="1"/>
  <c r="BD25" i="37" s="1"/>
  <c r="AP22" i="37"/>
  <c r="AP23" i="37" s="1"/>
  <c r="BC25" i="37" s="1"/>
  <c r="AO22" i="37"/>
  <c r="AO23" i="37" s="1"/>
  <c r="BB25" i="37" s="1"/>
  <c r="AN22" i="37"/>
  <c r="AN23" i="37" s="1"/>
  <c r="BA25" i="37" s="1"/>
  <c r="AM22" i="37"/>
  <c r="AM23" i="37" s="1"/>
  <c r="AZ25" i="37" s="1"/>
  <c r="AL22" i="37"/>
  <c r="AL23" i="37" s="1"/>
  <c r="AY25" i="37" s="1"/>
  <c r="AK22" i="37"/>
  <c r="AK23" i="37" s="1"/>
  <c r="AX25" i="37" s="1"/>
  <c r="AJ22" i="37"/>
  <c r="AJ23" i="37" s="1"/>
  <c r="AW25" i="37" s="1"/>
  <c r="AI22" i="37"/>
  <c r="AI23" i="37" s="1"/>
  <c r="AH22" i="37"/>
  <c r="AH23" i="37" s="1"/>
  <c r="AG22" i="37"/>
  <c r="AG23" i="37" s="1"/>
  <c r="Q22" i="37"/>
  <c r="BJ22" i="37" s="1"/>
  <c r="BJ23" i="37" s="1"/>
  <c r="U39" i="32" s="1"/>
  <c r="AU81" i="37" l="1"/>
  <c r="AT81" i="37"/>
  <c r="AS78" i="37"/>
  <c r="BI78" i="37" s="1"/>
  <c r="BI79" i="37" s="1"/>
  <c r="M32" i="32"/>
  <c r="Q39" i="32"/>
  <c r="AS79" i="37"/>
  <c r="AI79" i="37"/>
  <c r="AV81" i="37" s="1"/>
  <c r="AU25" i="37"/>
  <c r="AF78" i="37"/>
  <c r="AT25" i="37"/>
  <c r="AV25" i="37"/>
  <c r="AF22" i="37"/>
  <c r="AS22" i="37"/>
  <c r="AS23" i="37" s="1"/>
  <c r="BF81" i="37" l="1"/>
  <c r="BF25" i="37"/>
  <c r="BF80" i="37"/>
  <c r="H39" i="32"/>
  <c r="L39" i="32" s="1"/>
  <c r="AF79" i="37"/>
  <c r="BG78" i="37"/>
  <c r="BH80" i="37"/>
  <c r="G40" i="32" s="1"/>
  <c r="BF24" i="37"/>
  <c r="H32" i="32"/>
  <c r="L32" i="32" s="1"/>
  <c r="AF23" i="37"/>
  <c r="BG22" i="37"/>
  <c r="BI22" i="37"/>
  <c r="BI23" i="37" s="1"/>
  <c r="V39" i="32" l="1"/>
  <c r="Q40" i="32"/>
  <c r="Z40" i="32" s="1"/>
  <c r="V40" i="32"/>
  <c r="Z39" i="32"/>
  <c r="T39" i="32"/>
  <c r="BG80" i="37"/>
  <c r="BG79" i="37"/>
  <c r="BI80" i="37" s="1"/>
  <c r="BI81" i="37" s="1"/>
  <c r="BH24" i="37"/>
  <c r="BG24" i="37"/>
  <c r="R40" i="32" s="1"/>
  <c r="BG23" i="37"/>
  <c r="T40" i="32" l="1"/>
  <c r="S40" i="32" s="1"/>
  <c r="BI24" i="37"/>
  <c r="BI25" i="37" s="1"/>
  <c r="R39" i="32"/>
  <c r="S39" i="32" s="1"/>
  <c r="Q225" i="38"/>
  <c r="BH198" i="38"/>
  <c r="AR198" i="38"/>
  <c r="BE198" i="38" s="1"/>
  <c r="AQ198" i="38"/>
  <c r="BD198" i="38" s="1"/>
  <c r="AP198" i="38"/>
  <c r="BC198" i="38" s="1"/>
  <c r="AO198" i="38"/>
  <c r="BB198" i="38" s="1"/>
  <c r="AN198" i="38"/>
  <c r="AM198" i="38"/>
  <c r="AZ198" i="38" s="1"/>
  <c r="AL198" i="38"/>
  <c r="AY198" i="38" s="1"/>
  <c r="AK198" i="38"/>
  <c r="AX198" i="38" s="1"/>
  <c r="AJ198" i="38"/>
  <c r="AW198" i="38" s="1"/>
  <c r="AI198" i="38"/>
  <c r="AV198" i="38" s="1"/>
  <c r="AH198" i="38"/>
  <c r="AU198" i="38" s="1"/>
  <c r="AG198" i="38"/>
  <c r="AT198" i="38" s="1"/>
  <c r="Q198" i="38"/>
  <c r="BJ198" i="38" s="1"/>
  <c r="BH197" i="38"/>
  <c r="AR197" i="38"/>
  <c r="BE197" i="38" s="1"/>
  <c r="AQ197" i="38"/>
  <c r="BD197" i="38" s="1"/>
  <c r="AP197" i="38"/>
  <c r="BC197" i="38" s="1"/>
  <c r="AO197" i="38"/>
  <c r="BB197" i="38" s="1"/>
  <c r="AN197" i="38"/>
  <c r="AM197" i="38"/>
  <c r="AZ197" i="38" s="1"/>
  <c r="AL197" i="38"/>
  <c r="AY197" i="38" s="1"/>
  <c r="AK197" i="38"/>
  <c r="AX197" i="38" s="1"/>
  <c r="AJ197" i="38"/>
  <c r="AW197" i="38" s="1"/>
  <c r="AI197" i="38"/>
  <c r="AV197" i="38" s="1"/>
  <c r="AH197" i="38"/>
  <c r="AU197" i="38" s="1"/>
  <c r="AG197" i="38"/>
  <c r="AT197" i="38" s="1"/>
  <c r="Q197" i="38"/>
  <c r="BJ197" i="38" s="1"/>
  <c r="BH196" i="38"/>
  <c r="AR196" i="38"/>
  <c r="BE196" i="38" s="1"/>
  <c r="AQ196" i="38"/>
  <c r="BD196" i="38" s="1"/>
  <c r="AP196" i="38"/>
  <c r="BC196" i="38" s="1"/>
  <c r="AO196" i="38"/>
  <c r="BB196" i="38" s="1"/>
  <c r="AN196" i="38"/>
  <c r="AM196" i="38"/>
  <c r="AZ196" i="38" s="1"/>
  <c r="AL196" i="38"/>
  <c r="AY196" i="38" s="1"/>
  <c r="AK196" i="38"/>
  <c r="AX196" i="38" s="1"/>
  <c r="AJ196" i="38"/>
  <c r="AW196" i="38" s="1"/>
  <c r="AI196" i="38"/>
  <c r="AV196" i="38" s="1"/>
  <c r="AH196" i="38"/>
  <c r="AU196" i="38" s="1"/>
  <c r="AG196" i="38"/>
  <c r="AT196" i="38" s="1"/>
  <c r="Q196" i="38"/>
  <c r="AF196" i="38" s="1"/>
  <c r="BH195" i="38"/>
  <c r="AR195" i="38"/>
  <c r="BE195" i="38" s="1"/>
  <c r="AQ195" i="38"/>
  <c r="BD195" i="38" s="1"/>
  <c r="AP195" i="38"/>
  <c r="BC195" i="38" s="1"/>
  <c r="AO195" i="38"/>
  <c r="BB195" i="38" s="1"/>
  <c r="AN195" i="38"/>
  <c r="AM195" i="38"/>
  <c r="AZ195" i="38" s="1"/>
  <c r="AL195" i="38"/>
  <c r="AY195" i="38" s="1"/>
  <c r="AK195" i="38"/>
  <c r="AX195" i="38" s="1"/>
  <c r="AJ195" i="38"/>
  <c r="AW195" i="38" s="1"/>
  <c r="AI195" i="38"/>
  <c r="AV195" i="38" s="1"/>
  <c r="AH195" i="38"/>
  <c r="AU195" i="38" s="1"/>
  <c r="AG195" i="38"/>
  <c r="AT195" i="38" s="1"/>
  <c r="Q195" i="38"/>
  <c r="AF195" i="38" s="1"/>
  <c r="BH194" i="38"/>
  <c r="AR194" i="38"/>
  <c r="BE194" i="38" s="1"/>
  <c r="AQ194" i="38"/>
  <c r="BD194" i="38" s="1"/>
  <c r="AP194" i="38"/>
  <c r="BC194" i="38" s="1"/>
  <c r="AO194" i="38"/>
  <c r="BB194" i="38" s="1"/>
  <c r="AN194" i="38"/>
  <c r="AM194" i="38"/>
  <c r="AZ194" i="38" s="1"/>
  <c r="AL194" i="38"/>
  <c r="AY194" i="38" s="1"/>
  <c r="AK194" i="38"/>
  <c r="AX194" i="38" s="1"/>
  <c r="AJ194" i="38"/>
  <c r="AW194" i="38" s="1"/>
  <c r="AI194" i="38"/>
  <c r="AH194" i="38"/>
  <c r="AU194" i="38" s="1"/>
  <c r="AG194" i="38"/>
  <c r="Q194" i="38"/>
  <c r="AF194" i="38" s="1"/>
  <c r="BH193" i="38"/>
  <c r="AR193" i="38"/>
  <c r="BE193" i="38" s="1"/>
  <c r="AQ193" i="38"/>
  <c r="BD193" i="38" s="1"/>
  <c r="AP193" i="38"/>
  <c r="BC193" i="38" s="1"/>
  <c r="AO193" i="38"/>
  <c r="BB193" i="38" s="1"/>
  <c r="AN193" i="38"/>
  <c r="AM193" i="38"/>
  <c r="AZ193" i="38" s="1"/>
  <c r="AL193" i="38"/>
  <c r="AY193" i="38" s="1"/>
  <c r="AK193" i="38"/>
  <c r="AX193" i="38" s="1"/>
  <c r="AJ193" i="38"/>
  <c r="AW193" i="38" s="1"/>
  <c r="AI193" i="38"/>
  <c r="AV193" i="38" s="1"/>
  <c r="AH193" i="38"/>
  <c r="AU193" i="38" s="1"/>
  <c r="AG193" i="38"/>
  <c r="AT193" i="38" s="1"/>
  <c r="Q193" i="38"/>
  <c r="AF193" i="38" s="1"/>
  <c r="BH192" i="38"/>
  <c r="AR192" i="38"/>
  <c r="BE192" i="38" s="1"/>
  <c r="AQ192" i="38"/>
  <c r="BD192" i="38" s="1"/>
  <c r="AP192" i="38"/>
  <c r="BC192" i="38" s="1"/>
  <c r="AO192" i="38"/>
  <c r="BB192" i="38" s="1"/>
  <c r="AN192" i="38"/>
  <c r="BW192" i="38" s="1"/>
  <c r="CA192" i="38" s="1"/>
  <c r="AM192" i="38"/>
  <c r="AL192" i="38"/>
  <c r="AK192" i="38"/>
  <c r="AJ192" i="38"/>
  <c r="AW192" i="38" s="1"/>
  <c r="AI192" i="38"/>
  <c r="AV192" i="38" s="1"/>
  <c r="AH192" i="38"/>
  <c r="AG192" i="38"/>
  <c r="Q192" i="38"/>
  <c r="AF192" i="38" s="1"/>
  <c r="BH180" i="38"/>
  <c r="AR180" i="38"/>
  <c r="BE180" i="38" s="1"/>
  <c r="AQ180" i="38"/>
  <c r="BD180" i="38" s="1"/>
  <c r="AP180" i="38"/>
  <c r="BC180" i="38" s="1"/>
  <c r="AO180" i="38"/>
  <c r="BB180" i="38" s="1"/>
  <c r="AN180" i="38"/>
  <c r="AM180" i="38"/>
  <c r="AZ180" i="38" s="1"/>
  <c r="AL180" i="38"/>
  <c r="AY180" i="38" s="1"/>
  <c r="AK180" i="38"/>
  <c r="AX180" i="38" s="1"/>
  <c r="AJ180" i="38"/>
  <c r="AW180" i="38" s="1"/>
  <c r="AI180" i="38"/>
  <c r="AV180" i="38" s="1"/>
  <c r="AH180" i="38"/>
  <c r="AU180" i="38" s="1"/>
  <c r="AG180" i="38"/>
  <c r="Q180" i="38"/>
  <c r="BJ180" i="38" s="1"/>
  <c r="BH181" i="38"/>
  <c r="AR181" i="38"/>
  <c r="BE181" i="38" s="1"/>
  <c r="AQ181" i="38"/>
  <c r="BD181" i="38" s="1"/>
  <c r="AP181" i="38"/>
  <c r="BC181" i="38" s="1"/>
  <c r="AO181" i="38"/>
  <c r="BB181" i="38" s="1"/>
  <c r="AN181" i="38"/>
  <c r="AM181" i="38"/>
  <c r="AZ181" i="38" s="1"/>
  <c r="AL181" i="38"/>
  <c r="AY181" i="38" s="1"/>
  <c r="AK181" i="38"/>
  <c r="AX181" i="38" s="1"/>
  <c r="AJ181" i="38"/>
  <c r="AW181" i="38" s="1"/>
  <c r="AI181" i="38"/>
  <c r="AV181" i="38" s="1"/>
  <c r="AH181" i="38"/>
  <c r="AU181" i="38" s="1"/>
  <c r="AG181" i="38"/>
  <c r="AT181" i="38" s="1"/>
  <c r="Q181" i="38"/>
  <c r="BJ181" i="38" s="1"/>
  <c r="BH158" i="38"/>
  <c r="AI158" i="38"/>
  <c r="AV158" i="38" s="1"/>
  <c r="AH158" i="38"/>
  <c r="AU158" i="38" s="1"/>
  <c r="AG158" i="38"/>
  <c r="Q158" i="38"/>
  <c r="BJ158" i="38" s="1"/>
  <c r="U13" i="32"/>
  <c r="BH95" i="38"/>
  <c r="AR95" i="38"/>
  <c r="BE95" i="38" s="1"/>
  <c r="AQ95" i="38"/>
  <c r="BD95" i="38" s="1"/>
  <c r="AP95" i="38"/>
  <c r="BC95" i="38" s="1"/>
  <c r="AO95" i="38"/>
  <c r="BB95" i="38" s="1"/>
  <c r="AN95" i="38"/>
  <c r="AM95" i="38"/>
  <c r="AZ95" i="38" s="1"/>
  <c r="AL95" i="38"/>
  <c r="AY95" i="38" s="1"/>
  <c r="AK95" i="38"/>
  <c r="AX95" i="38" s="1"/>
  <c r="AJ95" i="38"/>
  <c r="AW95" i="38" s="1"/>
  <c r="AI95" i="38"/>
  <c r="AV95" i="38" s="1"/>
  <c r="AH95" i="38"/>
  <c r="AU95" i="38" s="1"/>
  <c r="AG95" i="38"/>
  <c r="AT95" i="38" s="1"/>
  <c r="Q95" i="38"/>
  <c r="BJ95" i="38" s="1"/>
  <c r="BH94" i="38"/>
  <c r="AR94" i="38"/>
  <c r="BE94" i="38" s="1"/>
  <c r="AQ94" i="38"/>
  <c r="BD94" i="38" s="1"/>
  <c r="AP94" i="38"/>
  <c r="BC94" i="38" s="1"/>
  <c r="AO94" i="38"/>
  <c r="BB94" i="38" s="1"/>
  <c r="AN94" i="38"/>
  <c r="AM94" i="38"/>
  <c r="AZ94" i="38" s="1"/>
  <c r="AL94" i="38"/>
  <c r="AY94" i="38" s="1"/>
  <c r="AK94" i="38"/>
  <c r="AX94" i="38" s="1"/>
  <c r="AJ94" i="38"/>
  <c r="AW94" i="38" s="1"/>
  <c r="AI94" i="38"/>
  <c r="AV94" i="38" s="1"/>
  <c r="AH94" i="38"/>
  <c r="AU94" i="38" s="1"/>
  <c r="AG94" i="38"/>
  <c r="AT94" i="38" s="1"/>
  <c r="Q94" i="38"/>
  <c r="BH93" i="38"/>
  <c r="AR93" i="38"/>
  <c r="BE93" i="38" s="1"/>
  <c r="AQ93" i="38"/>
  <c r="BD93" i="38" s="1"/>
  <c r="AP93" i="38"/>
  <c r="BC93" i="38" s="1"/>
  <c r="AO93" i="38"/>
  <c r="BB93" i="38" s="1"/>
  <c r="AN93" i="38"/>
  <c r="AM93" i="38"/>
  <c r="AZ93" i="38" s="1"/>
  <c r="AL93" i="38"/>
  <c r="AY93" i="38" s="1"/>
  <c r="AK93" i="38"/>
  <c r="AX93" i="38" s="1"/>
  <c r="AJ93" i="38"/>
  <c r="AW93" i="38" s="1"/>
  <c r="AI93" i="38"/>
  <c r="AV93" i="38" s="1"/>
  <c r="AH93" i="38"/>
  <c r="AU93" i="38" s="1"/>
  <c r="AG93" i="38"/>
  <c r="AT93" i="38" s="1"/>
  <c r="Q93" i="38"/>
  <c r="BJ93" i="38" s="1"/>
  <c r="BH92" i="38"/>
  <c r="AR92" i="38"/>
  <c r="BE92" i="38" s="1"/>
  <c r="AQ92" i="38"/>
  <c r="BD92" i="38" s="1"/>
  <c r="AP92" i="38"/>
  <c r="BC92" i="38" s="1"/>
  <c r="AO92" i="38"/>
  <c r="BB92" i="38" s="1"/>
  <c r="AN92" i="38"/>
  <c r="BW92" i="38" s="1"/>
  <c r="CA92" i="38" s="1"/>
  <c r="AM92" i="38"/>
  <c r="AL92" i="38"/>
  <c r="AY92" i="38" s="1"/>
  <c r="AK92" i="38"/>
  <c r="AJ92" i="38"/>
  <c r="AI92" i="38"/>
  <c r="AV92" i="38" s="1"/>
  <c r="AH92" i="38"/>
  <c r="AU92" i="38" s="1"/>
  <c r="AG92" i="38"/>
  <c r="AT92" i="38" s="1"/>
  <c r="Q92" i="38"/>
  <c r="BJ92" i="38" s="1"/>
  <c r="AG83" i="38"/>
  <c r="AH83" i="38"/>
  <c r="AU83" i="38" s="1"/>
  <c r="AI83" i="38"/>
  <c r="AV83" i="38" s="1"/>
  <c r="AJ83" i="38"/>
  <c r="AW83" i="38" s="1"/>
  <c r="AK83" i="38"/>
  <c r="AX83" i="38" s="1"/>
  <c r="AL83" i="38"/>
  <c r="AY83" i="38" s="1"/>
  <c r="AM83" i="38"/>
  <c r="AZ83" i="38" s="1"/>
  <c r="AN83" i="38"/>
  <c r="AO83" i="38"/>
  <c r="BB83" i="38" s="1"/>
  <c r="AP83" i="38"/>
  <c r="BC83" i="38" s="1"/>
  <c r="AQ83" i="38"/>
  <c r="BD83" i="38" s="1"/>
  <c r="AR83" i="38"/>
  <c r="BE83" i="38" s="1"/>
  <c r="BH83" i="38"/>
  <c r="AT192" i="38" l="1"/>
  <c r="BK192" i="38" s="1"/>
  <c r="AF94" i="38"/>
  <c r="BJ94" i="38"/>
  <c r="BJ96" i="38" s="1"/>
  <c r="BA94" i="38"/>
  <c r="BF94" i="38" s="1"/>
  <c r="BW94" i="38"/>
  <c r="CA94" i="38" s="1"/>
  <c r="BA180" i="38"/>
  <c r="BW180" i="38"/>
  <c r="CA180" i="38" s="1"/>
  <c r="AU192" i="38"/>
  <c r="AU199" i="38" s="1"/>
  <c r="AH199" i="38"/>
  <c r="BA195" i="38"/>
  <c r="BF195" i="38" s="1"/>
  <c r="BW195" i="38"/>
  <c r="CA195" i="38" s="1"/>
  <c r="BA193" i="38"/>
  <c r="BF193" i="38" s="1"/>
  <c r="BW193" i="38"/>
  <c r="CA193" i="38" s="1"/>
  <c r="AT180" i="38"/>
  <c r="BI193" i="38"/>
  <c r="BA83" i="38"/>
  <c r="BW83" i="38"/>
  <c r="CA83" i="38" s="1"/>
  <c r="BA197" i="38"/>
  <c r="BF197" i="38" s="1"/>
  <c r="BW197" i="38"/>
  <c r="CA197" i="38" s="1"/>
  <c r="BA196" i="38"/>
  <c r="BF196" i="38" s="1"/>
  <c r="BW196" i="38"/>
  <c r="CA196" i="38" s="1"/>
  <c r="BA93" i="38"/>
  <c r="BF93" i="38" s="1"/>
  <c r="BW93" i="38"/>
  <c r="CA93" i="38" s="1"/>
  <c r="BA181" i="38"/>
  <c r="BW181" i="38"/>
  <c r="CA181" i="38" s="1"/>
  <c r="BA194" i="38"/>
  <c r="BW194" i="38"/>
  <c r="CA194" i="38" s="1"/>
  <c r="BA198" i="38"/>
  <c r="BF198" i="38" s="1"/>
  <c r="BW198" i="38"/>
  <c r="CA198" i="38" s="1"/>
  <c r="BG193" i="38"/>
  <c r="BA95" i="38"/>
  <c r="BF95" i="38" s="1"/>
  <c r="BW95" i="38"/>
  <c r="CA95" i="38" s="1"/>
  <c r="BH199" i="38"/>
  <c r="AT194" i="38"/>
  <c r="BK194" i="38" s="1"/>
  <c r="AN199" i="38"/>
  <c r="BW199" i="38" s="1"/>
  <c r="CA199" i="38" s="1"/>
  <c r="AM199" i="38"/>
  <c r="BJ194" i="38"/>
  <c r="AI199" i="38"/>
  <c r="AS198" i="38"/>
  <c r="BI198" i="38" s="1"/>
  <c r="AZ192" i="38"/>
  <c r="AZ199" i="38" s="1"/>
  <c r="C22" i="32"/>
  <c r="BJ196" i="38"/>
  <c r="AO199" i="38"/>
  <c r="BA192" i="38"/>
  <c r="BC199" i="38"/>
  <c r="AF197" i="38"/>
  <c r="AS197" i="38"/>
  <c r="BI197" i="38" s="1"/>
  <c r="AK199" i="38"/>
  <c r="AX192" i="38"/>
  <c r="AX199" i="38" s="1"/>
  <c r="AL199" i="38"/>
  <c r="AY192" i="38"/>
  <c r="BB199" i="38"/>
  <c r="AY199" i="38"/>
  <c r="BD199" i="38"/>
  <c r="AW199" i="38"/>
  <c r="BE199" i="38"/>
  <c r="AS196" i="38"/>
  <c r="BI196" i="38" s="1"/>
  <c r="AS195" i="38"/>
  <c r="BI195" i="38" s="1"/>
  <c r="BJ195" i="38"/>
  <c r="AF198" i="38"/>
  <c r="AP199" i="38"/>
  <c r="AQ199" i="38"/>
  <c r="AS192" i="38"/>
  <c r="BG192" i="38" s="1"/>
  <c r="AS193" i="38"/>
  <c r="AJ199" i="38"/>
  <c r="AR199" i="38"/>
  <c r="AS181" i="38"/>
  <c r="BI181" i="38" s="1"/>
  <c r="BJ192" i="38"/>
  <c r="BJ193" i="38"/>
  <c r="AV194" i="38"/>
  <c r="AV199" i="38" s="1"/>
  <c r="AV201" i="38" s="1"/>
  <c r="AS180" i="38"/>
  <c r="BI180" i="38" s="1"/>
  <c r="AS194" i="38"/>
  <c r="BG194" i="38" s="1"/>
  <c r="AF180" i="38"/>
  <c r="BF181" i="38"/>
  <c r="AF181" i="38"/>
  <c r="BG181" i="38" s="1"/>
  <c r="AS158" i="38"/>
  <c r="AT158" i="38"/>
  <c r="BF158" i="38" s="1"/>
  <c r="AF158" i="38"/>
  <c r="AY96" i="38"/>
  <c r="AN96" i="38"/>
  <c r="BW96" i="38" s="1"/>
  <c r="CA96" i="38" s="1"/>
  <c r="BC96" i="38"/>
  <c r="AH96" i="38"/>
  <c r="AP96" i="38"/>
  <c r="AF95" i="38"/>
  <c r="AQ96" i="38"/>
  <c r="AJ96" i="38"/>
  <c r="AR96" i="38"/>
  <c r="AV96" i="38"/>
  <c r="AK96" i="38"/>
  <c r="AU96" i="38"/>
  <c r="AU98" i="38" s="1"/>
  <c r="AL96" i="38"/>
  <c r="AW92" i="38"/>
  <c r="AW96" i="38" s="1"/>
  <c r="BD96" i="38"/>
  <c r="AS83" i="38"/>
  <c r="AM96" i="38"/>
  <c r="AX92" i="38"/>
  <c r="AX96" i="38" s="1"/>
  <c r="AI96" i="38"/>
  <c r="AT96" i="38"/>
  <c r="BB96" i="38"/>
  <c r="BE96" i="38"/>
  <c r="AG96" i="38"/>
  <c r="AO96" i="38"/>
  <c r="AF92" i="38"/>
  <c r="AF93" i="38"/>
  <c r="BH96" i="38"/>
  <c r="C13" i="32" s="1"/>
  <c r="G13" i="32" s="1"/>
  <c r="AT83" i="38"/>
  <c r="AZ92" i="38"/>
  <c r="AZ96" i="38" s="1"/>
  <c r="AS95" i="38"/>
  <c r="AS92" i="38"/>
  <c r="BA92" i="38"/>
  <c r="AS93" i="38"/>
  <c r="AS94" i="38"/>
  <c r="BG180" i="38" l="1"/>
  <c r="BF180" i="38"/>
  <c r="AT199" i="38"/>
  <c r="BK199" i="38"/>
  <c r="BM194" i="38"/>
  <c r="BM192" i="38"/>
  <c r="BK190" i="38"/>
  <c r="BK180" i="38"/>
  <c r="BM180" i="38" s="1"/>
  <c r="BI194" i="38"/>
  <c r="BI192" i="38"/>
  <c r="BI199" i="38" s="1"/>
  <c r="BA96" i="38"/>
  <c r="BA98" i="38" s="1"/>
  <c r="BF83" i="38"/>
  <c r="BA199" i="38"/>
  <c r="BG198" i="38"/>
  <c r="BG197" i="38"/>
  <c r="BG196" i="38"/>
  <c r="AU201" i="38"/>
  <c r="BG195" i="38"/>
  <c r="AT201" i="38"/>
  <c r="BJ199" i="38"/>
  <c r="U22" i="32" s="1"/>
  <c r="BA201" i="38"/>
  <c r="AZ201" i="38"/>
  <c r="BB201" i="38"/>
  <c r="AY201" i="38"/>
  <c r="AF199" i="38"/>
  <c r="BD201" i="38"/>
  <c r="BF192" i="38"/>
  <c r="AX201" i="38"/>
  <c r="BC201" i="38"/>
  <c r="BE201" i="38"/>
  <c r="BF194" i="38"/>
  <c r="AW201" i="38"/>
  <c r="BI158" i="38"/>
  <c r="BB98" i="38"/>
  <c r="BG158" i="38"/>
  <c r="AY98" i="38"/>
  <c r="BD98" i="38"/>
  <c r="BC98" i="38"/>
  <c r="BI94" i="38"/>
  <c r="AV98" i="38"/>
  <c r="BG95" i="38"/>
  <c r="AT98" i="38"/>
  <c r="BE98" i="38"/>
  <c r="AZ98" i="38"/>
  <c r="BI83" i="38"/>
  <c r="AX98" i="38"/>
  <c r="BI95" i="38"/>
  <c r="AW98" i="38"/>
  <c r="BG94" i="38"/>
  <c r="BI93" i="38"/>
  <c r="BF92" i="38"/>
  <c r="BF96" i="38" s="1"/>
  <c r="M13" i="32" s="1"/>
  <c r="Q13" i="32" s="1"/>
  <c r="AF96" i="38"/>
  <c r="AS96" i="38"/>
  <c r="BG93" i="38"/>
  <c r="BM199" i="38" l="1"/>
  <c r="BG199" i="38"/>
  <c r="R22" i="32"/>
  <c r="BH200" i="38"/>
  <c r="BH201" i="38" s="1"/>
  <c r="BG200" i="38"/>
  <c r="BG201" i="38" s="1"/>
  <c r="BF199" i="38"/>
  <c r="M22" i="32" s="1"/>
  <c r="H22" i="32"/>
  <c r="L22" i="32" s="1"/>
  <c r="BF201" i="38"/>
  <c r="BF98" i="38"/>
  <c r="BF97" i="38"/>
  <c r="H13" i="32"/>
  <c r="BG92" i="38"/>
  <c r="BG97" i="38"/>
  <c r="BG96" i="38"/>
  <c r="BI92" i="38"/>
  <c r="BI96" i="38" s="1"/>
  <c r="BH97" i="38" s="1"/>
  <c r="BF200" i="38" l="1"/>
  <c r="BI200" i="38"/>
  <c r="BI97" i="38"/>
  <c r="BI98" i="38" s="1"/>
  <c r="R13" i="32"/>
  <c r="L13" i="32"/>
  <c r="V13" i="32"/>
  <c r="BI201" i="38" l="1"/>
  <c r="Z13" i="32"/>
  <c r="T13" i="32"/>
  <c r="S13" i="32" l="1"/>
  <c r="AA13" i="32"/>
  <c r="Q83" i="38"/>
  <c r="BH84" i="38"/>
  <c r="AR84" i="38"/>
  <c r="AQ84" i="38"/>
  <c r="BD84" i="38" s="1"/>
  <c r="AP84" i="38"/>
  <c r="BC84" i="38" s="1"/>
  <c r="AO84" i="38"/>
  <c r="BB84" i="38" s="1"/>
  <c r="AN84" i="38"/>
  <c r="AM84" i="38"/>
  <c r="AZ84" i="38" s="1"/>
  <c r="AL84" i="38"/>
  <c r="AY84" i="38" s="1"/>
  <c r="AK84" i="38"/>
  <c r="AX84" i="38" s="1"/>
  <c r="AJ84" i="38"/>
  <c r="AW84" i="38" s="1"/>
  <c r="AI84" i="38"/>
  <c r="AV84" i="38" s="1"/>
  <c r="AH84" i="38"/>
  <c r="AU84" i="38" s="1"/>
  <c r="AG84" i="38"/>
  <c r="Q84" i="38"/>
  <c r="BJ84" i="38" s="1"/>
  <c r="BH82" i="38"/>
  <c r="AR82" i="38"/>
  <c r="BE82" i="38" s="1"/>
  <c r="AQ82" i="38"/>
  <c r="BD82" i="38" s="1"/>
  <c r="AP82" i="38"/>
  <c r="BC82" i="38" s="1"/>
  <c r="AO82" i="38"/>
  <c r="BB82" i="38" s="1"/>
  <c r="AN82" i="38"/>
  <c r="AM82" i="38"/>
  <c r="AZ82" i="38" s="1"/>
  <c r="AL82" i="38"/>
  <c r="AY82" i="38" s="1"/>
  <c r="AK82" i="38"/>
  <c r="AX82" i="38" s="1"/>
  <c r="AJ82" i="38"/>
  <c r="AW82" i="38" s="1"/>
  <c r="AI82" i="38"/>
  <c r="AV82" i="38" s="1"/>
  <c r="AH82" i="38"/>
  <c r="AU82" i="38" s="1"/>
  <c r="AG82" i="38"/>
  <c r="Q82" i="38"/>
  <c r="BJ82" i="38" s="1"/>
  <c r="BH81" i="38"/>
  <c r="AR81" i="38"/>
  <c r="BE81" i="38" s="1"/>
  <c r="AQ81" i="38"/>
  <c r="BD81" i="38" s="1"/>
  <c r="AP81" i="38"/>
  <c r="BC81" i="38" s="1"/>
  <c r="AO81" i="38"/>
  <c r="BB81" i="38" s="1"/>
  <c r="AN81" i="38"/>
  <c r="BW81" i="38" s="1"/>
  <c r="CA81" i="38" s="1"/>
  <c r="AM81" i="38"/>
  <c r="AL81" i="38"/>
  <c r="AY81" i="38" s="1"/>
  <c r="AK81" i="38"/>
  <c r="AX81" i="38" s="1"/>
  <c r="AJ81" i="38"/>
  <c r="AI81" i="38"/>
  <c r="AV81" i="38" s="1"/>
  <c r="AH81" i="38"/>
  <c r="AU81" i="38" s="1"/>
  <c r="AG81" i="38"/>
  <c r="Q81" i="38"/>
  <c r="BJ81" i="38" s="1"/>
  <c r="BJ85" i="38" s="1"/>
  <c r="BA82" i="38" l="1"/>
  <c r="BW82" i="38"/>
  <c r="CA82" i="38" s="1"/>
  <c r="AF83" i="38"/>
  <c r="BG83" i="38" s="1"/>
  <c r="BJ83" i="38"/>
  <c r="BA84" i="38"/>
  <c r="BW84" i="38"/>
  <c r="CA84" i="38" s="1"/>
  <c r="AX85" i="38"/>
  <c r="AR85" i="38"/>
  <c r="AJ85" i="38"/>
  <c r="AW81" i="38"/>
  <c r="AW85" i="38" s="1"/>
  <c r="AP85" i="38"/>
  <c r="AL85" i="38"/>
  <c r="AF84" i="38"/>
  <c r="AF82" i="38"/>
  <c r="AM85" i="38"/>
  <c r="AN85" i="38"/>
  <c r="BW85" i="38" s="1"/>
  <c r="CA85" i="38" s="1"/>
  <c r="BE84" i="38"/>
  <c r="BE85" i="38" s="1"/>
  <c r="AS82" i="38"/>
  <c r="AY85" i="38"/>
  <c r="AG85" i="38"/>
  <c r="BH85" i="38"/>
  <c r="C12" i="32" s="1"/>
  <c r="AV85" i="38"/>
  <c r="AH85" i="38"/>
  <c r="AQ85" i="38"/>
  <c r="AI85" i="38"/>
  <c r="AZ81" i="38"/>
  <c r="AZ85" i="38" s="1"/>
  <c r="AF81" i="38"/>
  <c r="AS81" i="38"/>
  <c r="BD85" i="38"/>
  <c r="AK85" i="38"/>
  <c r="AS84" i="38"/>
  <c r="AO85" i="38"/>
  <c r="BC85" i="38"/>
  <c r="BB85" i="38"/>
  <c r="AU85" i="38"/>
  <c r="BA81" i="38"/>
  <c r="AT81" i="38"/>
  <c r="AT82" i="38"/>
  <c r="BF82" i="38" s="1"/>
  <c r="AT84" i="38"/>
  <c r="AX87" i="38" l="1"/>
  <c r="BA85" i="38"/>
  <c r="BA87" i="38" s="1"/>
  <c r="BE87" i="38"/>
  <c r="AS85" i="38"/>
  <c r="H12" i="32" s="1"/>
  <c r="AF85" i="38"/>
  <c r="BC87" i="38"/>
  <c r="AV87" i="38"/>
  <c r="AY87" i="38"/>
  <c r="BD87" i="38"/>
  <c r="BF84" i="38"/>
  <c r="BI84" i="38" s="1"/>
  <c r="BG82" i="38"/>
  <c r="AW87" i="38"/>
  <c r="BI82" i="38"/>
  <c r="AU87" i="38"/>
  <c r="AZ87" i="38"/>
  <c r="BB87" i="38"/>
  <c r="AT85" i="38"/>
  <c r="AT87" i="38" s="1"/>
  <c r="BF81" i="38"/>
  <c r="BG84" i="38" l="1"/>
  <c r="BF87" i="38"/>
  <c r="BF85" i="38"/>
  <c r="M12" i="32" s="1"/>
  <c r="BG81" i="38"/>
  <c r="BI81" i="38"/>
  <c r="BI85" i="38" s="1"/>
  <c r="BH86" i="38" s="1"/>
  <c r="BG86" i="38" l="1"/>
  <c r="BG85" i="38"/>
  <c r="BF86" i="38"/>
  <c r="BI86" i="38" l="1"/>
  <c r="BI87" i="38" s="1"/>
  <c r="R12" i="32"/>
  <c r="BB10" i="18" l="1"/>
  <c r="BB9" i="18"/>
  <c r="U106" i="32" l="1"/>
  <c r="V2" i="40" l="1"/>
  <c r="BX78" i="18" l="1"/>
  <c r="BX74" i="18"/>
  <c r="BX73" i="18"/>
  <c r="BX69" i="18"/>
  <c r="BX68" i="18"/>
  <c r="BX67" i="18"/>
  <c r="BX66" i="18"/>
  <c r="BX65" i="18"/>
  <c r="BX64" i="18"/>
  <c r="BX63" i="18"/>
  <c r="BX62" i="18"/>
  <c r="BX41" i="18"/>
  <c r="BH46" i="34"/>
  <c r="AR78" i="18" l="1"/>
  <c r="BY78" i="18" s="1"/>
  <c r="AR74" i="18"/>
  <c r="BY74" i="18" s="1"/>
  <c r="AR32" i="18"/>
  <c r="AR29" i="18"/>
  <c r="AR19" i="18"/>
  <c r="BZ84" i="18"/>
  <c r="BZ81" i="18"/>
  <c r="BZ80" i="18"/>
  <c r="BZ79" i="18"/>
  <c r="BZ78" i="18"/>
  <c r="CA78" i="18" s="1"/>
  <c r="BZ77" i="18"/>
  <c r="BZ76" i="18"/>
  <c r="BZ75" i="18"/>
  <c r="BZ74" i="18"/>
  <c r="CA74" i="18" s="1"/>
  <c r="BZ73" i="18"/>
  <c r="BZ40" i="18"/>
  <c r="BZ39" i="18"/>
  <c r="BZ38" i="18"/>
  <c r="BZ37" i="18"/>
  <c r="BZ36" i="18"/>
  <c r="BZ34" i="18"/>
  <c r="BZ33" i="18"/>
  <c r="BZ32" i="18"/>
  <c r="BZ31" i="18"/>
  <c r="BZ30" i="18"/>
  <c r="BZ29" i="18"/>
  <c r="BZ25" i="18"/>
  <c r="BZ24" i="18"/>
  <c r="BZ23" i="18"/>
  <c r="BZ22" i="18"/>
  <c r="BZ21" i="18"/>
  <c r="BZ20" i="18"/>
  <c r="BZ19" i="18"/>
  <c r="BZ17" i="18"/>
  <c r="BZ16" i="18"/>
  <c r="BZ15" i="18"/>
  <c r="BZ14" i="18"/>
  <c r="BZ13" i="18"/>
  <c r="BZ12" i="18"/>
  <c r="BZ11" i="18"/>
  <c r="BZ10" i="18"/>
  <c r="BZ9" i="18"/>
  <c r="BZ8" i="18"/>
  <c r="BZ7" i="18"/>
  <c r="BZ6" i="18"/>
  <c r="BZ5" i="18"/>
  <c r="AT6" i="38"/>
  <c r="BH6" i="38"/>
  <c r="AR108" i="18"/>
  <c r="AR120" i="18"/>
  <c r="AR118" i="18"/>
  <c r="AR116" i="18"/>
  <c r="AR114" i="18"/>
  <c r="BZ85" i="18" l="1"/>
  <c r="BH47" i="34"/>
  <c r="AX164" i="18" l="1"/>
  <c r="BD131" i="18" l="1"/>
  <c r="BD132" i="18" s="1"/>
  <c r="BC131" i="18"/>
  <c r="BC132" i="18" s="1"/>
  <c r="BB131" i="18"/>
  <c r="BB132" i="18" s="1"/>
  <c r="BA131" i="18"/>
  <c r="BA132" i="18" s="1"/>
  <c r="AZ131" i="18"/>
  <c r="AY132" i="18"/>
  <c r="AX131" i="18"/>
  <c r="AX132" i="18" s="1"/>
  <c r="AW131" i="18"/>
  <c r="AW132" i="18" s="1"/>
  <c r="AV131" i="18"/>
  <c r="AV132" i="18" s="1"/>
  <c r="AZ132" i="18" l="1"/>
  <c r="CO131" i="18"/>
  <c r="CY131" i="18" s="1"/>
  <c r="AU172" i="34"/>
  <c r="AR9" i="36"/>
  <c r="AR10" i="36"/>
  <c r="AR12" i="36"/>
  <c r="AR13" i="36"/>
  <c r="AR15" i="36"/>
  <c r="AR6" i="36"/>
  <c r="AR7" i="36"/>
  <c r="AR8" i="36"/>
  <c r="AG95" i="34"/>
  <c r="AT95" i="34" s="1"/>
  <c r="AV69" i="18" l="1"/>
  <c r="AV68" i="18"/>
  <c r="AV67" i="18"/>
  <c r="AV66" i="18"/>
  <c r="AV65" i="18"/>
  <c r="AV64" i="18"/>
  <c r="AV63" i="18"/>
  <c r="AV62" i="18"/>
  <c r="BZ164" i="18"/>
  <c r="BX164" i="18"/>
  <c r="BD164" i="18"/>
  <c r="BC164" i="18"/>
  <c r="BB164" i="18"/>
  <c r="BA164" i="18"/>
  <c r="AZ164" i="18"/>
  <c r="CO164" i="18" s="1"/>
  <c r="CY164" i="18" s="1"/>
  <c r="AY164" i="18"/>
  <c r="AW164" i="18"/>
  <c r="AV164" i="18"/>
  <c r="AU164" i="18"/>
  <c r="AT164" i="18"/>
  <c r="AS164" i="18"/>
  <c r="W164" i="18"/>
  <c r="CB164" i="18" s="1"/>
  <c r="AS5" i="18"/>
  <c r="BH102" i="34"/>
  <c r="AR102" i="34"/>
  <c r="BE102" i="34" s="1"/>
  <c r="AQ102" i="34"/>
  <c r="BD102" i="34" s="1"/>
  <c r="AP102" i="34"/>
  <c r="BC102" i="34" s="1"/>
  <c r="AO102" i="34"/>
  <c r="BB102" i="34" s="1"/>
  <c r="AN102" i="34"/>
  <c r="AM102" i="34"/>
  <c r="AZ102" i="34" s="1"/>
  <c r="AL102" i="34"/>
  <c r="AY102" i="34" s="1"/>
  <c r="AK102" i="34"/>
  <c r="AX102" i="34" s="1"/>
  <c r="AJ102" i="34"/>
  <c r="AW102" i="34" s="1"/>
  <c r="AI102" i="34"/>
  <c r="AV102" i="34" s="1"/>
  <c r="AH102" i="34"/>
  <c r="AU102" i="34" s="1"/>
  <c r="AG102" i="34"/>
  <c r="Q102" i="34"/>
  <c r="BJ102" i="34" s="1"/>
  <c r="BD84" i="18"/>
  <c r="BB84" i="18"/>
  <c r="BU84" i="18" s="1"/>
  <c r="BA84" i="18"/>
  <c r="BT84" i="18" s="1"/>
  <c r="AZ84" i="18"/>
  <c r="BS84" i="18" s="1"/>
  <c r="AY84" i="18"/>
  <c r="BR84" i="18" s="1"/>
  <c r="AX84" i="18"/>
  <c r="BQ84" i="18" s="1"/>
  <c r="AW84" i="18"/>
  <c r="BP84" i="18" s="1"/>
  <c r="AV84" i="18"/>
  <c r="BO84" i="18" s="1"/>
  <c r="AU84" i="18"/>
  <c r="BN84" i="18" s="1"/>
  <c r="AT84" i="18"/>
  <c r="BM84" i="18" s="1"/>
  <c r="AS84" i="18"/>
  <c r="BA102" i="34" l="1"/>
  <c r="BW102" i="34"/>
  <c r="CA102" i="34" s="1"/>
  <c r="BK84" i="18"/>
  <c r="CA84" i="18" s="1"/>
  <c r="BL84" i="18"/>
  <c r="BX84" i="18" s="1"/>
  <c r="CB84" i="18"/>
  <c r="AR84" i="18"/>
  <c r="BK164" i="18"/>
  <c r="CA164" i="18" s="1"/>
  <c r="AR164" i="18"/>
  <c r="AS102" i="34"/>
  <c r="AF102" i="34"/>
  <c r="BY84" i="18" l="1"/>
  <c r="BY164" i="18"/>
  <c r="BF102" i="34"/>
  <c r="BG102" i="34" s="1"/>
  <c r="BI102" i="34" l="1"/>
  <c r="BE151" i="38" l="1"/>
  <c r="BD151" i="38"/>
  <c r="BC151" i="38"/>
  <c r="BB151" i="38"/>
  <c r="BA151" i="38"/>
  <c r="AZ151" i="38"/>
  <c r="AY151" i="38"/>
  <c r="AX151" i="38"/>
  <c r="AW151" i="38"/>
  <c r="BW134" i="18"/>
  <c r="BV134" i="18"/>
  <c r="BU134" i="18"/>
  <c r="BT134" i="18"/>
  <c r="BS134" i="18"/>
  <c r="BR134" i="18"/>
  <c r="BQ134" i="18"/>
  <c r="BP134" i="18"/>
  <c r="BO134" i="18"/>
  <c r="BZ180" i="18" l="1"/>
  <c r="AS180" i="18"/>
  <c r="W180" i="18"/>
  <c r="CB180" i="18" s="1"/>
  <c r="CB220" i="18" s="1"/>
  <c r="BZ220" i="18" l="1"/>
  <c r="BL180" i="18"/>
  <c r="BX180" i="18" s="1"/>
  <c r="BV222" i="18"/>
  <c r="U60" i="32"/>
  <c r="D60" i="32"/>
  <c r="BK180" i="18"/>
  <c r="CA180" i="18" s="1"/>
  <c r="CA181" i="18" s="1"/>
  <c r="CA182" i="18" s="1"/>
  <c r="AJ46" i="34"/>
  <c r="AK46" i="34"/>
  <c r="AL46" i="34"/>
  <c r="AM46" i="34"/>
  <c r="AM47" i="34" s="1"/>
  <c r="AN46" i="34"/>
  <c r="AO46" i="34"/>
  <c r="AO47" i="34" s="1"/>
  <c r="AP46" i="34"/>
  <c r="AP47" i="34" s="1"/>
  <c r="AQ46" i="34"/>
  <c r="AR46" i="34"/>
  <c r="AR47" i="34" s="1"/>
  <c r="AJ23" i="20"/>
  <c r="AJ24" i="20" s="1"/>
  <c r="AW26" i="20" s="1"/>
  <c r="AK24" i="20"/>
  <c r="AX26" i="20" s="1"/>
  <c r="AL23" i="20"/>
  <c r="AL24" i="20" s="1"/>
  <c r="AY26" i="20" s="1"/>
  <c r="AM23" i="20"/>
  <c r="AM24" i="20" s="1"/>
  <c r="AZ26" i="20" s="1"/>
  <c r="AN23" i="20"/>
  <c r="AO24" i="20"/>
  <c r="AP23" i="20"/>
  <c r="AP24" i="20" s="1"/>
  <c r="BC26" i="20" s="1"/>
  <c r="AQ23" i="20"/>
  <c r="AQ24" i="20" s="1"/>
  <c r="BD26" i="20" s="1"/>
  <c r="AR23" i="20"/>
  <c r="AR24" i="20" s="1"/>
  <c r="BE26" i="20" s="1"/>
  <c r="AR5" i="20"/>
  <c r="AR6" i="20"/>
  <c r="BE6" i="20" s="1"/>
  <c r="AR7" i="20"/>
  <c r="BE7" i="20" s="1"/>
  <c r="AR8" i="20"/>
  <c r="BE8" i="20" s="1"/>
  <c r="AJ5" i="20"/>
  <c r="AK5" i="20"/>
  <c r="AL5" i="20"/>
  <c r="AM5" i="20"/>
  <c r="AN5" i="20"/>
  <c r="AO5" i="20"/>
  <c r="AP5" i="20"/>
  <c r="AQ5" i="20"/>
  <c r="AJ6" i="20"/>
  <c r="AW6" i="20" s="1"/>
  <c r="AK6" i="20"/>
  <c r="AX6" i="20" s="1"/>
  <c r="AL6" i="20"/>
  <c r="AY6" i="20" s="1"/>
  <c r="AM6" i="20"/>
  <c r="AZ6" i="20" s="1"/>
  <c r="AN6" i="20"/>
  <c r="AO6" i="20"/>
  <c r="BB6" i="20" s="1"/>
  <c r="AP6" i="20"/>
  <c r="BC6" i="20" s="1"/>
  <c r="AQ6" i="20"/>
  <c r="BD6" i="20" s="1"/>
  <c r="AJ7" i="20"/>
  <c r="AW7" i="20" s="1"/>
  <c r="AK7" i="20"/>
  <c r="AX7" i="20" s="1"/>
  <c r="AL7" i="20"/>
  <c r="AY7" i="20" s="1"/>
  <c r="AM7" i="20"/>
  <c r="AZ7" i="20" s="1"/>
  <c r="AN7" i="20"/>
  <c r="AO7" i="20"/>
  <c r="BB7" i="20" s="1"/>
  <c r="AP7" i="20"/>
  <c r="BC7" i="20" s="1"/>
  <c r="AQ7" i="20"/>
  <c r="BD7" i="20" s="1"/>
  <c r="AJ8" i="20"/>
  <c r="AW8" i="20" s="1"/>
  <c r="AK8" i="20"/>
  <c r="AX8" i="20" s="1"/>
  <c r="AL8" i="20"/>
  <c r="AY8" i="20" s="1"/>
  <c r="AM8" i="20"/>
  <c r="AZ8" i="20" s="1"/>
  <c r="AN8" i="20"/>
  <c r="BA8" i="20" s="1"/>
  <c r="AO8" i="20"/>
  <c r="BB8" i="20" s="1"/>
  <c r="AP8" i="20"/>
  <c r="BC8" i="20" s="1"/>
  <c r="AQ8" i="20"/>
  <c r="BD8" i="20" s="1"/>
  <c r="AI127" i="34"/>
  <c r="AI136" i="34" s="1"/>
  <c r="AJ127" i="34"/>
  <c r="AK127" i="34"/>
  <c r="AL127" i="34"/>
  <c r="AL136" i="34" s="1"/>
  <c r="AM127" i="34"/>
  <c r="AM136" i="34" s="1"/>
  <c r="AN127" i="34"/>
  <c r="AO127" i="34"/>
  <c r="AO136" i="34" s="1"/>
  <c r="AP127" i="34"/>
  <c r="AP136" i="34" s="1"/>
  <c r="AQ127" i="34"/>
  <c r="AQ136" i="34" s="1"/>
  <c r="AR127" i="34"/>
  <c r="AR136" i="34" s="1"/>
  <c r="AJ176" i="34"/>
  <c r="AK176" i="34"/>
  <c r="AL176" i="34"/>
  <c r="AM176" i="34"/>
  <c r="AN176" i="34"/>
  <c r="AO176" i="34"/>
  <c r="AP176" i="34"/>
  <c r="AQ176" i="34"/>
  <c r="AQ178" i="34" s="1"/>
  <c r="AR176" i="34"/>
  <c r="AJ94" i="34"/>
  <c r="AW94" i="34" s="1"/>
  <c r="AK94" i="34"/>
  <c r="AX94" i="34" s="1"/>
  <c r="AL94" i="34"/>
  <c r="AY94" i="34" s="1"/>
  <c r="AM94" i="34"/>
  <c r="AZ94" i="34" s="1"/>
  <c r="AN94" i="34"/>
  <c r="AO94" i="34"/>
  <c r="BB94" i="34" s="1"/>
  <c r="AP94" i="34"/>
  <c r="BC94" i="34" s="1"/>
  <c r="AQ94" i="34"/>
  <c r="BD94" i="34" s="1"/>
  <c r="AR94" i="34"/>
  <c r="BE94" i="34" s="1"/>
  <c r="AJ95" i="34"/>
  <c r="AW95" i="34" s="1"/>
  <c r="AK95" i="34"/>
  <c r="AX95" i="34" s="1"/>
  <c r="AL95" i="34"/>
  <c r="AY95" i="34" s="1"/>
  <c r="AM95" i="34"/>
  <c r="AZ95" i="34" s="1"/>
  <c r="AN95" i="34"/>
  <c r="AO95" i="34"/>
  <c r="BB95" i="34" s="1"/>
  <c r="AP95" i="34"/>
  <c r="BC95" i="34" s="1"/>
  <c r="AQ95" i="34"/>
  <c r="BD95" i="34" s="1"/>
  <c r="AR95" i="34"/>
  <c r="BE95" i="34" s="1"/>
  <c r="AJ96" i="34"/>
  <c r="AW96" i="34" s="1"/>
  <c r="AK96" i="34"/>
  <c r="AX96" i="34" s="1"/>
  <c r="AL96" i="34"/>
  <c r="AY96" i="34" s="1"/>
  <c r="AM96" i="34"/>
  <c r="AZ96" i="34" s="1"/>
  <c r="AN96" i="34"/>
  <c r="AO96" i="34"/>
  <c r="BB96" i="34" s="1"/>
  <c r="AP96" i="34"/>
  <c r="BC96" i="34" s="1"/>
  <c r="AQ96" i="34"/>
  <c r="BD96" i="34" s="1"/>
  <c r="AR96" i="34"/>
  <c r="BE96" i="34" s="1"/>
  <c r="AJ97" i="34"/>
  <c r="AW97" i="34" s="1"/>
  <c r="AK97" i="34"/>
  <c r="AX97" i="34" s="1"/>
  <c r="AL97" i="34"/>
  <c r="AY97" i="34" s="1"/>
  <c r="AM97" i="34"/>
  <c r="AZ97" i="34" s="1"/>
  <c r="AN97" i="34"/>
  <c r="AO97" i="34"/>
  <c r="BB97" i="34" s="1"/>
  <c r="AP97" i="34"/>
  <c r="BC97" i="34" s="1"/>
  <c r="AQ97" i="34"/>
  <c r="BD97" i="34" s="1"/>
  <c r="AR97" i="34"/>
  <c r="BE97" i="34" s="1"/>
  <c r="AJ98" i="34"/>
  <c r="AW98" i="34" s="1"/>
  <c r="AK98" i="34"/>
  <c r="AX98" i="34" s="1"/>
  <c r="AL98" i="34"/>
  <c r="AY98" i="34" s="1"/>
  <c r="AM98" i="34"/>
  <c r="AZ98" i="34" s="1"/>
  <c r="AN98" i="34"/>
  <c r="AO98" i="34"/>
  <c r="BB98" i="34" s="1"/>
  <c r="AP98" i="34"/>
  <c r="BC98" i="34" s="1"/>
  <c r="AQ98" i="34"/>
  <c r="BD98" i="34" s="1"/>
  <c r="AR98" i="34"/>
  <c r="BE98" i="34" s="1"/>
  <c r="AJ99" i="34"/>
  <c r="AW99" i="34" s="1"/>
  <c r="AK99" i="34"/>
  <c r="AX99" i="34" s="1"/>
  <c r="AL99" i="34"/>
  <c r="AY99" i="34" s="1"/>
  <c r="AM99" i="34"/>
  <c r="AZ99" i="34" s="1"/>
  <c r="AN99" i="34"/>
  <c r="AO99" i="34"/>
  <c r="BB99" i="34" s="1"/>
  <c r="AP99" i="34"/>
  <c r="BC99" i="34" s="1"/>
  <c r="AQ99" i="34"/>
  <c r="BD99" i="34" s="1"/>
  <c r="AR99" i="34"/>
  <c r="BE99" i="34" s="1"/>
  <c r="AJ100" i="34"/>
  <c r="AW100" i="34" s="1"/>
  <c r="AK100" i="34"/>
  <c r="AX100" i="34" s="1"/>
  <c r="AL100" i="34"/>
  <c r="AY100" i="34" s="1"/>
  <c r="AM100" i="34"/>
  <c r="AZ100" i="34" s="1"/>
  <c r="AN100" i="34"/>
  <c r="AO100" i="34"/>
  <c r="BB100" i="34" s="1"/>
  <c r="AP100" i="34"/>
  <c r="BC100" i="34" s="1"/>
  <c r="AQ100" i="34"/>
  <c r="BD100" i="34" s="1"/>
  <c r="AR100" i="34"/>
  <c r="BE100" i="34" s="1"/>
  <c r="AJ101" i="34"/>
  <c r="AW101" i="34" s="1"/>
  <c r="AK101" i="34"/>
  <c r="AX101" i="34" s="1"/>
  <c r="AL101" i="34"/>
  <c r="AY101" i="34" s="1"/>
  <c r="AM101" i="34"/>
  <c r="AZ101" i="34" s="1"/>
  <c r="AN101" i="34"/>
  <c r="AO101" i="34"/>
  <c r="BB101" i="34" s="1"/>
  <c r="AP101" i="34"/>
  <c r="BC101" i="34" s="1"/>
  <c r="AQ101" i="34"/>
  <c r="BD101" i="34" s="1"/>
  <c r="AR101" i="34"/>
  <c r="BE101" i="34" s="1"/>
  <c r="AJ70" i="34"/>
  <c r="AK70" i="34"/>
  <c r="AL70" i="34"/>
  <c r="AY70" i="34" s="1"/>
  <c r="AM70" i="34"/>
  <c r="AZ70" i="34" s="1"/>
  <c r="AN70" i="34"/>
  <c r="BW70" i="34" s="1"/>
  <c r="CA70" i="34" s="1"/>
  <c r="AO70" i="34"/>
  <c r="AP70" i="34"/>
  <c r="AQ70" i="34"/>
  <c r="BD70" i="34" s="1"/>
  <c r="AR70" i="34"/>
  <c r="BE70" i="34" s="1"/>
  <c r="AJ71" i="34"/>
  <c r="AW71" i="34" s="1"/>
  <c r="AK71" i="34"/>
  <c r="AX71" i="34" s="1"/>
  <c r="AL71" i="34"/>
  <c r="AY71" i="34" s="1"/>
  <c r="AM71" i="34"/>
  <c r="AZ71" i="34" s="1"/>
  <c r="AN71" i="34"/>
  <c r="AO71" i="34"/>
  <c r="BB71" i="34" s="1"/>
  <c r="AP71" i="34"/>
  <c r="BC71" i="34" s="1"/>
  <c r="AQ71" i="34"/>
  <c r="BD71" i="34" s="1"/>
  <c r="AR71" i="34"/>
  <c r="BE71" i="34" s="1"/>
  <c r="AJ72" i="34"/>
  <c r="AW72" i="34" s="1"/>
  <c r="AK72" i="34"/>
  <c r="AX72" i="34" s="1"/>
  <c r="AL72" i="34"/>
  <c r="AY72" i="34" s="1"/>
  <c r="AM72" i="34"/>
  <c r="AZ72" i="34" s="1"/>
  <c r="AN72" i="34"/>
  <c r="AO72" i="34"/>
  <c r="BB72" i="34" s="1"/>
  <c r="AP72" i="34"/>
  <c r="BC72" i="34" s="1"/>
  <c r="AQ72" i="34"/>
  <c r="BD72" i="34" s="1"/>
  <c r="AR72" i="34"/>
  <c r="BE72" i="34" s="1"/>
  <c r="AJ54" i="34"/>
  <c r="AK54" i="34"/>
  <c r="AL54" i="34"/>
  <c r="AM54" i="34"/>
  <c r="AN54" i="34"/>
  <c r="AO54" i="34"/>
  <c r="AP54" i="34"/>
  <c r="BC55" i="34" s="1"/>
  <c r="AQ54" i="34"/>
  <c r="AQ55" i="34" s="1"/>
  <c r="AR54" i="34"/>
  <c r="BE54" i="34" s="1"/>
  <c r="BE55" i="34" s="1"/>
  <c r="AJ168" i="34"/>
  <c r="AJ169" i="34" s="1"/>
  <c r="AK168" i="34"/>
  <c r="AX168" i="34" s="1"/>
  <c r="AX169" i="34" s="1"/>
  <c r="AL168" i="34"/>
  <c r="AY168" i="34" s="1"/>
  <c r="AY169" i="34" s="1"/>
  <c r="AM168" i="34"/>
  <c r="AZ168" i="34" s="1"/>
  <c r="AZ169" i="34" s="1"/>
  <c r="AN168" i="34"/>
  <c r="AO168" i="34"/>
  <c r="BB168" i="34" s="1"/>
  <c r="BB169" i="34" s="1"/>
  <c r="AP168" i="34"/>
  <c r="BC168" i="34" s="1"/>
  <c r="BC169" i="34" s="1"/>
  <c r="AQ168" i="34"/>
  <c r="BD168" i="34" s="1"/>
  <c r="BD169" i="34" s="1"/>
  <c r="AR168" i="34"/>
  <c r="AR169" i="34" s="1"/>
  <c r="AJ15" i="34"/>
  <c r="AK15" i="34"/>
  <c r="AL15" i="34"/>
  <c r="AM15" i="34"/>
  <c r="AZ15" i="34" s="1"/>
  <c r="AN15" i="34"/>
  <c r="BW15" i="34" s="1"/>
  <c r="CA15" i="34" s="1"/>
  <c r="AO15" i="34"/>
  <c r="AP15" i="34"/>
  <c r="AQ15" i="34"/>
  <c r="BD15" i="34" s="1"/>
  <c r="AR15" i="34"/>
  <c r="AJ16" i="34"/>
  <c r="AW16" i="34" s="1"/>
  <c r="AK16" i="34"/>
  <c r="AX16" i="34" s="1"/>
  <c r="AL16" i="34"/>
  <c r="AY16" i="34" s="1"/>
  <c r="AM16" i="34"/>
  <c r="AZ16" i="34" s="1"/>
  <c r="AN16" i="34"/>
  <c r="AO16" i="34"/>
  <c r="BB16" i="34" s="1"/>
  <c r="AP16" i="34"/>
  <c r="BC16" i="34" s="1"/>
  <c r="AQ16" i="34"/>
  <c r="BD16" i="34" s="1"/>
  <c r="AR16" i="34"/>
  <c r="BE16" i="34" s="1"/>
  <c r="AJ17" i="34"/>
  <c r="AW17" i="34" s="1"/>
  <c r="AK17" i="34"/>
  <c r="AX17" i="34" s="1"/>
  <c r="AL17" i="34"/>
  <c r="AY17" i="34" s="1"/>
  <c r="AM17" i="34"/>
  <c r="AZ17" i="34" s="1"/>
  <c r="AN17" i="34"/>
  <c r="AO17" i="34"/>
  <c r="BB17" i="34" s="1"/>
  <c r="AP17" i="34"/>
  <c r="BC17" i="34" s="1"/>
  <c r="AQ17" i="34"/>
  <c r="BD17" i="34" s="1"/>
  <c r="AR17" i="34"/>
  <c r="BE17" i="34" s="1"/>
  <c r="AJ6" i="34"/>
  <c r="AW6" i="34" s="1"/>
  <c r="AW7" i="34" s="1"/>
  <c r="AK6" i="34"/>
  <c r="AX6" i="34" s="1"/>
  <c r="AX7" i="34" s="1"/>
  <c r="AL6" i="34"/>
  <c r="AY6" i="34" s="1"/>
  <c r="AY7" i="34" s="1"/>
  <c r="AM6" i="34"/>
  <c r="AZ6" i="34" s="1"/>
  <c r="AZ7" i="34" s="1"/>
  <c r="AN6" i="34"/>
  <c r="AO6" i="34"/>
  <c r="AO7" i="34" s="1"/>
  <c r="AP6" i="34"/>
  <c r="BC6" i="34" s="1"/>
  <c r="BC7" i="34" s="1"/>
  <c r="AQ6" i="34"/>
  <c r="AQ7" i="34" s="1"/>
  <c r="AR6" i="34"/>
  <c r="BE6" i="34" s="1"/>
  <c r="BE7" i="34" s="1"/>
  <c r="AT109" i="36"/>
  <c r="BL109" i="36" s="1"/>
  <c r="AU109" i="36"/>
  <c r="BM109" i="36" s="1"/>
  <c r="AV109" i="36"/>
  <c r="BN109" i="36" s="1"/>
  <c r="AW109" i="36"/>
  <c r="BO109" i="36" s="1"/>
  <c r="AX109" i="36"/>
  <c r="CQ109" i="36" s="1"/>
  <c r="CU109" i="36" s="1"/>
  <c r="AY109" i="36"/>
  <c r="BQ109" i="36" s="1"/>
  <c r="AZ109" i="36"/>
  <c r="BR109" i="36" s="1"/>
  <c r="BA109" i="36"/>
  <c r="BS109" i="36" s="1"/>
  <c r="AT110" i="36"/>
  <c r="BL110" i="36" s="1"/>
  <c r="AU110" i="36"/>
  <c r="BM110" i="36" s="1"/>
  <c r="AV110" i="36"/>
  <c r="BN110" i="36" s="1"/>
  <c r="AW110" i="36"/>
  <c r="BO110" i="36" s="1"/>
  <c r="AX110" i="36"/>
  <c r="CQ110" i="36" s="1"/>
  <c r="CU110" i="36" s="1"/>
  <c r="AY110" i="36"/>
  <c r="BQ110" i="36" s="1"/>
  <c r="AZ110" i="36"/>
  <c r="BR110" i="36" s="1"/>
  <c r="BA110" i="36"/>
  <c r="BS110" i="36" s="1"/>
  <c r="AT111" i="36"/>
  <c r="BL111" i="36" s="1"/>
  <c r="AU111" i="36"/>
  <c r="BM111" i="36" s="1"/>
  <c r="AV111" i="36"/>
  <c r="BN111" i="36" s="1"/>
  <c r="AW111" i="36"/>
  <c r="BO111" i="36" s="1"/>
  <c r="AX111" i="36"/>
  <c r="CQ111" i="36" s="1"/>
  <c r="CU111" i="36" s="1"/>
  <c r="AY111" i="36"/>
  <c r="BQ111" i="36" s="1"/>
  <c r="AZ111" i="36"/>
  <c r="BR111" i="36" s="1"/>
  <c r="BA111" i="36"/>
  <c r="BS111" i="36" s="1"/>
  <c r="AT112" i="36"/>
  <c r="BL112" i="36" s="1"/>
  <c r="AU112" i="36"/>
  <c r="BM112" i="36" s="1"/>
  <c r="AV112" i="36"/>
  <c r="BN112" i="36" s="1"/>
  <c r="AW112" i="36"/>
  <c r="BO112" i="36" s="1"/>
  <c r="AX112" i="36"/>
  <c r="CQ112" i="36" s="1"/>
  <c r="CU112" i="36" s="1"/>
  <c r="AY112" i="36"/>
  <c r="BQ112" i="36" s="1"/>
  <c r="AZ112" i="36"/>
  <c r="BR112" i="36" s="1"/>
  <c r="BA112" i="36"/>
  <c r="BS112" i="36" s="1"/>
  <c r="AT114" i="36"/>
  <c r="BL114" i="36" s="1"/>
  <c r="AU114" i="36"/>
  <c r="BM114" i="36" s="1"/>
  <c r="AV114" i="36"/>
  <c r="BN114" i="36" s="1"/>
  <c r="AW114" i="36"/>
  <c r="BO114" i="36" s="1"/>
  <c r="AX114" i="36"/>
  <c r="CQ114" i="36" s="1"/>
  <c r="CU114" i="36" s="1"/>
  <c r="AY114" i="36"/>
  <c r="BQ114" i="36" s="1"/>
  <c r="AZ114" i="36"/>
  <c r="BR114" i="36" s="1"/>
  <c r="BA114" i="36"/>
  <c r="BS114" i="36" s="1"/>
  <c r="AT115" i="36"/>
  <c r="BL115" i="36" s="1"/>
  <c r="AU115" i="36"/>
  <c r="BM115" i="36" s="1"/>
  <c r="AV115" i="36"/>
  <c r="BN115" i="36" s="1"/>
  <c r="AW115" i="36"/>
  <c r="BO115" i="36" s="1"/>
  <c r="AX115" i="36"/>
  <c r="CQ115" i="36" s="1"/>
  <c r="CU115" i="36" s="1"/>
  <c r="AY115" i="36"/>
  <c r="BQ115" i="36" s="1"/>
  <c r="AZ115" i="36"/>
  <c r="BR115" i="36" s="1"/>
  <c r="BA115" i="36"/>
  <c r="BS115" i="36" s="1"/>
  <c r="AT116" i="36"/>
  <c r="BL116" i="36" s="1"/>
  <c r="AU116" i="36"/>
  <c r="BM116" i="36" s="1"/>
  <c r="AV116" i="36"/>
  <c r="BN116" i="36" s="1"/>
  <c r="AW116" i="36"/>
  <c r="BO116" i="36" s="1"/>
  <c r="AX116" i="36"/>
  <c r="CQ116" i="36" s="1"/>
  <c r="CU116" i="36" s="1"/>
  <c r="AY116" i="36"/>
  <c r="BQ116" i="36" s="1"/>
  <c r="AZ116" i="36"/>
  <c r="BR116" i="36" s="1"/>
  <c r="BA116" i="36"/>
  <c r="BS116" i="36" s="1"/>
  <c r="AT117" i="36"/>
  <c r="BL117" i="36" s="1"/>
  <c r="AU117" i="36"/>
  <c r="BM117" i="36" s="1"/>
  <c r="AV117" i="36"/>
  <c r="BN117" i="36" s="1"/>
  <c r="AW117" i="36"/>
  <c r="BO117" i="36" s="1"/>
  <c r="AX117" i="36"/>
  <c r="AY117" i="36"/>
  <c r="BQ117" i="36" s="1"/>
  <c r="AZ117" i="36"/>
  <c r="BR117" i="36" s="1"/>
  <c r="BA117" i="36"/>
  <c r="BS117" i="36" s="1"/>
  <c r="AT32" i="36"/>
  <c r="AU32" i="36"/>
  <c r="BM32" i="36" s="1"/>
  <c r="AV32" i="36"/>
  <c r="BN32" i="36" s="1"/>
  <c r="AW32" i="36"/>
  <c r="AX32" i="36"/>
  <c r="CQ32" i="36" s="1"/>
  <c r="CU32" i="36" s="1"/>
  <c r="AY32" i="36"/>
  <c r="AZ32" i="36"/>
  <c r="BA32" i="36"/>
  <c r="BS32" i="36" s="1"/>
  <c r="AT33" i="36"/>
  <c r="BL33" i="36" s="1"/>
  <c r="AU33" i="36"/>
  <c r="BM33" i="36" s="1"/>
  <c r="AV33" i="36"/>
  <c r="BN33" i="36" s="1"/>
  <c r="AW33" i="36"/>
  <c r="BO33" i="36" s="1"/>
  <c r="AX33" i="36"/>
  <c r="CQ33" i="36" s="1"/>
  <c r="CU33" i="36" s="1"/>
  <c r="AY33" i="36"/>
  <c r="BQ33" i="36" s="1"/>
  <c r="AZ33" i="36"/>
  <c r="BR33" i="36" s="1"/>
  <c r="BA33" i="36"/>
  <c r="BS33" i="36" s="1"/>
  <c r="AT34" i="36"/>
  <c r="BL34" i="36" s="1"/>
  <c r="AU34" i="36"/>
  <c r="BM34" i="36" s="1"/>
  <c r="AV34" i="36"/>
  <c r="BN34" i="36" s="1"/>
  <c r="AW34" i="36"/>
  <c r="BO34" i="36" s="1"/>
  <c r="AX34" i="36"/>
  <c r="AY34" i="36"/>
  <c r="BQ34" i="36" s="1"/>
  <c r="AZ34" i="36"/>
  <c r="BR34" i="36" s="1"/>
  <c r="BA34" i="36"/>
  <c r="BS34" i="36" s="1"/>
  <c r="AT100" i="36"/>
  <c r="BL100" i="36" s="1"/>
  <c r="AU100" i="36"/>
  <c r="BM100" i="36" s="1"/>
  <c r="AV100" i="36"/>
  <c r="BN100" i="36" s="1"/>
  <c r="AW100" i="36"/>
  <c r="BO100" i="36" s="1"/>
  <c r="AX100" i="36"/>
  <c r="BP100" i="36" s="1"/>
  <c r="AZ100" i="36"/>
  <c r="BR100" i="36" s="1"/>
  <c r="BA100" i="36"/>
  <c r="BS100" i="36" s="1"/>
  <c r="AT146" i="36"/>
  <c r="BL146" i="36" s="1"/>
  <c r="AU146" i="36"/>
  <c r="BM146" i="36" s="1"/>
  <c r="AV146" i="36"/>
  <c r="BN146" i="36" s="1"/>
  <c r="AW146" i="36"/>
  <c r="BO146" i="36" s="1"/>
  <c r="AX146" i="36"/>
  <c r="AY146" i="36"/>
  <c r="BQ146" i="36" s="1"/>
  <c r="AZ146" i="36"/>
  <c r="BR146" i="36" s="1"/>
  <c r="BA146" i="36"/>
  <c r="BS146" i="36" s="1"/>
  <c r="AT147" i="36"/>
  <c r="BL147" i="36" s="1"/>
  <c r="AU147" i="36"/>
  <c r="AV147" i="36"/>
  <c r="AW147" i="36"/>
  <c r="BO147" i="36" s="1"/>
  <c r="AX147" i="36"/>
  <c r="AY147" i="36"/>
  <c r="BQ147" i="36" s="1"/>
  <c r="AZ147" i="36"/>
  <c r="BR147" i="36" s="1"/>
  <c r="BA147" i="36"/>
  <c r="BS147" i="36" s="1"/>
  <c r="AT148" i="36"/>
  <c r="AU148" i="36"/>
  <c r="BM148" i="36" s="1"/>
  <c r="AV148" i="36"/>
  <c r="BN148" i="36" s="1"/>
  <c r="AW148" i="36"/>
  <c r="BO148" i="36" s="1"/>
  <c r="AX148" i="36"/>
  <c r="AY148" i="36"/>
  <c r="BQ148" i="36" s="1"/>
  <c r="AZ148" i="36"/>
  <c r="BR148" i="36" s="1"/>
  <c r="BA148" i="36"/>
  <c r="BS148" i="36" s="1"/>
  <c r="AT149" i="36"/>
  <c r="BL149" i="36" s="1"/>
  <c r="AU149" i="36"/>
  <c r="BM149" i="36" s="1"/>
  <c r="AV149" i="36"/>
  <c r="BN149" i="36" s="1"/>
  <c r="AW149" i="36"/>
  <c r="BO149" i="36" s="1"/>
  <c r="AX149" i="36"/>
  <c r="AY149" i="36"/>
  <c r="BQ149" i="36" s="1"/>
  <c r="AZ149" i="36"/>
  <c r="BR149" i="36" s="1"/>
  <c r="BA149" i="36"/>
  <c r="BS149" i="36" s="1"/>
  <c r="AT150" i="36"/>
  <c r="BL150" i="36" s="1"/>
  <c r="AU150" i="36"/>
  <c r="BM150" i="36" s="1"/>
  <c r="AV150" i="36"/>
  <c r="BN150" i="36" s="1"/>
  <c r="AW150" i="36"/>
  <c r="BO150" i="36" s="1"/>
  <c r="AX150" i="36"/>
  <c r="AY150" i="36"/>
  <c r="BQ150" i="36" s="1"/>
  <c r="AZ150" i="36"/>
  <c r="BR150" i="36" s="1"/>
  <c r="BA150" i="36"/>
  <c r="BS150" i="36" s="1"/>
  <c r="AT151" i="36"/>
  <c r="BL151" i="36" s="1"/>
  <c r="AU151" i="36"/>
  <c r="BM151" i="36" s="1"/>
  <c r="AV151" i="36"/>
  <c r="BN151" i="36" s="1"/>
  <c r="AW151" i="36"/>
  <c r="BO151" i="36" s="1"/>
  <c r="AX151" i="36"/>
  <c r="AY151" i="36"/>
  <c r="BQ151" i="36" s="1"/>
  <c r="AZ151" i="36"/>
  <c r="BR151" i="36" s="1"/>
  <c r="BA151" i="36"/>
  <c r="BS151" i="36" s="1"/>
  <c r="AT169" i="36"/>
  <c r="BL169" i="36" s="1"/>
  <c r="AU169" i="36"/>
  <c r="BM169" i="36" s="1"/>
  <c r="AV169" i="36"/>
  <c r="BN169" i="36" s="1"/>
  <c r="AW169" i="36"/>
  <c r="BO169" i="36" s="1"/>
  <c r="AX169" i="36"/>
  <c r="AY169" i="36"/>
  <c r="BQ169" i="36" s="1"/>
  <c r="AZ169" i="36"/>
  <c r="BR169" i="36" s="1"/>
  <c r="BA169" i="36"/>
  <c r="BS169" i="36" s="1"/>
  <c r="AT171" i="36"/>
  <c r="BL171" i="36" s="1"/>
  <c r="AU171" i="36"/>
  <c r="BM171" i="36" s="1"/>
  <c r="AV171" i="36"/>
  <c r="BN171" i="36" s="1"/>
  <c r="AW171" i="36"/>
  <c r="BO171" i="36" s="1"/>
  <c r="AX171" i="36"/>
  <c r="AY171" i="36"/>
  <c r="BQ171" i="36" s="1"/>
  <c r="AZ171" i="36"/>
  <c r="BR171" i="36" s="1"/>
  <c r="BA171" i="36"/>
  <c r="BS171" i="36" s="1"/>
  <c r="AT172" i="36"/>
  <c r="AU172" i="36"/>
  <c r="BM172" i="36" s="1"/>
  <c r="AV172" i="36"/>
  <c r="BN172" i="36" s="1"/>
  <c r="AW172" i="36"/>
  <c r="AX172" i="36"/>
  <c r="CQ172" i="36" s="1"/>
  <c r="CU172" i="36" s="1"/>
  <c r="AY172" i="36"/>
  <c r="BQ172" i="36" s="1"/>
  <c r="AZ172" i="36"/>
  <c r="BR172" i="36" s="1"/>
  <c r="BA172" i="36"/>
  <c r="BS172" i="36" s="1"/>
  <c r="AT173" i="36"/>
  <c r="BL173" i="36" s="1"/>
  <c r="AU173" i="36"/>
  <c r="BM173" i="36" s="1"/>
  <c r="AV173" i="36"/>
  <c r="BN173" i="36" s="1"/>
  <c r="AW173" i="36"/>
  <c r="BO173" i="36" s="1"/>
  <c r="AX173" i="36"/>
  <c r="AY173" i="36"/>
  <c r="BQ173" i="36" s="1"/>
  <c r="AZ173" i="36"/>
  <c r="BR173" i="36" s="1"/>
  <c r="BA173" i="36"/>
  <c r="BS173" i="36" s="1"/>
  <c r="AT175" i="36"/>
  <c r="BL175" i="36" s="1"/>
  <c r="AU175" i="36"/>
  <c r="BM175" i="36" s="1"/>
  <c r="AV175" i="36"/>
  <c r="BN175" i="36" s="1"/>
  <c r="AW175" i="36"/>
  <c r="BO175" i="36" s="1"/>
  <c r="AX175" i="36"/>
  <c r="AY175" i="36"/>
  <c r="BQ175" i="36" s="1"/>
  <c r="AZ175" i="36"/>
  <c r="BR175" i="36" s="1"/>
  <c r="BA175" i="36"/>
  <c r="BS175" i="36" s="1"/>
  <c r="AT176" i="36"/>
  <c r="BL176" i="36" s="1"/>
  <c r="AU176" i="36"/>
  <c r="BM176" i="36" s="1"/>
  <c r="AV176" i="36"/>
  <c r="BN176" i="36" s="1"/>
  <c r="AW176" i="36"/>
  <c r="BO176" i="36" s="1"/>
  <c r="AX176" i="36"/>
  <c r="AY176" i="36"/>
  <c r="BQ176" i="36" s="1"/>
  <c r="AZ176" i="36"/>
  <c r="BR176" i="36" s="1"/>
  <c r="BA176" i="36"/>
  <c r="BS176" i="36" s="1"/>
  <c r="AT177" i="36"/>
  <c r="BL177" i="36" s="1"/>
  <c r="AU177" i="36"/>
  <c r="BM177" i="36" s="1"/>
  <c r="AV177" i="36"/>
  <c r="BN177" i="36" s="1"/>
  <c r="AW177" i="36"/>
  <c r="BO177" i="36" s="1"/>
  <c r="AX177" i="36"/>
  <c r="AY177" i="36"/>
  <c r="BQ177" i="36" s="1"/>
  <c r="AZ177" i="36"/>
  <c r="BR177" i="36" s="1"/>
  <c r="BA177" i="36"/>
  <c r="BS177" i="36" s="1"/>
  <c r="AT178" i="36"/>
  <c r="BL178" i="36" s="1"/>
  <c r="AU178" i="36"/>
  <c r="BM178" i="36" s="1"/>
  <c r="AV178" i="36"/>
  <c r="BN178" i="36" s="1"/>
  <c r="AW178" i="36"/>
  <c r="BO178" i="36" s="1"/>
  <c r="AX178" i="36"/>
  <c r="AY178" i="36"/>
  <c r="BQ178" i="36" s="1"/>
  <c r="AZ178" i="36"/>
  <c r="BR178" i="36" s="1"/>
  <c r="BA178" i="36"/>
  <c r="BS178" i="36" s="1"/>
  <c r="AT179" i="36"/>
  <c r="BL179" i="36" s="1"/>
  <c r="AU179" i="36"/>
  <c r="BM179" i="36" s="1"/>
  <c r="AV179" i="36"/>
  <c r="BN179" i="36" s="1"/>
  <c r="AW179" i="36"/>
  <c r="BO179" i="36" s="1"/>
  <c r="AX179" i="36"/>
  <c r="AY179" i="36"/>
  <c r="BQ179" i="36" s="1"/>
  <c r="AZ179" i="36"/>
  <c r="BR179" i="36" s="1"/>
  <c r="BA179" i="36"/>
  <c r="BS179" i="36" s="1"/>
  <c r="AT183" i="36"/>
  <c r="BL183" i="36" s="1"/>
  <c r="AU183" i="36"/>
  <c r="BM183" i="36" s="1"/>
  <c r="AV183" i="36"/>
  <c r="BN183" i="36" s="1"/>
  <c r="AW183" i="36"/>
  <c r="BO183" i="36" s="1"/>
  <c r="AX183" i="36"/>
  <c r="AY183" i="36"/>
  <c r="BQ183" i="36" s="1"/>
  <c r="AZ183" i="36"/>
  <c r="BR183" i="36" s="1"/>
  <c r="BA183" i="36"/>
  <c r="BS183" i="36" s="1"/>
  <c r="AT184" i="36"/>
  <c r="BL184" i="36" s="1"/>
  <c r="AU184" i="36"/>
  <c r="BM184" i="36" s="1"/>
  <c r="AV184" i="36"/>
  <c r="BN184" i="36" s="1"/>
  <c r="AW184" i="36"/>
  <c r="BO184" i="36" s="1"/>
  <c r="AX184" i="36"/>
  <c r="AY184" i="36"/>
  <c r="BQ184" i="36" s="1"/>
  <c r="AZ184" i="36"/>
  <c r="BR184" i="36" s="1"/>
  <c r="BA184" i="36"/>
  <c r="BS184" i="36" s="1"/>
  <c r="AT185" i="36"/>
  <c r="BL185" i="36" s="1"/>
  <c r="AU185" i="36"/>
  <c r="BM185" i="36" s="1"/>
  <c r="AV185" i="36"/>
  <c r="BN185" i="36" s="1"/>
  <c r="AW185" i="36"/>
  <c r="BO185" i="36" s="1"/>
  <c r="AX185" i="36"/>
  <c r="AY185" i="36"/>
  <c r="BQ185" i="36" s="1"/>
  <c r="AZ185" i="36"/>
  <c r="BR185" i="36" s="1"/>
  <c r="BA185" i="36"/>
  <c r="BS185" i="36" s="1"/>
  <c r="AT6" i="36"/>
  <c r="AU6" i="36"/>
  <c r="AV6" i="36"/>
  <c r="AW6" i="36"/>
  <c r="AX6" i="36"/>
  <c r="CQ6" i="36" s="1"/>
  <c r="AZ6" i="36"/>
  <c r="BA6" i="36"/>
  <c r="AT7" i="36"/>
  <c r="AU7" i="36"/>
  <c r="AV7" i="36"/>
  <c r="AW7" i="36"/>
  <c r="AX7" i="36"/>
  <c r="CQ7" i="36" s="1"/>
  <c r="CU7" i="36" s="1"/>
  <c r="AZ7" i="36"/>
  <c r="BA7" i="36"/>
  <c r="AT8" i="36"/>
  <c r="AU8" i="36"/>
  <c r="AV8" i="36"/>
  <c r="AW8" i="36"/>
  <c r="AX8" i="36"/>
  <c r="CQ8" i="36" s="1"/>
  <c r="CU8" i="36" s="1"/>
  <c r="AZ8" i="36"/>
  <c r="BA8" i="36"/>
  <c r="AT9" i="36"/>
  <c r="AU9" i="36"/>
  <c r="AV9" i="36"/>
  <c r="AW9" i="36"/>
  <c r="AX9" i="36"/>
  <c r="CQ9" i="36" s="1"/>
  <c r="CU9" i="36" s="1"/>
  <c r="AZ9" i="36"/>
  <c r="BA9" i="36"/>
  <c r="AT10" i="36"/>
  <c r="AU10" i="36"/>
  <c r="AV10" i="36"/>
  <c r="AW10" i="36"/>
  <c r="AX10" i="36"/>
  <c r="CQ10" i="36" s="1"/>
  <c r="CU10" i="36" s="1"/>
  <c r="AZ10" i="36"/>
  <c r="BA10" i="36"/>
  <c r="AT12" i="36"/>
  <c r="AU12" i="36"/>
  <c r="AV12" i="36"/>
  <c r="AW12" i="36"/>
  <c r="AX12" i="36"/>
  <c r="AZ12" i="36"/>
  <c r="BA12" i="36"/>
  <c r="AT13" i="36"/>
  <c r="AU13" i="36"/>
  <c r="AV13" i="36"/>
  <c r="AW13" i="36"/>
  <c r="AX13" i="36"/>
  <c r="AZ13" i="36"/>
  <c r="BA13" i="36"/>
  <c r="AT15" i="36"/>
  <c r="AU15" i="36"/>
  <c r="AV15" i="36"/>
  <c r="AW15" i="36"/>
  <c r="AX15" i="36"/>
  <c r="CQ15" i="36" s="1"/>
  <c r="CU15" i="36" s="1"/>
  <c r="AZ15" i="36"/>
  <c r="BA15" i="36"/>
  <c r="AT16" i="36"/>
  <c r="AU16" i="36"/>
  <c r="AV16" i="36"/>
  <c r="AW16" i="36"/>
  <c r="AX16" i="36"/>
  <c r="CU16" i="36"/>
  <c r="AZ16" i="36"/>
  <c r="BA16" i="36"/>
  <c r="AJ234" i="38"/>
  <c r="AW234" i="38" s="1"/>
  <c r="AK234" i="38"/>
  <c r="AX234" i="38" s="1"/>
  <c r="AL234" i="38"/>
  <c r="AM234" i="38"/>
  <c r="AZ234" i="38" s="1"/>
  <c r="AN234" i="38"/>
  <c r="BW234" i="38" s="1"/>
  <c r="CA234" i="38" s="1"/>
  <c r="AO234" i="38"/>
  <c r="BB234" i="38" s="1"/>
  <c r="AP234" i="38"/>
  <c r="AQ234" i="38"/>
  <c r="AR234" i="38"/>
  <c r="BE234" i="38" s="1"/>
  <c r="AJ235" i="38"/>
  <c r="AW235" i="38" s="1"/>
  <c r="AK235" i="38"/>
  <c r="AL235" i="38"/>
  <c r="AY235" i="38" s="1"/>
  <c r="AM235" i="38"/>
  <c r="AZ235" i="38" s="1"/>
  <c r="AN235" i="38"/>
  <c r="AO235" i="38"/>
  <c r="BB235" i="38" s="1"/>
  <c r="AP235" i="38"/>
  <c r="BC235" i="38" s="1"/>
  <c r="AQ235" i="38"/>
  <c r="BD235" i="38" s="1"/>
  <c r="AR235" i="38"/>
  <c r="BE235" i="38" s="1"/>
  <c r="AJ167" i="38"/>
  <c r="AW167" i="38" s="1"/>
  <c r="AK167" i="38"/>
  <c r="AX167" i="38" s="1"/>
  <c r="AL167" i="38"/>
  <c r="AM167" i="38"/>
  <c r="AZ167" i="38" s="1"/>
  <c r="AN167" i="38"/>
  <c r="BW167" i="38" s="1"/>
  <c r="CA167" i="38" s="1"/>
  <c r="AO167" i="38"/>
  <c r="BB167" i="38" s="1"/>
  <c r="AP167" i="38"/>
  <c r="AQ167" i="38"/>
  <c r="AR167" i="38"/>
  <c r="BE167" i="38" s="1"/>
  <c r="AJ168" i="38"/>
  <c r="AW168" i="38" s="1"/>
  <c r="AK168" i="38"/>
  <c r="AX168" i="38" s="1"/>
  <c r="AL168" i="38"/>
  <c r="AY168" i="38" s="1"/>
  <c r="AM168" i="38"/>
  <c r="AZ168" i="38" s="1"/>
  <c r="AN168" i="38"/>
  <c r="AO168" i="38"/>
  <c r="BB168" i="38" s="1"/>
  <c r="AP168" i="38"/>
  <c r="BC168" i="38" s="1"/>
  <c r="AQ168" i="38"/>
  <c r="BD168" i="38" s="1"/>
  <c r="AR168" i="38"/>
  <c r="BE168" i="38" s="1"/>
  <c r="AJ169" i="38"/>
  <c r="AW169" i="38" s="1"/>
  <c r="AK169" i="38"/>
  <c r="AX169" i="38" s="1"/>
  <c r="AL169" i="38"/>
  <c r="AY169" i="38" s="1"/>
  <c r="AM169" i="38"/>
  <c r="AZ169" i="38" s="1"/>
  <c r="AN169" i="38"/>
  <c r="AO169" i="38"/>
  <c r="BB169" i="38" s="1"/>
  <c r="AP169" i="38"/>
  <c r="BC169" i="38" s="1"/>
  <c r="AQ169" i="38"/>
  <c r="BD169" i="38" s="1"/>
  <c r="AR169" i="38"/>
  <c r="BE169" i="38" s="1"/>
  <c r="AJ156" i="38"/>
  <c r="AK156" i="38"/>
  <c r="AX156" i="38" s="1"/>
  <c r="AL156" i="38"/>
  <c r="AY156" i="38" s="1"/>
  <c r="AM156" i="38"/>
  <c r="AZ156" i="38" s="1"/>
  <c r="AN156" i="38"/>
  <c r="AO156" i="38"/>
  <c r="BB156" i="38" s="1"/>
  <c r="AP156" i="38"/>
  <c r="AQ156" i="38"/>
  <c r="AR156" i="38"/>
  <c r="BE156" i="38" s="1"/>
  <c r="AJ157" i="38"/>
  <c r="AW157" i="38" s="1"/>
  <c r="AK157" i="38"/>
  <c r="AX157" i="38" s="1"/>
  <c r="AL157" i="38"/>
  <c r="AY157" i="38" s="1"/>
  <c r="AM157" i="38"/>
  <c r="AZ157" i="38" s="1"/>
  <c r="AN157" i="38"/>
  <c r="AO157" i="38"/>
  <c r="BB157" i="38" s="1"/>
  <c r="AP157" i="38"/>
  <c r="BC157" i="38" s="1"/>
  <c r="AQ157" i="38"/>
  <c r="BD157" i="38" s="1"/>
  <c r="AR157" i="38"/>
  <c r="BE157" i="38" s="1"/>
  <c r="AJ159" i="38"/>
  <c r="AW159" i="38" s="1"/>
  <c r="AK159" i="38"/>
  <c r="AX159" i="38" s="1"/>
  <c r="AL159" i="38"/>
  <c r="AM159" i="38"/>
  <c r="AZ159" i="38" s="1"/>
  <c r="AN159" i="38"/>
  <c r="AO159" i="38"/>
  <c r="BB159" i="38" s="1"/>
  <c r="AP159" i="38"/>
  <c r="BC159" i="38" s="1"/>
  <c r="AQ159" i="38"/>
  <c r="BD159" i="38" s="1"/>
  <c r="AR159" i="38"/>
  <c r="BE159" i="38" s="1"/>
  <c r="AJ134" i="38"/>
  <c r="AW134" i="38" s="1"/>
  <c r="AK134" i="38"/>
  <c r="AL134" i="38"/>
  <c r="AY134" i="38" s="1"/>
  <c r="AM134" i="38"/>
  <c r="AN134" i="38"/>
  <c r="BW134" i="38" s="1"/>
  <c r="CA134" i="38" s="1"/>
  <c r="AO134" i="38"/>
  <c r="AP134" i="38"/>
  <c r="BC134" i="38" s="1"/>
  <c r="AQ134" i="38"/>
  <c r="AR134" i="38"/>
  <c r="BE134" i="38" s="1"/>
  <c r="AJ135" i="38"/>
  <c r="AK135" i="38"/>
  <c r="AX135" i="38" s="1"/>
  <c r="AL135" i="38"/>
  <c r="AM135" i="38"/>
  <c r="AZ135" i="38" s="1"/>
  <c r="AN135" i="38"/>
  <c r="AO135" i="38"/>
  <c r="BB135" i="38" s="1"/>
  <c r="AP135" i="38"/>
  <c r="BC135" i="38" s="1"/>
  <c r="AQ135" i="38"/>
  <c r="BD135" i="38" s="1"/>
  <c r="AR135" i="38"/>
  <c r="AJ136" i="38"/>
  <c r="AW136" i="38" s="1"/>
  <c r="AK136" i="38"/>
  <c r="AX136" i="38" s="1"/>
  <c r="AL136" i="38"/>
  <c r="AY136" i="38" s="1"/>
  <c r="AM136" i="38"/>
  <c r="AZ136" i="38" s="1"/>
  <c r="AN136" i="38"/>
  <c r="AO136" i="38"/>
  <c r="BB136" i="38" s="1"/>
  <c r="AP136" i="38"/>
  <c r="BC136" i="38" s="1"/>
  <c r="AQ136" i="38"/>
  <c r="BD136" i="38" s="1"/>
  <c r="AR136" i="38"/>
  <c r="BE136" i="38" s="1"/>
  <c r="AJ137" i="38"/>
  <c r="AW137" i="38" s="1"/>
  <c r="AK137" i="38"/>
  <c r="AX137" i="38" s="1"/>
  <c r="AL137" i="38"/>
  <c r="AY137" i="38" s="1"/>
  <c r="AM137" i="38"/>
  <c r="AZ137" i="38" s="1"/>
  <c r="AN137" i="38"/>
  <c r="AO137" i="38"/>
  <c r="BB137" i="38" s="1"/>
  <c r="AP137" i="38"/>
  <c r="BC137" i="38" s="1"/>
  <c r="AQ137" i="38"/>
  <c r="BD137" i="38" s="1"/>
  <c r="AR137" i="38"/>
  <c r="BE137" i="38" s="1"/>
  <c r="AJ124" i="38"/>
  <c r="AK124" i="38"/>
  <c r="AX124" i="38" s="1"/>
  <c r="AL124" i="38"/>
  <c r="AM124" i="38"/>
  <c r="AN124" i="38"/>
  <c r="AO124" i="38"/>
  <c r="AP124" i="38"/>
  <c r="BC124" i="38" s="1"/>
  <c r="AQ124" i="38"/>
  <c r="AR124" i="38"/>
  <c r="BE124" i="38" s="1"/>
  <c r="AJ125" i="38"/>
  <c r="AW125" i="38" s="1"/>
  <c r="AK125" i="38"/>
  <c r="AX125" i="38" s="1"/>
  <c r="AL125" i="38"/>
  <c r="AY125" i="38" s="1"/>
  <c r="AM125" i="38"/>
  <c r="AZ125" i="38" s="1"/>
  <c r="AN125" i="38"/>
  <c r="AO125" i="38"/>
  <c r="BB125" i="38" s="1"/>
  <c r="AP125" i="38"/>
  <c r="BC125" i="38" s="1"/>
  <c r="AQ125" i="38"/>
  <c r="BD125" i="38" s="1"/>
  <c r="AR125" i="38"/>
  <c r="AJ126" i="38"/>
  <c r="AW126" i="38" s="1"/>
  <c r="AK126" i="38"/>
  <c r="AX126" i="38" s="1"/>
  <c r="AL126" i="38"/>
  <c r="AY126" i="38" s="1"/>
  <c r="AM126" i="38"/>
  <c r="AZ126" i="38" s="1"/>
  <c r="AN126" i="38"/>
  <c r="AO126" i="38"/>
  <c r="BB126" i="38" s="1"/>
  <c r="AP126" i="38"/>
  <c r="BC126" i="38" s="1"/>
  <c r="AQ126" i="38"/>
  <c r="BD126" i="38" s="1"/>
  <c r="AR126" i="38"/>
  <c r="BE126" i="38" s="1"/>
  <c r="AJ114" i="38"/>
  <c r="AW114" i="38" s="1"/>
  <c r="AK114" i="38"/>
  <c r="AL114" i="38"/>
  <c r="AY114" i="38" s="1"/>
  <c r="AM114" i="38"/>
  <c r="AZ114" i="38" s="1"/>
  <c r="AN114" i="38"/>
  <c r="BW114" i="38" s="1"/>
  <c r="AO114" i="38"/>
  <c r="BB114" i="38" s="1"/>
  <c r="AP114" i="38"/>
  <c r="AQ114" i="38"/>
  <c r="BD114" i="38" s="1"/>
  <c r="AR114" i="38"/>
  <c r="AJ115" i="38"/>
  <c r="AW115" i="38" s="1"/>
  <c r="AK115" i="38"/>
  <c r="AX115" i="38" s="1"/>
  <c r="AL115" i="38"/>
  <c r="AY115" i="38" s="1"/>
  <c r="AM115" i="38"/>
  <c r="AZ115" i="38" s="1"/>
  <c r="AN115" i="38"/>
  <c r="AO115" i="38"/>
  <c r="BB115" i="38" s="1"/>
  <c r="AP115" i="38"/>
  <c r="BC115" i="38" s="1"/>
  <c r="AQ115" i="38"/>
  <c r="BD115" i="38" s="1"/>
  <c r="AR115" i="38"/>
  <c r="BE115" i="38" s="1"/>
  <c r="AJ116" i="38"/>
  <c r="AW116" i="38" s="1"/>
  <c r="AK116" i="38"/>
  <c r="AX116" i="38" s="1"/>
  <c r="AL116" i="38"/>
  <c r="AY116" i="38" s="1"/>
  <c r="AM116" i="38"/>
  <c r="AZ116" i="38" s="1"/>
  <c r="AN116" i="38"/>
  <c r="AO116" i="38"/>
  <c r="BB116" i="38" s="1"/>
  <c r="AP116" i="38"/>
  <c r="BC116" i="38" s="1"/>
  <c r="AQ116" i="38"/>
  <c r="BD116" i="38" s="1"/>
  <c r="AR116" i="38"/>
  <c r="BE116" i="38" s="1"/>
  <c r="AJ103" i="38"/>
  <c r="AW103" i="38" s="1"/>
  <c r="AK103" i="38"/>
  <c r="AX103" i="38" s="1"/>
  <c r="AL103" i="38"/>
  <c r="AY103" i="38" s="1"/>
  <c r="AM103" i="38"/>
  <c r="AZ103" i="38" s="1"/>
  <c r="AN103" i="38"/>
  <c r="AO103" i="38"/>
  <c r="AP103" i="38"/>
  <c r="AQ103" i="38"/>
  <c r="AR103" i="38"/>
  <c r="BE103" i="38" s="1"/>
  <c r="AJ104" i="38"/>
  <c r="AK104" i="38"/>
  <c r="AX104" i="38" s="1"/>
  <c r="AL104" i="38"/>
  <c r="AY104" i="38" s="1"/>
  <c r="AM104" i="38"/>
  <c r="AZ104" i="38" s="1"/>
  <c r="AN104" i="38"/>
  <c r="AO104" i="38"/>
  <c r="BB104" i="38" s="1"/>
  <c r="AP104" i="38"/>
  <c r="BC104" i="38" s="1"/>
  <c r="AQ104" i="38"/>
  <c r="BD104" i="38" s="1"/>
  <c r="AR104" i="38"/>
  <c r="AJ105" i="38"/>
  <c r="AW105" i="38" s="1"/>
  <c r="AK105" i="38"/>
  <c r="AX105" i="38" s="1"/>
  <c r="AL105" i="38"/>
  <c r="AY105" i="38" s="1"/>
  <c r="AM105" i="38"/>
  <c r="AZ105" i="38" s="1"/>
  <c r="AN105" i="38"/>
  <c r="AO105" i="38"/>
  <c r="BB105" i="38" s="1"/>
  <c r="AP105" i="38"/>
  <c r="BC105" i="38" s="1"/>
  <c r="AQ105" i="38"/>
  <c r="BD105" i="38" s="1"/>
  <c r="AR105" i="38"/>
  <c r="BE105" i="38" s="1"/>
  <c r="AJ106" i="38"/>
  <c r="AW106" i="38" s="1"/>
  <c r="AK106" i="38"/>
  <c r="AX106" i="38" s="1"/>
  <c r="AL106" i="38"/>
  <c r="AY106" i="38" s="1"/>
  <c r="AM106" i="38"/>
  <c r="AN106" i="38"/>
  <c r="AO106" i="38"/>
  <c r="BB106" i="38" s="1"/>
  <c r="AP106" i="38"/>
  <c r="BC106" i="38" s="1"/>
  <c r="AQ106" i="38"/>
  <c r="BD106" i="38" s="1"/>
  <c r="AR106" i="38"/>
  <c r="BE106" i="38" s="1"/>
  <c r="AJ177" i="38"/>
  <c r="AW177" i="38" s="1"/>
  <c r="AK177" i="38"/>
  <c r="AX177" i="38" s="1"/>
  <c r="AL177" i="38"/>
  <c r="AM177" i="38"/>
  <c r="AZ177" i="38" s="1"/>
  <c r="AN177" i="38"/>
  <c r="BW177" i="38" s="1"/>
  <c r="CA177" i="38" s="1"/>
  <c r="AO177" i="38"/>
  <c r="BB177" i="38" s="1"/>
  <c r="AP177" i="38"/>
  <c r="AQ177" i="38"/>
  <c r="BD177" i="38" s="1"/>
  <c r="AR177" i="38"/>
  <c r="BE177" i="38" s="1"/>
  <c r="AJ178" i="38"/>
  <c r="AW178" i="38" s="1"/>
  <c r="AK178" i="38"/>
  <c r="AX178" i="38" s="1"/>
  <c r="AL178" i="38"/>
  <c r="AY178" i="38" s="1"/>
  <c r="AM178" i="38"/>
  <c r="AZ178" i="38" s="1"/>
  <c r="AN178" i="38"/>
  <c r="AO178" i="38"/>
  <c r="BB178" i="38" s="1"/>
  <c r="AP178" i="38"/>
  <c r="BC178" i="38" s="1"/>
  <c r="AQ178" i="38"/>
  <c r="BD178" i="38" s="1"/>
  <c r="AR178" i="38"/>
  <c r="BE178" i="38" s="1"/>
  <c r="AJ179" i="38"/>
  <c r="AW179" i="38" s="1"/>
  <c r="AK179" i="38"/>
  <c r="AX179" i="38" s="1"/>
  <c r="AL179" i="38"/>
  <c r="AY179" i="38" s="1"/>
  <c r="AM179" i="38"/>
  <c r="AZ179" i="38" s="1"/>
  <c r="AN179" i="38"/>
  <c r="AO179" i="38"/>
  <c r="BB179" i="38" s="1"/>
  <c r="AP179" i="38"/>
  <c r="BC179" i="38" s="1"/>
  <c r="AQ179" i="38"/>
  <c r="BD179" i="38" s="1"/>
  <c r="AR179" i="38"/>
  <c r="BE179" i="38" s="1"/>
  <c r="AJ182" i="38"/>
  <c r="AW182" i="38" s="1"/>
  <c r="AK182" i="38"/>
  <c r="AX182" i="38" s="1"/>
  <c r="AL182" i="38"/>
  <c r="AY182" i="38" s="1"/>
  <c r="AM182" i="38"/>
  <c r="AZ182" i="38" s="1"/>
  <c r="AN182" i="38"/>
  <c r="AO182" i="38"/>
  <c r="BB182" i="38" s="1"/>
  <c r="AP182" i="38"/>
  <c r="BC182" i="38" s="1"/>
  <c r="AQ182" i="38"/>
  <c r="BD182" i="38" s="1"/>
  <c r="AR182" i="38"/>
  <c r="BE182" i="38" s="1"/>
  <c r="AJ183" i="38"/>
  <c r="AW183" i="38" s="1"/>
  <c r="AK183" i="38"/>
  <c r="AX183" i="38" s="1"/>
  <c r="AL183" i="38"/>
  <c r="AY183" i="38" s="1"/>
  <c r="AM183" i="38"/>
  <c r="AZ183" i="38" s="1"/>
  <c r="AN183" i="38"/>
  <c r="AO183" i="38"/>
  <c r="BB183" i="38" s="1"/>
  <c r="AP183" i="38"/>
  <c r="BC183" i="38" s="1"/>
  <c r="AQ183" i="38"/>
  <c r="BD183" i="38" s="1"/>
  <c r="AR183" i="38"/>
  <c r="BE183" i="38" s="1"/>
  <c r="AJ184" i="38"/>
  <c r="AW184" i="38" s="1"/>
  <c r="AK184" i="38"/>
  <c r="AX184" i="38" s="1"/>
  <c r="AL184" i="38"/>
  <c r="AY184" i="38" s="1"/>
  <c r="AM184" i="38"/>
  <c r="AZ184" i="38" s="1"/>
  <c r="AN184" i="38"/>
  <c r="AO184" i="38"/>
  <c r="BB184" i="38" s="1"/>
  <c r="AP184" i="38"/>
  <c r="BC184" i="38" s="1"/>
  <c r="AQ184" i="38"/>
  <c r="BD184" i="38" s="1"/>
  <c r="AR184" i="38"/>
  <c r="BE184" i="38" s="1"/>
  <c r="AJ224" i="38"/>
  <c r="AK224" i="38"/>
  <c r="AL224" i="38"/>
  <c r="BU224" i="38" s="1"/>
  <c r="AM224" i="38"/>
  <c r="AN224" i="38"/>
  <c r="BW224" i="38" s="1"/>
  <c r="AO224" i="38"/>
  <c r="AO227" i="38" s="1"/>
  <c r="BB229" i="38" s="1"/>
  <c r="AP224" i="38"/>
  <c r="AQ224" i="38"/>
  <c r="AR224" i="38"/>
  <c r="AJ225" i="38"/>
  <c r="AW225" i="38" s="1"/>
  <c r="AW227" i="38" s="1"/>
  <c r="AK225" i="38"/>
  <c r="AX225" i="38" s="1"/>
  <c r="AL225" i="38"/>
  <c r="AM225" i="38"/>
  <c r="AN225" i="38"/>
  <c r="AQ225" i="38"/>
  <c r="BD225" i="38" s="1"/>
  <c r="AR225" i="38"/>
  <c r="BE225" i="38" s="1"/>
  <c r="AJ226" i="38"/>
  <c r="AW226" i="38" s="1"/>
  <c r="AK226" i="38"/>
  <c r="AL226" i="38"/>
  <c r="AM226" i="38"/>
  <c r="AN226" i="38"/>
  <c r="BC226" i="38"/>
  <c r="AQ226" i="38"/>
  <c r="BD226" i="38" s="1"/>
  <c r="AR226" i="38"/>
  <c r="BE226" i="38" s="1"/>
  <c r="AJ215" i="38"/>
  <c r="AW215" i="38" s="1"/>
  <c r="AK215" i="38"/>
  <c r="AX215" i="38" s="1"/>
  <c r="AL215" i="38"/>
  <c r="AM215" i="38"/>
  <c r="AZ215" i="38" s="1"/>
  <c r="AN215" i="38"/>
  <c r="BW215" i="38" s="1"/>
  <c r="CA215" i="38" s="1"/>
  <c r="AO215" i="38"/>
  <c r="AP215" i="38"/>
  <c r="BC215" i="38" s="1"/>
  <c r="AQ215" i="38"/>
  <c r="AR215" i="38"/>
  <c r="BE215" i="38" s="1"/>
  <c r="AJ216" i="38"/>
  <c r="AW216" i="38" s="1"/>
  <c r="AK216" i="38"/>
  <c r="AX216" i="38" s="1"/>
  <c r="AL216" i="38"/>
  <c r="AY216" i="38" s="1"/>
  <c r="AM216" i="38"/>
  <c r="AZ216" i="38" s="1"/>
  <c r="AN216" i="38"/>
  <c r="AO216" i="38"/>
  <c r="BB216" i="38" s="1"/>
  <c r="AP216" i="38"/>
  <c r="BC216" i="38" s="1"/>
  <c r="AQ216" i="38"/>
  <c r="BD216" i="38" s="1"/>
  <c r="AR216" i="38"/>
  <c r="BE216" i="38" s="1"/>
  <c r="AJ206" i="38"/>
  <c r="AW206" i="38" s="1"/>
  <c r="AK206" i="38"/>
  <c r="AL206" i="38"/>
  <c r="AM206" i="38"/>
  <c r="AZ206" i="38" s="1"/>
  <c r="AN206" i="38"/>
  <c r="AO206" i="38"/>
  <c r="BB206" i="38" s="1"/>
  <c r="AP206" i="38"/>
  <c r="AQ206" i="38"/>
  <c r="AR206" i="38"/>
  <c r="BE206" i="38" s="1"/>
  <c r="AJ207" i="38"/>
  <c r="AW207" i="38" s="1"/>
  <c r="AK207" i="38"/>
  <c r="AX207" i="38" s="1"/>
  <c r="AL207" i="38"/>
  <c r="AY207" i="38" s="1"/>
  <c r="AM207" i="38"/>
  <c r="AZ207" i="38" s="1"/>
  <c r="AN207" i="38"/>
  <c r="AO207" i="38"/>
  <c r="BB207" i="38" s="1"/>
  <c r="AP207" i="38"/>
  <c r="BC207" i="38" s="1"/>
  <c r="AQ207" i="38"/>
  <c r="BD207" i="38" s="1"/>
  <c r="AR207" i="38"/>
  <c r="BE207" i="38" s="1"/>
  <c r="AJ70" i="38"/>
  <c r="AK70" i="38"/>
  <c r="AX70" i="38" s="1"/>
  <c r="AL70" i="38"/>
  <c r="AY70" i="38" s="1"/>
  <c r="AM70" i="38"/>
  <c r="AZ70" i="38" s="1"/>
  <c r="AN70" i="38"/>
  <c r="BW70" i="38" s="1"/>
  <c r="CA70" i="38" s="1"/>
  <c r="AO70" i="38"/>
  <c r="BB70" i="38" s="1"/>
  <c r="AP70" i="38"/>
  <c r="BC70" i="38" s="1"/>
  <c r="AQ70" i="38"/>
  <c r="AR70" i="38"/>
  <c r="BE70" i="38" s="1"/>
  <c r="AJ71" i="38"/>
  <c r="AW71" i="38" s="1"/>
  <c r="AK71" i="38"/>
  <c r="AX71" i="38" s="1"/>
  <c r="AL71" i="38"/>
  <c r="AY71" i="38" s="1"/>
  <c r="AM71" i="38"/>
  <c r="AZ71" i="38" s="1"/>
  <c r="AN71" i="38"/>
  <c r="AO71" i="38"/>
  <c r="BB71" i="38" s="1"/>
  <c r="AP71" i="38"/>
  <c r="BC71" i="38" s="1"/>
  <c r="AQ71" i="38"/>
  <c r="BD71" i="38" s="1"/>
  <c r="AR71" i="38"/>
  <c r="BE71" i="38" s="1"/>
  <c r="AJ73" i="38"/>
  <c r="AW73" i="38" s="1"/>
  <c r="AK73" i="38"/>
  <c r="AX73" i="38" s="1"/>
  <c r="AL73" i="38"/>
  <c r="AY73" i="38" s="1"/>
  <c r="AM73" i="38"/>
  <c r="AZ73" i="38" s="1"/>
  <c r="AN73" i="38"/>
  <c r="AO73" i="38"/>
  <c r="BB73" i="38" s="1"/>
  <c r="AP73" i="38"/>
  <c r="BC73" i="38" s="1"/>
  <c r="AQ73" i="38"/>
  <c r="BD73" i="38" s="1"/>
  <c r="AR73" i="38"/>
  <c r="BE73" i="38" s="1"/>
  <c r="AJ59" i="38"/>
  <c r="AW59" i="38" s="1"/>
  <c r="AK59" i="38"/>
  <c r="AL59" i="38"/>
  <c r="AY59" i="38" s="1"/>
  <c r="AM59" i="38"/>
  <c r="AN59" i="38"/>
  <c r="AO59" i="38"/>
  <c r="AP59" i="38"/>
  <c r="AQ59" i="38"/>
  <c r="BD59" i="38" s="1"/>
  <c r="AR59" i="38"/>
  <c r="BE59" i="38" s="1"/>
  <c r="AJ60" i="38"/>
  <c r="AW60" i="38" s="1"/>
  <c r="AK60" i="38"/>
  <c r="AX60" i="38" s="1"/>
  <c r="AL60" i="38"/>
  <c r="AY60" i="38" s="1"/>
  <c r="AM60" i="38"/>
  <c r="AZ60" i="38" s="1"/>
  <c r="AN60" i="38"/>
  <c r="AO60" i="38"/>
  <c r="BB60" i="38" s="1"/>
  <c r="AP60" i="38"/>
  <c r="BC60" i="38" s="1"/>
  <c r="AQ60" i="38"/>
  <c r="BD60" i="38" s="1"/>
  <c r="AR60" i="38"/>
  <c r="BE60" i="38" s="1"/>
  <c r="AJ61" i="38"/>
  <c r="AW61" i="38" s="1"/>
  <c r="AK61" i="38"/>
  <c r="AX61" i="38" s="1"/>
  <c r="AL61" i="38"/>
  <c r="AY61" i="38" s="1"/>
  <c r="AM61" i="38"/>
  <c r="AZ61" i="38" s="1"/>
  <c r="AN61" i="38"/>
  <c r="AO61" i="38"/>
  <c r="BB61" i="38" s="1"/>
  <c r="AP61" i="38"/>
  <c r="BC61" i="38" s="1"/>
  <c r="AQ61" i="38"/>
  <c r="BD61" i="38" s="1"/>
  <c r="AR61" i="38"/>
  <c r="BE61" i="38" s="1"/>
  <c r="AJ62" i="38"/>
  <c r="AW62" i="38" s="1"/>
  <c r="AK62" i="38"/>
  <c r="AX62" i="38" s="1"/>
  <c r="AL62" i="38"/>
  <c r="AY62" i="38" s="1"/>
  <c r="AM62" i="38"/>
  <c r="AZ62" i="38" s="1"/>
  <c r="AN62" i="38"/>
  <c r="AO62" i="38"/>
  <c r="BB62" i="38" s="1"/>
  <c r="AP62" i="38"/>
  <c r="BC62" i="38" s="1"/>
  <c r="AQ62" i="38"/>
  <c r="BD62" i="38" s="1"/>
  <c r="AR62" i="38"/>
  <c r="AJ48" i="38"/>
  <c r="AW48" i="38" s="1"/>
  <c r="AK48" i="38"/>
  <c r="AL48" i="38"/>
  <c r="AY48" i="38" s="1"/>
  <c r="AM48" i="38"/>
  <c r="AN48" i="38"/>
  <c r="BW48" i="38" s="1"/>
  <c r="CA48" i="38" s="1"/>
  <c r="AO48" i="38"/>
  <c r="BB48" i="38" s="1"/>
  <c r="AP48" i="38"/>
  <c r="AQ48" i="38"/>
  <c r="AR48" i="38"/>
  <c r="BE48" i="38" s="1"/>
  <c r="AJ49" i="38"/>
  <c r="AW49" i="38" s="1"/>
  <c r="AK49" i="38"/>
  <c r="AX49" i="38" s="1"/>
  <c r="AL49" i="38"/>
  <c r="AM49" i="38"/>
  <c r="AZ49" i="38" s="1"/>
  <c r="AN49" i="38"/>
  <c r="AO49" i="38"/>
  <c r="BB49" i="38" s="1"/>
  <c r="AP49" i="38"/>
  <c r="BC49" i="38" s="1"/>
  <c r="AQ49" i="38"/>
  <c r="BD49" i="38" s="1"/>
  <c r="AR49" i="38"/>
  <c r="BE49" i="38" s="1"/>
  <c r="AJ50" i="38"/>
  <c r="AW50" i="38" s="1"/>
  <c r="AK50" i="38"/>
  <c r="AX50" i="38" s="1"/>
  <c r="AL50" i="38"/>
  <c r="AY50" i="38" s="1"/>
  <c r="AM50" i="38"/>
  <c r="AZ50" i="38" s="1"/>
  <c r="AN50" i="38"/>
  <c r="AO50" i="38"/>
  <c r="BB50" i="38" s="1"/>
  <c r="AP50" i="38"/>
  <c r="BC50" i="38" s="1"/>
  <c r="AQ50" i="38"/>
  <c r="BD50" i="38" s="1"/>
  <c r="AR50" i="38"/>
  <c r="BE50" i="38" s="1"/>
  <c r="AJ51" i="38"/>
  <c r="AW51" i="38" s="1"/>
  <c r="AK51" i="38"/>
  <c r="AX51" i="38" s="1"/>
  <c r="AL51" i="38"/>
  <c r="AY51" i="38" s="1"/>
  <c r="AM51" i="38"/>
  <c r="AZ51" i="38" s="1"/>
  <c r="AN51" i="38"/>
  <c r="AO51" i="38"/>
  <c r="BB51" i="38" s="1"/>
  <c r="AP51" i="38"/>
  <c r="BC51" i="38" s="1"/>
  <c r="AQ51" i="38"/>
  <c r="BD51" i="38" s="1"/>
  <c r="AR51" i="38"/>
  <c r="BE51" i="38" s="1"/>
  <c r="AJ38" i="38"/>
  <c r="AW38" i="38" s="1"/>
  <c r="AK38" i="38"/>
  <c r="AL38" i="38"/>
  <c r="AM38" i="38"/>
  <c r="AZ38" i="38" s="1"/>
  <c r="AN38" i="38"/>
  <c r="AO38" i="38"/>
  <c r="AP38" i="38"/>
  <c r="AQ38" i="38"/>
  <c r="BD38" i="38" s="1"/>
  <c r="AR38" i="38"/>
  <c r="BE38" i="38" s="1"/>
  <c r="AJ39" i="38"/>
  <c r="AK39" i="38"/>
  <c r="AX39" i="38" s="1"/>
  <c r="AL39" i="38"/>
  <c r="AY39" i="38" s="1"/>
  <c r="AM39" i="38"/>
  <c r="AN39" i="38"/>
  <c r="AO39" i="38"/>
  <c r="BB39" i="38" s="1"/>
  <c r="AP39" i="38"/>
  <c r="BC39" i="38" s="1"/>
  <c r="AQ39" i="38"/>
  <c r="BD39" i="38" s="1"/>
  <c r="AR39" i="38"/>
  <c r="BE39" i="38" s="1"/>
  <c r="AJ40" i="38"/>
  <c r="AW40" i="38" s="1"/>
  <c r="AK40" i="38"/>
  <c r="AX40" i="38" s="1"/>
  <c r="AL40" i="38"/>
  <c r="AY40" i="38" s="1"/>
  <c r="AM40" i="38"/>
  <c r="AZ40" i="38" s="1"/>
  <c r="AN40" i="38"/>
  <c r="AO40" i="38"/>
  <c r="BB40" i="38" s="1"/>
  <c r="AP40" i="38"/>
  <c r="BC40" i="38" s="1"/>
  <c r="AQ40" i="38"/>
  <c r="BD40" i="38" s="1"/>
  <c r="AR40" i="38"/>
  <c r="BE40" i="38" s="1"/>
  <c r="AJ28" i="38"/>
  <c r="AK28" i="38"/>
  <c r="AX28" i="38" s="1"/>
  <c r="AL28" i="38"/>
  <c r="AY28" i="38" s="1"/>
  <c r="AM28" i="38"/>
  <c r="AZ28" i="38" s="1"/>
  <c r="AN28" i="38"/>
  <c r="BW28" i="38" s="1"/>
  <c r="CA28" i="38" s="1"/>
  <c r="AO28" i="38"/>
  <c r="AP28" i="38"/>
  <c r="BC28" i="38" s="1"/>
  <c r="AQ28" i="38"/>
  <c r="AR28" i="38"/>
  <c r="BE28" i="38" s="1"/>
  <c r="AJ29" i="38"/>
  <c r="AW29" i="38" s="1"/>
  <c r="AK29" i="38"/>
  <c r="AX29" i="38" s="1"/>
  <c r="AL29" i="38"/>
  <c r="AY29" i="38" s="1"/>
  <c r="AM29" i="38"/>
  <c r="AZ29" i="38" s="1"/>
  <c r="AN29" i="38"/>
  <c r="AO29" i="38"/>
  <c r="BB29" i="38" s="1"/>
  <c r="AP29" i="38"/>
  <c r="BC29" i="38" s="1"/>
  <c r="AQ29" i="38"/>
  <c r="BD29" i="38" s="1"/>
  <c r="AR29" i="38"/>
  <c r="BE29" i="38" s="1"/>
  <c r="AJ30" i="38"/>
  <c r="AW30" i="38" s="1"/>
  <c r="AK30" i="38"/>
  <c r="AX30" i="38" s="1"/>
  <c r="AL30" i="38"/>
  <c r="AY30" i="38" s="1"/>
  <c r="AM30" i="38"/>
  <c r="AZ30" i="38" s="1"/>
  <c r="AN30" i="38"/>
  <c r="AO30" i="38"/>
  <c r="BB30" i="38" s="1"/>
  <c r="AP30" i="38"/>
  <c r="BC30" i="38" s="1"/>
  <c r="AQ30" i="38"/>
  <c r="BD30" i="38" s="1"/>
  <c r="AR30" i="38"/>
  <c r="BE30" i="38" s="1"/>
  <c r="AJ17" i="38"/>
  <c r="AW17" i="38" s="1"/>
  <c r="AK17" i="38"/>
  <c r="AL17" i="38"/>
  <c r="AY17" i="38" s="1"/>
  <c r="AM17" i="38"/>
  <c r="AN17" i="38"/>
  <c r="AO17" i="38"/>
  <c r="BB17" i="38" s="1"/>
  <c r="AP17" i="38"/>
  <c r="AQ17" i="38"/>
  <c r="BD17" i="38" s="1"/>
  <c r="AR17" i="38"/>
  <c r="BE17" i="38" s="1"/>
  <c r="AJ18" i="38"/>
  <c r="AW18" i="38" s="1"/>
  <c r="AK18" i="38"/>
  <c r="AX18" i="38" s="1"/>
  <c r="AL18" i="38"/>
  <c r="AY18" i="38" s="1"/>
  <c r="AM18" i="38"/>
  <c r="AZ18" i="38" s="1"/>
  <c r="AN18" i="38"/>
  <c r="AO18" i="38"/>
  <c r="BB18" i="38" s="1"/>
  <c r="AP18" i="38"/>
  <c r="BC18" i="38" s="1"/>
  <c r="AQ18" i="38"/>
  <c r="BD18" i="38" s="1"/>
  <c r="AR18" i="38"/>
  <c r="BE18" i="38" s="1"/>
  <c r="AJ19" i="38"/>
  <c r="AW19" i="38" s="1"/>
  <c r="AK19" i="38"/>
  <c r="AX19" i="38" s="1"/>
  <c r="AL19" i="38"/>
  <c r="AY19" i="38" s="1"/>
  <c r="AM19" i="38"/>
  <c r="AZ19" i="38" s="1"/>
  <c r="AN19" i="38"/>
  <c r="AO19" i="38"/>
  <c r="BB19" i="38" s="1"/>
  <c r="AP19" i="38"/>
  <c r="BC19" i="38" s="1"/>
  <c r="AQ19" i="38"/>
  <c r="BD19" i="38" s="1"/>
  <c r="AR19" i="38"/>
  <c r="BE19" i="38" s="1"/>
  <c r="AJ20" i="38"/>
  <c r="AW20" i="38" s="1"/>
  <c r="AK20" i="38"/>
  <c r="AX20" i="38" s="1"/>
  <c r="AL20" i="38"/>
  <c r="AY20" i="38" s="1"/>
  <c r="AM20" i="38"/>
  <c r="AZ20" i="38" s="1"/>
  <c r="AN20" i="38"/>
  <c r="AO20" i="38"/>
  <c r="BB20" i="38" s="1"/>
  <c r="AP20" i="38"/>
  <c r="BC20" i="38" s="1"/>
  <c r="AQ20" i="38"/>
  <c r="BD20" i="38" s="1"/>
  <c r="AR20" i="38"/>
  <c r="AJ6" i="38"/>
  <c r="AW6" i="38" s="1"/>
  <c r="AK6" i="38"/>
  <c r="AL6" i="38"/>
  <c r="AY6" i="38" s="1"/>
  <c r="AM6" i="38"/>
  <c r="AN6" i="38"/>
  <c r="BW6" i="38" s="1"/>
  <c r="CA6" i="38" s="1"/>
  <c r="AO6" i="38"/>
  <c r="BB6" i="38" s="1"/>
  <c r="AP6" i="38"/>
  <c r="AQ6" i="38"/>
  <c r="AR6" i="38"/>
  <c r="BE6" i="38" s="1"/>
  <c r="AJ7" i="38"/>
  <c r="AW7" i="38" s="1"/>
  <c r="AK7" i="38"/>
  <c r="AX7" i="38" s="1"/>
  <c r="AL7" i="38"/>
  <c r="AM7" i="38"/>
  <c r="AZ7" i="38" s="1"/>
  <c r="AN7" i="38"/>
  <c r="AO7" i="38"/>
  <c r="BB7" i="38" s="1"/>
  <c r="AP7" i="38"/>
  <c r="BC7" i="38" s="1"/>
  <c r="AQ7" i="38"/>
  <c r="BD7" i="38" s="1"/>
  <c r="AR7" i="38"/>
  <c r="BE7" i="38" s="1"/>
  <c r="AJ8" i="38"/>
  <c r="AW8" i="38" s="1"/>
  <c r="AK8" i="38"/>
  <c r="AX8" i="38" s="1"/>
  <c r="AL8" i="38"/>
  <c r="AY8" i="38" s="1"/>
  <c r="AM8" i="38"/>
  <c r="AZ8" i="38" s="1"/>
  <c r="AN8" i="38"/>
  <c r="AO8" i="38"/>
  <c r="BB8" i="38" s="1"/>
  <c r="AP8" i="38"/>
  <c r="BC8" i="38" s="1"/>
  <c r="AQ8" i="38"/>
  <c r="BD8" i="38" s="1"/>
  <c r="AR8" i="38"/>
  <c r="BE8" i="38" s="1"/>
  <c r="AJ9" i="38"/>
  <c r="AW9" i="38" s="1"/>
  <c r="AK9" i="38"/>
  <c r="AX9" i="38" s="1"/>
  <c r="AL9" i="38"/>
  <c r="AY9" i="38" s="1"/>
  <c r="AM9" i="38"/>
  <c r="AZ9" i="38" s="1"/>
  <c r="AN9" i="38"/>
  <c r="AO9" i="38"/>
  <c r="BB9" i="38" s="1"/>
  <c r="AP9" i="38"/>
  <c r="BC9" i="38" s="1"/>
  <c r="AQ9" i="38"/>
  <c r="BD9" i="38" s="1"/>
  <c r="AR9" i="38"/>
  <c r="BE9" i="38" s="1"/>
  <c r="AI6" i="38"/>
  <c r="CA183" i="18" l="1"/>
  <c r="CA184" i="18" s="1"/>
  <c r="CA185" i="18" s="1"/>
  <c r="CA186" i="18" s="1"/>
  <c r="CA187" i="18" s="1"/>
  <c r="CA188" i="18" s="1"/>
  <c r="CA189" i="18" s="1"/>
  <c r="CA190" i="18" s="1"/>
  <c r="CA191" i="18" s="1"/>
  <c r="CA192" i="18" s="1"/>
  <c r="CA193" i="18" s="1"/>
  <c r="CA194" i="18" s="1"/>
  <c r="CA195" i="18" s="1"/>
  <c r="CA196" i="18" s="1"/>
  <c r="CA197" i="18" s="1"/>
  <c r="CA198" i="18" s="1"/>
  <c r="CA199" i="18" s="1"/>
  <c r="CA200" i="18" s="1"/>
  <c r="CA201" i="18" s="1"/>
  <c r="CA202" i="18" s="1"/>
  <c r="CA203" i="18" s="1"/>
  <c r="CA204" i="18" s="1"/>
  <c r="CA205" i="18" s="1"/>
  <c r="CA206" i="18" s="1"/>
  <c r="CA207" i="18" s="1"/>
  <c r="CA208" i="18" s="1"/>
  <c r="CA209" i="18" s="1"/>
  <c r="CA210" i="18" s="1"/>
  <c r="CA211" i="18" s="1"/>
  <c r="CA212" i="18" s="1"/>
  <c r="CA213" i="18" s="1"/>
  <c r="CA214" i="18" s="1"/>
  <c r="CA215" i="18" s="1"/>
  <c r="CA216" i="18" s="1"/>
  <c r="CA217" i="18" s="1"/>
  <c r="CA218" i="18" s="1"/>
  <c r="CA219" i="18" s="1"/>
  <c r="BK7" i="20"/>
  <c r="BM7" i="20" s="1"/>
  <c r="BA7" i="20"/>
  <c r="AE11" i="40"/>
  <c r="BW127" i="34"/>
  <c r="CA127" i="34" s="1"/>
  <c r="AN136" i="34"/>
  <c r="CA224" i="38"/>
  <c r="BA235" i="38"/>
  <c r="BW235" i="38"/>
  <c r="CA235" i="38" s="1"/>
  <c r="BA8" i="38"/>
  <c r="BW8" i="38"/>
  <c r="CA8" i="38" s="1"/>
  <c r="BA29" i="38"/>
  <c r="BW29" i="38"/>
  <c r="CA29" i="38" s="1"/>
  <c r="BA207" i="38"/>
  <c r="BW207" i="38"/>
  <c r="CA207" i="38" s="1"/>
  <c r="BA179" i="38"/>
  <c r="BW179" i="38"/>
  <c r="CA179" i="38" s="1"/>
  <c r="BA115" i="38"/>
  <c r="BW115" i="38"/>
  <c r="BA168" i="38"/>
  <c r="BW168" i="38"/>
  <c r="CA168" i="38" s="1"/>
  <c r="BA17" i="38"/>
  <c r="BW17" i="38"/>
  <c r="CA17" i="38" s="1"/>
  <c r="BA50" i="38"/>
  <c r="BW50" i="38"/>
  <c r="CA50" i="38" s="1"/>
  <c r="BA182" i="38"/>
  <c r="BW182" i="38"/>
  <c r="CA182" i="38" s="1"/>
  <c r="BA7" i="38"/>
  <c r="BW7" i="38"/>
  <c r="CA7" i="38" s="1"/>
  <c r="BA62" i="38"/>
  <c r="BW62" i="38"/>
  <c r="CA62" i="38" s="1"/>
  <c r="BA206" i="38"/>
  <c r="BW206" i="38"/>
  <c r="CA206" i="38" s="1"/>
  <c r="BA178" i="38"/>
  <c r="BW178" i="38"/>
  <c r="CA178" i="38" s="1"/>
  <c r="BA159" i="38"/>
  <c r="BW159" i="38"/>
  <c r="CA159" i="38" s="1"/>
  <c r="BA18" i="38"/>
  <c r="BW18" i="38"/>
  <c r="CA18" i="38" s="1"/>
  <c r="BA51" i="38"/>
  <c r="BW51" i="38"/>
  <c r="CA51" i="38" s="1"/>
  <c r="BA104" i="38"/>
  <c r="BW104" i="38"/>
  <c r="BA183" i="38"/>
  <c r="BW183" i="38"/>
  <c r="CA183" i="38" s="1"/>
  <c r="BA103" i="38"/>
  <c r="BW103" i="38"/>
  <c r="BA136" i="38"/>
  <c r="BW136" i="38"/>
  <c r="CA136" i="38" s="1"/>
  <c r="AX227" i="38"/>
  <c r="BA40" i="38"/>
  <c r="BW40" i="38"/>
  <c r="CA40" i="38" s="1"/>
  <c r="BA61" i="38"/>
  <c r="BW61" i="38"/>
  <c r="CA61" i="38" s="1"/>
  <c r="BA216" i="38"/>
  <c r="BW216" i="38"/>
  <c r="CA216" i="38" s="1"/>
  <c r="BA126" i="38"/>
  <c r="BW126" i="38"/>
  <c r="CA126" i="38" s="1"/>
  <c r="BA157" i="38"/>
  <c r="BW157" i="38"/>
  <c r="CA157" i="38" s="1"/>
  <c r="BA73" i="38"/>
  <c r="BW73" i="38"/>
  <c r="CA73" i="38" s="1"/>
  <c r="AZ226" i="38"/>
  <c r="BU226" i="38"/>
  <c r="BA184" i="38"/>
  <c r="BW184" i="38"/>
  <c r="CA184" i="38" s="1"/>
  <c r="BA30" i="38"/>
  <c r="BW30" i="38"/>
  <c r="CA30" i="38" s="1"/>
  <c r="BA49" i="38"/>
  <c r="BW49" i="38"/>
  <c r="CA49" i="38" s="1"/>
  <c r="BA116" i="38"/>
  <c r="BW116" i="38"/>
  <c r="BA135" i="38"/>
  <c r="BW135" i="38"/>
  <c r="CA135" i="38" s="1"/>
  <c r="BA20" i="38"/>
  <c r="BW20" i="38"/>
  <c r="CA20" i="38" s="1"/>
  <c r="BA39" i="38"/>
  <c r="BA41" i="38" s="1"/>
  <c r="BW39" i="38"/>
  <c r="CA39" i="38" s="1"/>
  <c r="BA60" i="38"/>
  <c r="BW60" i="38"/>
  <c r="CA60" i="38" s="1"/>
  <c r="BA225" i="38"/>
  <c r="BV225" i="38"/>
  <c r="BA106" i="38"/>
  <c r="BA107" i="38" s="1"/>
  <c r="BW106" i="38"/>
  <c r="BA125" i="38"/>
  <c r="BW125" i="38"/>
  <c r="CA125" i="38" s="1"/>
  <c r="BA156" i="38"/>
  <c r="BW156" i="38"/>
  <c r="CA156" i="38" s="1"/>
  <c r="BA137" i="38"/>
  <c r="BW137" i="38"/>
  <c r="CA137" i="38" s="1"/>
  <c r="BA71" i="38"/>
  <c r="BW71" i="38"/>
  <c r="CA71" i="38" s="1"/>
  <c r="BA9" i="38"/>
  <c r="BW9" i="38"/>
  <c r="CA9" i="38" s="1"/>
  <c r="BA19" i="38"/>
  <c r="BW19" i="38"/>
  <c r="CA19" i="38" s="1"/>
  <c r="BA38" i="38"/>
  <c r="BW38" i="38"/>
  <c r="CA38" i="38" s="1"/>
  <c r="BA59" i="38"/>
  <c r="BW59" i="38"/>
  <c r="CA59" i="38" s="1"/>
  <c r="BA226" i="38"/>
  <c r="BV226" i="38"/>
  <c r="BU225" i="38"/>
  <c r="BU227" i="38" s="1"/>
  <c r="BA105" i="38"/>
  <c r="BW105" i="38"/>
  <c r="BA124" i="38"/>
  <c r="BW124" i="38"/>
  <c r="CA124" i="38" s="1"/>
  <c r="BA169" i="38"/>
  <c r="BW169" i="38"/>
  <c r="CA169" i="38" s="1"/>
  <c r="BP179" i="36"/>
  <c r="CQ179" i="36"/>
  <c r="CU179" i="36" s="1"/>
  <c r="BP169" i="36"/>
  <c r="CQ169" i="36"/>
  <c r="CU169" i="36" s="1"/>
  <c r="BP34" i="36"/>
  <c r="CQ34" i="36"/>
  <c r="CU34" i="36" s="1"/>
  <c r="BP178" i="36"/>
  <c r="CQ178" i="36"/>
  <c r="CU178" i="36" s="1"/>
  <c r="BP151" i="36"/>
  <c r="CQ151" i="36"/>
  <c r="CU151" i="36" s="1"/>
  <c r="BP183" i="36"/>
  <c r="CQ183" i="36"/>
  <c r="CU183" i="36" s="1"/>
  <c r="DE13" i="36"/>
  <c r="DH13" i="36" s="1"/>
  <c r="CR13" i="36"/>
  <c r="CU13" i="36" s="1"/>
  <c r="DE12" i="36"/>
  <c r="CR12" i="36"/>
  <c r="AZ25" i="36"/>
  <c r="BP177" i="36"/>
  <c r="CQ177" i="36"/>
  <c r="CU177" i="36" s="1"/>
  <c r="BP150" i="36"/>
  <c r="CQ150" i="36"/>
  <c r="CU150" i="36" s="1"/>
  <c r="BP117" i="36"/>
  <c r="CQ117" i="36"/>
  <c r="CU117" i="36" s="1"/>
  <c r="CQ25" i="36"/>
  <c r="BP176" i="36"/>
  <c r="CQ176" i="36"/>
  <c r="CU176" i="36" s="1"/>
  <c r="BP149" i="36"/>
  <c r="CQ149" i="36"/>
  <c r="CU149" i="36" s="1"/>
  <c r="BP175" i="36"/>
  <c r="CQ175" i="36"/>
  <c r="CU175" i="36" s="1"/>
  <c r="BP148" i="36"/>
  <c r="CQ148" i="36"/>
  <c r="CU148" i="36" s="1"/>
  <c r="BP185" i="36"/>
  <c r="CQ185" i="36"/>
  <c r="CU185" i="36" s="1"/>
  <c r="BP173" i="36"/>
  <c r="CQ173" i="36"/>
  <c r="CU173" i="36" s="1"/>
  <c r="BP147" i="36"/>
  <c r="CQ147" i="36"/>
  <c r="CU147" i="36" s="1"/>
  <c r="DE100" i="36"/>
  <c r="CR100" i="36"/>
  <c r="CR101" i="36" s="1"/>
  <c r="BP171" i="36"/>
  <c r="CQ171" i="36"/>
  <c r="CU171" i="36" s="1"/>
  <c r="BP184" i="36"/>
  <c r="CQ184" i="36"/>
  <c r="CU184" i="36" s="1"/>
  <c r="BP146" i="36"/>
  <c r="CQ146" i="36"/>
  <c r="CU146" i="36" s="1"/>
  <c r="BA71" i="34"/>
  <c r="BW71" i="34"/>
  <c r="CA71" i="34" s="1"/>
  <c r="BA95" i="34"/>
  <c r="BW95" i="34"/>
  <c r="CA95" i="34" s="1"/>
  <c r="BA96" i="34"/>
  <c r="BW96" i="34"/>
  <c r="CA96" i="34" s="1"/>
  <c r="BA6" i="34"/>
  <c r="BA7" i="34" s="1"/>
  <c r="BW6" i="34"/>
  <c r="CA6" i="34" s="1"/>
  <c r="BA94" i="34"/>
  <c r="BW94" i="34"/>
  <c r="CA94" i="34" s="1"/>
  <c r="BV54" i="34"/>
  <c r="CI54" i="34"/>
  <c r="CN54" i="34" s="1"/>
  <c r="BA72" i="34"/>
  <c r="BW72" i="34"/>
  <c r="CA72" i="34" s="1"/>
  <c r="BA17" i="34"/>
  <c r="BW17" i="34"/>
  <c r="CA17" i="34" s="1"/>
  <c r="BA101" i="34"/>
  <c r="BW101" i="34"/>
  <c r="CA101" i="34" s="1"/>
  <c r="AN178" i="34"/>
  <c r="BW178" i="34" s="1"/>
  <c r="CA178" i="34" s="1"/>
  <c r="BW176" i="34"/>
  <c r="CA176" i="34" s="1"/>
  <c r="AN47" i="34"/>
  <c r="BW47" i="34" s="1"/>
  <c r="CA47" i="34" s="1"/>
  <c r="BW46" i="34"/>
  <c r="CA46" i="34" s="1"/>
  <c r="AZ54" i="34"/>
  <c r="AZ55" i="34" s="1"/>
  <c r="BA16" i="34"/>
  <c r="BW16" i="34"/>
  <c r="CA16" i="34" s="1"/>
  <c r="BA100" i="34"/>
  <c r="BW100" i="34"/>
  <c r="CA100" i="34" s="1"/>
  <c r="BA97" i="34"/>
  <c r="BW97" i="34"/>
  <c r="CA97" i="34" s="1"/>
  <c r="BA99" i="34"/>
  <c r="BW99" i="34"/>
  <c r="CA99" i="34" s="1"/>
  <c r="BA168" i="34"/>
  <c r="BA169" i="34" s="1"/>
  <c r="BW168" i="34"/>
  <c r="CA168" i="34" s="1"/>
  <c r="BB55" i="34"/>
  <c r="BW54" i="34"/>
  <c r="CA54" i="34" s="1"/>
  <c r="BA98" i="34"/>
  <c r="BW98" i="34"/>
  <c r="CA98" i="34" s="1"/>
  <c r="AX15" i="20"/>
  <c r="AO15" i="20"/>
  <c r="AW5" i="20"/>
  <c r="AW15" i="20" s="1"/>
  <c r="AJ15" i="20"/>
  <c r="AN15" i="20"/>
  <c r="BE5" i="20"/>
  <c r="BE15" i="20" s="1"/>
  <c r="AR15" i="20"/>
  <c r="AK15" i="20"/>
  <c r="BD5" i="20"/>
  <c r="BD15" i="20" s="1"/>
  <c r="AQ15" i="20"/>
  <c r="BC5" i="20"/>
  <c r="BC15" i="20" s="1"/>
  <c r="AP15" i="20"/>
  <c r="AM15" i="20"/>
  <c r="AL15" i="20"/>
  <c r="BW8" i="20"/>
  <c r="BK8" i="20" s="1"/>
  <c r="BM8" i="20" s="1"/>
  <c r="BB5" i="20"/>
  <c r="BV8" i="20"/>
  <c r="CI8" i="20"/>
  <c r="CN8" i="20" s="1"/>
  <c r="BA6" i="20"/>
  <c r="BA15" i="20" s="1"/>
  <c r="BK6" i="20"/>
  <c r="BM6" i="20" s="1"/>
  <c r="BK5" i="20"/>
  <c r="BB26" i="20"/>
  <c r="AN24" i="20"/>
  <c r="CA226" i="38"/>
  <c r="AI117" i="38"/>
  <c r="CD114" i="38"/>
  <c r="CN114" i="38" s="1"/>
  <c r="BQ114" i="38"/>
  <c r="CA114" i="38" s="1"/>
  <c r="BQ116" i="38"/>
  <c r="CD115" i="38"/>
  <c r="CN115" i="38" s="1"/>
  <c r="BQ115" i="38"/>
  <c r="AN55" i="34"/>
  <c r="CA55" i="34" s="1"/>
  <c r="CA7" i="20"/>
  <c r="CA5" i="20"/>
  <c r="BP7" i="36"/>
  <c r="BP116" i="36"/>
  <c r="BN12" i="36"/>
  <c r="BN8" i="36"/>
  <c r="BM16" i="36"/>
  <c r="BM15" i="36"/>
  <c r="BM13" i="36"/>
  <c r="BM12" i="36"/>
  <c r="BM10" i="36"/>
  <c r="BM9" i="36"/>
  <c r="BM8" i="36"/>
  <c r="BM7" i="36"/>
  <c r="BM6" i="36"/>
  <c r="BP114" i="36"/>
  <c r="BP110" i="36"/>
  <c r="BP15" i="36"/>
  <c r="BP9" i="36"/>
  <c r="BO15" i="36"/>
  <c r="BO10" i="36"/>
  <c r="BO7" i="36"/>
  <c r="BN15" i="36"/>
  <c r="BN10" i="36"/>
  <c r="BL16" i="36"/>
  <c r="BL13" i="36"/>
  <c r="BL12" i="36"/>
  <c r="BL10" i="36"/>
  <c r="BL9" i="36"/>
  <c r="BL8" i="36"/>
  <c r="BL7" i="36"/>
  <c r="BL6" i="36"/>
  <c r="BP112" i="36"/>
  <c r="BP33" i="36"/>
  <c r="BP109" i="36"/>
  <c r="BP10" i="36"/>
  <c r="BP8" i="36"/>
  <c r="BP6" i="36"/>
  <c r="BO16" i="36"/>
  <c r="BO13" i="36"/>
  <c r="BO12" i="36"/>
  <c r="BO9" i="36"/>
  <c r="BO8" i="36"/>
  <c r="BN13" i="36"/>
  <c r="BN9" i="36"/>
  <c r="BN7" i="36"/>
  <c r="BN6" i="36"/>
  <c r="BP115" i="36"/>
  <c r="BP111" i="36"/>
  <c r="BA101" i="36"/>
  <c r="BS103" i="36" s="1"/>
  <c r="BS101" i="36"/>
  <c r="BR101" i="36"/>
  <c r="AY101" i="36"/>
  <c r="BQ103" i="36" s="1"/>
  <c r="AZ5" i="20"/>
  <c r="AZ15" i="20" s="1"/>
  <c r="AY5" i="20"/>
  <c r="AY15" i="20" s="1"/>
  <c r="AY54" i="34"/>
  <c r="AY55" i="34" s="1"/>
  <c r="AX54" i="34"/>
  <c r="AX55" i="34" s="1"/>
  <c r="AX176" i="34"/>
  <c r="AX178" i="34" s="1"/>
  <c r="AK178" i="34"/>
  <c r="BE176" i="34"/>
  <c r="BE178" i="34" s="1"/>
  <c r="AR178" i="34"/>
  <c r="AW176" i="34"/>
  <c r="AW178" i="34" s="1"/>
  <c r="AJ178" i="34"/>
  <c r="AY176" i="34"/>
  <c r="AY178" i="34" s="1"/>
  <c r="AL178" i="34"/>
  <c r="BC176" i="34"/>
  <c r="BC178" i="34" s="1"/>
  <c r="AP178" i="34"/>
  <c r="BB176" i="34"/>
  <c r="BB178" i="34" s="1"/>
  <c r="AO178" i="34"/>
  <c r="AZ176" i="34"/>
  <c r="AZ178" i="34" s="1"/>
  <c r="AM178" i="34"/>
  <c r="AV101" i="36"/>
  <c r="BN103" i="36" s="1"/>
  <c r="BD127" i="34"/>
  <c r="BD136" i="34" s="1"/>
  <c r="BC127" i="34"/>
  <c r="BC136" i="34" s="1"/>
  <c r="BB127" i="34"/>
  <c r="BB136" i="34" s="1"/>
  <c r="AZ127" i="34"/>
  <c r="AZ136" i="34" s="1"/>
  <c r="BA127" i="34"/>
  <c r="BA136" i="34" s="1"/>
  <c r="BW136" i="34"/>
  <c r="CA136" i="34" s="1"/>
  <c r="BE127" i="34"/>
  <c r="BE136" i="34" s="1"/>
  <c r="AW127" i="34"/>
  <c r="AW136" i="34" s="1"/>
  <c r="AY46" i="34"/>
  <c r="AY47" i="34" s="1"/>
  <c r="AL47" i="34"/>
  <c r="AX46" i="34"/>
  <c r="AX47" i="34" s="1"/>
  <c r="AK47" i="34"/>
  <c r="AW46" i="34"/>
  <c r="AW47" i="34" s="1"/>
  <c r="AJ47" i="34"/>
  <c r="BD46" i="34"/>
  <c r="BD47" i="34" s="1"/>
  <c r="AQ47" i="34"/>
  <c r="AW54" i="34"/>
  <c r="AW55" i="34" s="1"/>
  <c r="AK169" i="34"/>
  <c r="AX171" i="34" s="1"/>
  <c r="AT25" i="36"/>
  <c r="BM222" i="18"/>
  <c r="AM55" i="34"/>
  <c r="AO169" i="34"/>
  <c r="BB171" i="34" s="1"/>
  <c r="AL55" i="34"/>
  <c r="AL7" i="34"/>
  <c r="AY9" i="34" s="1"/>
  <c r="AN169" i="34"/>
  <c r="AJ55" i="34"/>
  <c r="AP169" i="34"/>
  <c r="BC171" i="34" s="1"/>
  <c r="AM169" i="34"/>
  <c r="AZ171" i="34" s="1"/>
  <c r="AQ169" i="34"/>
  <c r="BD171" i="34" s="1"/>
  <c r="AL169" i="34"/>
  <c r="AY171" i="34" s="1"/>
  <c r="AO55" i="34"/>
  <c r="BB57" i="34" s="1"/>
  <c r="AN7" i="34"/>
  <c r="AM7" i="34"/>
  <c r="AZ9" i="34" s="1"/>
  <c r="AL73" i="34"/>
  <c r="AK73" i="34"/>
  <c r="AP7" i="34"/>
  <c r="BC9" i="34" s="1"/>
  <c r="AL18" i="34"/>
  <c r="AJ73" i="34"/>
  <c r="AW168" i="34"/>
  <c r="AW169" i="34" s="1"/>
  <c r="AW171" i="34" s="1"/>
  <c r="AK7" i="34"/>
  <c r="AX9" i="34" s="1"/>
  <c r="AR7" i="34"/>
  <c r="BE9" i="34" s="1"/>
  <c r="AX70" i="34"/>
  <c r="AX73" i="34" s="1"/>
  <c r="AK18" i="34"/>
  <c r="AY15" i="34"/>
  <c r="AY18" i="34" s="1"/>
  <c r="AR55" i="34"/>
  <c r="BE57" i="34" s="1"/>
  <c r="AW70" i="34"/>
  <c r="AW73" i="34" s="1"/>
  <c r="AY127" i="34"/>
  <c r="AY136" i="34" s="1"/>
  <c r="AJ18" i="34"/>
  <c r="BC57" i="34"/>
  <c r="AP73" i="34"/>
  <c r="AO73" i="34"/>
  <c r="BB103" i="34"/>
  <c r="BB105" i="34" s="1"/>
  <c r="AR73" i="34"/>
  <c r="AZ18" i="34"/>
  <c r="BA46" i="34"/>
  <c r="BA47" i="34" s="1"/>
  <c r="BA49" i="34" s="1"/>
  <c r="AR18" i="34"/>
  <c r="AM73" i="34"/>
  <c r="AX127" i="34"/>
  <c r="AX136" i="34" s="1"/>
  <c r="AJ7" i="34"/>
  <c r="AW9" i="34" s="1"/>
  <c r="BE168" i="34"/>
  <c r="BE169" i="34" s="1"/>
  <c r="BE171" i="34" s="1"/>
  <c r="AK55" i="34"/>
  <c r="BD18" i="34"/>
  <c r="BE15" i="34"/>
  <c r="BE18" i="34" s="1"/>
  <c r="BC103" i="34"/>
  <c r="BC105" i="34" s="1"/>
  <c r="AM18" i="34"/>
  <c r="AX15" i="34"/>
  <c r="AX18" i="34" s="1"/>
  <c r="AW103" i="34"/>
  <c r="AW105" i="34" s="1"/>
  <c r="AW15" i="34"/>
  <c r="AW18" i="34" s="1"/>
  <c r="BA55" i="34"/>
  <c r="BA176" i="34"/>
  <c r="BA178" i="34" s="1"/>
  <c r="BA180" i="34" s="1"/>
  <c r="AZ46" i="34"/>
  <c r="AZ47" i="34" s="1"/>
  <c r="AZ49" i="34" s="1"/>
  <c r="AX103" i="34"/>
  <c r="AX105" i="34" s="1"/>
  <c r="BA70" i="34"/>
  <c r="BA73" i="34" s="1"/>
  <c r="AN73" i="34"/>
  <c r="BW73" i="34" s="1"/>
  <c r="CA73" i="34" s="1"/>
  <c r="AP18" i="34"/>
  <c r="BC15" i="34"/>
  <c r="BC18" i="34" s="1"/>
  <c r="BB6" i="34"/>
  <c r="BB7" i="34" s="1"/>
  <c r="BB9" i="34" s="1"/>
  <c r="BD103" i="34"/>
  <c r="BD105" i="34" s="1"/>
  <c r="AQ18" i="34"/>
  <c r="AZ103" i="34"/>
  <c r="AZ105" i="34" s="1"/>
  <c r="BE103" i="34"/>
  <c r="BE105" i="34" s="1"/>
  <c r="AY103" i="34"/>
  <c r="AY105" i="34" s="1"/>
  <c r="AV127" i="34"/>
  <c r="AV136" i="34" s="1"/>
  <c r="AO18" i="34"/>
  <c r="BE73" i="34"/>
  <c r="BE46" i="34"/>
  <c r="BE47" i="34" s="1"/>
  <c r="BE49" i="34" s="1"/>
  <c r="AN18" i="34"/>
  <c r="BW18" i="34" s="1"/>
  <c r="CA18" i="34" s="1"/>
  <c r="BB15" i="34"/>
  <c r="BB18" i="34" s="1"/>
  <c r="BA15" i="34"/>
  <c r="BD55" i="34"/>
  <c r="BD57" i="34" s="1"/>
  <c r="BD176" i="34"/>
  <c r="BD178" i="34" s="1"/>
  <c r="BD180" i="34" s="1"/>
  <c r="BC46" i="34"/>
  <c r="BC47" i="34" s="1"/>
  <c r="BC49" i="34" s="1"/>
  <c r="BD6" i="34"/>
  <c r="BD7" i="34" s="1"/>
  <c r="BD9" i="34" s="1"/>
  <c r="BD73" i="34"/>
  <c r="BB46" i="34"/>
  <c r="BB47" i="34" s="1"/>
  <c r="BB49" i="34" s="1"/>
  <c r="AT101" i="36"/>
  <c r="BL103" i="36" s="1"/>
  <c r="AX25" i="36"/>
  <c r="BA25" i="36"/>
  <c r="BO6" i="36"/>
  <c r="AW25" i="36"/>
  <c r="BM39" i="36"/>
  <c r="BO32" i="36"/>
  <c r="BO39" i="36" s="1"/>
  <c r="AW39" i="36"/>
  <c r="AX119" i="36"/>
  <c r="CQ119" i="36" s="1"/>
  <c r="CU119" i="36" s="1"/>
  <c r="AZ101" i="36"/>
  <c r="BR103" i="36" s="1"/>
  <c r="AV25" i="36"/>
  <c r="AT39" i="36"/>
  <c r="BS39" i="36"/>
  <c r="AV39" i="36"/>
  <c r="AU39" i="36"/>
  <c r="AK170" i="38"/>
  <c r="AM107" i="38"/>
  <c r="AR21" i="38"/>
  <c r="AY107" i="38"/>
  <c r="AN127" i="38"/>
  <c r="BW127" i="38" s="1"/>
  <c r="CA127" i="38" s="1"/>
  <c r="BB208" i="38"/>
  <c r="BE208" i="38"/>
  <c r="AW208" i="38"/>
  <c r="BE227" i="38"/>
  <c r="AV117" i="38"/>
  <c r="AJ127" i="38"/>
  <c r="AR31" i="38"/>
  <c r="AK107" i="38"/>
  <c r="AW124" i="38"/>
  <c r="AW127" i="38" s="1"/>
  <c r="AK160" i="38"/>
  <c r="AZ160" i="38"/>
  <c r="AL127" i="38"/>
  <c r="AR170" i="38"/>
  <c r="AZ236" i="38"/>
  <c r="AN208" i="38"/>
  <c r="BW208" i="38" s="1"/>
  <c r="CA208" i="38" s="1"/>
  <c r="AQ117" i="38"/>
  <c r="AW170" i="38"/>
  <c r="BB117" i="38"/>
  <c r="BC127" i="38"/>
  <c r="AX170" i="38"/>
  <c r="AL227" i="38"/>
  <c r="AM21" i="38"/>
  <c r="AQ208" i="38"/>
  <c r="AJ160" i="38"/>
  <c r="AO236" i="38"/>
  <c r="AY124" i="38"/>
  <c r="AY127" i="38" s="1"/>
  <c r="AK208" i="38"/>
  <c r="AZ106" i="38"/>
  <c r="AZ107" i="38" s="1"/>
  <c r="AN236" i="38"/>
  <c r="BW236" i="38" s="1"/>
  <c r="CA236" i="38" s="1"/>
  <c r="AM138" i="38"/>
  <c r="AK227" i="38"/>
  <c r="BA234" i="38"/>
  <c r="BA236" i="38" s="1"/>
  <c r="AX127" i="38"/>
  <c r="AX160" i="38"/>
  <c r="AY227" i="38"/>
  <c r="AJ74" i="38"/>
  <c r="AR217" i="38"/>
  <c r="AR227" i="38"/>
  <c r="AO127" i="38"/>
  <c r="AZ134" i="38"/>
  <c r="AZ138" i="38" s="1"/>
  <c r="BE236" i="38"/>
  <c r="AW236" i="38"/>
  <c r="AN10" i="38"/>
  <c r="BW10" i="38" s="1"/>
  <c r="CA10" i="38" s="1"/>
  <c r="AL138" i="38"/>
  <c r="AJ217" i="38"/>
  <c r="AX185" i="38"/>
  <c r="BD117" i="38"/>
  <c r="AR160" i="38"/>
  <c r="AW156" i="38"/>
  <c r="AW160" i="38" s="1"/>
  <c r="AM160" i="38"/>
  <c r="AL160" i="38"/>
  <c r="AY159" i="38"/>
  <c r="AY160" i="38" s="1"/>
  <c r="AN170" i="38"/>
  <c r="BW170" i="38" s="1"/>
  <c r="CA170" i="38" s="1"/>
  <c r="AY215" i="38"/>
  <c r="AY217" i="38" s="1"/>
  <c r="AL217" i="38"/>
  <c r="AW117" i="38"/>
  <c r="AJ117" i="38"/>
  <c r="BD227" i="38"/>
  <c r="AQ160" i="38"/>
  <c r="BD156" i="38"/>
  <c r="BD160" i="38" s="1"/>
  <c r="BA28" i="38"/>
  <c r="AN31" i="38"/>
  <c r="BW31" i="38" s="1"/>
  <c r="CA31" i="38" s="1"/>
  <c r="AZ39" i="38"/>
  <c r="AZ41" i="38" s="1"/>
  <c r="AM41" i="38"/>
  <c r="BE74" i="38"/>
  <c r="BC227" i="38"/>
  <c r="AQ227" i="38"/>
  <c r="AR185" i="38"/>
  <c r="AP160" i="38"/>
  <c r="BC156" i="38"/>
  <c r="BC160" i="38" s="1"/>
  <c r="AL31" i="38"/>
  <c r="AN41" i="38"/>
  <c r="BW41" i="38" s="1"/>
  <c r="CA41" i="38" s="1"/>
  <c r="AJ52" i="38"/>
  <c r="AN52" i="38"/>
  <c r="BW52" i="38" s="1"/>
  <c r="CA52" i="38" s="1"/>
  <c r="BB227" i="38"/>
  <c r="AJ185" i="38"/>
  <c r="AP185" i="38"/>
  <c r="BC177" i="38"/>
  <c r="BC185" i="38" s="1"/>
  <c r="AM127" i="38"/>
  <c r="AZ124" i="38"/>
  <c r="AZ127" i="38" s="1"/>
  <c r="AN160" i="38"/>
  <c r="BW160" i="38" s="1"/>
  <c r="CA160" i="38" s="1"/>
  <c r="AY31" i="38"/>
  <c r="AL41" i="38"/>
  <c r="AW135" i="38"/>
  <c r="AW138" i="38" s="1"/>
  <c r="AJ138" i="38"/>
  <c r="AX134" i="38"/>
  <c r="AX138" i="38" s="1"/>
  <c r="AK138" i="38"/>
  <c r="AJ10" i="38"/>
  <c r="AK31" i="38"/>
  <c r="AZ227" i="38"/>
  <c r="AX59" i="38"/>
  <c r="AX63" i="38" s="1"/>
  <c r="AK63" i="38"/>
  <c r="BE114" i="38"/>
  <c r="BE117" i="38" s="1"/>
  <c r="AR117" i="38"/>
  <c r="AM208" i="38"/>
  <c r="AJ227" i="38"/>
  <c r="AW229" i="38" s="1"/>
  <c r="BD185" i="38"/>
  <c r="AX17" i="38"/>
  <c r="AX21" i="38" s="1"/>
  <c r="AK21" i="38"/>
  <c r="AR138" i="38"/>
  <c r="BE135" i="38"/>
  <c r="BE138" i="38" s="1"/>
  <c r="AL63" i="38"/>
  <c r="AO217" i="38"/>
  <c r="BA167" i="38"/>
  <c r="AR236" i="38"/>
  <c r="AL10" i="38"/>
  <c r="AM10" i="38"/>
  <c r="AJ31" i="38"/>
  <c r="AK52" i="38"/>
  <c r="AR63" i="38"/>
  <c r="AR74" i="38"/>
  <c r="BA70" i="38"/>
  <c r="AN74" i="38"/>
  <c r="AN217" i="38"/>
  <c r="BW217" i="38" s="1"/>
  <c r="CA217" i="38" s="1"/>
  <c r="AQ107" i="38"/>
  <c r="BD103" i="38"/>
  <c r="BD107" i="38" s="1"/>
  <c r="BB124" i="38"/>
  <c r="BB127" i="38" s="1"/>
  <c r="AQ138" i="38"/>
  <c r="BD134" i="38"/>
  <c r="BD138" i="38" s="1"/>
  <c r="AL170" i="38"/>
  <c r="AY167" i="38"/>
  <c r="AY170" i="38" s="1"/>
  <c r="AL21" i="38"/>
  <c r="AL74" i="38"/>
  <c r="AO208" i="38"/>
  <c r="AM217" i="38"/>
  <c r="AK185" i="38"/>
  <c r="AL185" i="38"/>
  <c r="AY177" i="38"/>
  <c r="AY185" i="38" s="1"/>
  <c r="AP107" i="38"/>
  <c r="BC103" i="38"/>
  <c r="BC107" i="38" s="1"/>
  <c r="AK117" i="38"/>
  <c r="AX114" i="38"/>
  <c r="AX117" i="38" s="1"/>
  <c r="AQ127" i="38"/>
  <c r="BD124" i="38"/>
  <c r="BD127" i="38" s="1"/>
  <c r="AY135" i="38"/>
  <c r="AY138" i="38" s="1"/>
  <c r="AJ236" i="38"/>
  <c r="AX235" i="38"/>
  <c r="AX236" i="38" s="1"/>
  <c r="AK236" i="38"/>
  <c r="AY234" i="38"/>
  <c r="AY236" i="38" s="1"/>
  <c r="AL236" i="38"/>
  <c r="AK10" i="38"/>
  <c r="AP63" i="38"/>
  <c r="AJ208" i="38"/>
  <c r="AL208" i="38"/>
  <c r="AQ185" i="38"/>
  <c r="AL107" i="38"/>
  <c r="AO107" i="38"/>
  <c r="BB103" i="38"/>
  <c r="BB107" i="38" s="1"/>
  <c r="AK127" i="38"/>
  <c r="AJ170" i="38"/>
  <c r="AM170" i="38"/>
  <c r="BB170" i="38"/>
  <c r="BB236" i="38"/>
  <c r="AP21" i="38"/>
  <c r="AJ41" i="38"/>
  <c r="AK41" i="38"/>
  <c r="AK74" i="38"/>
  <c r="BB185" i="38"/>
  <c r="AO117" i="38"/>
  <c r="AZ117" i="38"/>
  <c r="AP138" i="38"/>
  <c r="AZ170" i="38"/>
  <c r="AM63" i="38"/>
  <c r="AN185" i="38"/>
  <c r="BW185" i="38" s="1"/>
  <c r="CA185" i="38" s="1"/>
  <c r="BA177" i="38"/>
  <c r="AY117" i="38"/>
  <c r="BE125" i="38"/>
  <c r="BE127" i="38" s="1"/>
  <c r="AR127" i="38"/>
  <c r="AO138" i="38"/>
  <c r="BC138" i="38"/>
  <c r="BE160" i="38"/>
  <c r="BB160" i="38"/>
  <c r="BE170" i="38"/>
  <c r="AL52" i="38"/>
  <c r="AM52" i="38"/>
  <c r="AQ217" i="38"/>
  <c r="BE185" i="38"/>
  <c r="AW185" i="38"/>
  <c r="AZ185" i="38"/>
  <c r="BE104" i="38"/>
  <c r="BE107" i="38" s="1"/>
  <c r="AR107" i="38"/>
  <c r="AW104" i="38"/>
  <c r="AW107" i="38" s="1"/>
  <c r="AJ107" i="38"/>
  <c r="AX107" i="38"/>
  <c r="AM117" i="38"/>
  <c r="BB134" i="38"/>
  <c r="BB138" i="38" s="1"/>
  <c r="AM236" i="38"/>
  <c r="AO185" i="38"/>
  <c r="AN107" i="38"/>
  <c r="BW107" i="38" s="1"/>
  <c r="CA107" i="38" s="1"/>
  <c r="AP117" i="38"/>
  <c r="AN138" i="38"/>
  <c r="BW138" i="38" s="1"/>
  <c r="CA138" i="38" s="1"/>
  <c r="BA134" i="38"/>
  <c r="AO160" i="38"/>
  <c r="AM185" i="38"/>
  <c r="AN117" i="38"/>
  <c r="BW117" i="38" s="1"/>
  <c r="CA117" i="38" s="1"/>
  <c r="BC114" i="38"/>
  <c r="BC117" i="38" s="1"/>
  <c r="AQ170" i="38"/>
  <c r="AQ236" i="38"/>
  <c r="AP170" i="38"/>
  <c r="BD167" i="38"/>
  <c r="BD170" i="38" s="1"/>
  <c r="AP236" i="38"/>
  <c r="BD234" i="38"/>
  <c r="BD236" i="38" s="1"/>
  <c r="AL117" i="38"/>
  <c r="BA114" i="38"/>
  <c r="AP127" i="38"/>
  <c r="AO170" i="38"/>
  <c r="BC167" i="38"/>
  <c r="BC170" i="38" s="1"/>
  <c r="BC234" i="38"/>
  <c r="BC236" i="38" s="1"/>
  <c r="CA15" i="20"/>
  <c r="AZ73" i="34"/>
  <c r="AY73" i="34"/>
  <c r="BC70" i="34"/>
  <c r="BC73" i="34" s="1"/>
  <c r="AQ73" i="34"/>
  <c r="BB70" i="34"/>
  <c r="BB73" i="34" s="1"/>
  <c r="BQ197" i="36"/>
  <c r="AX101" i="36"/>
  <c r="BP103" i="36" s="1"/>
  <c r="BO119" i="36"/>
  <c r="AW101" i="36"/>
  <c r="BO103" i="36" s="1"/>
  <c r="BS119" i="36"/>
  <c r="AY197" i="36"/>
  <c r="BR119" i="36"/>
  <c r="AU101" i="36"/>
  <c r="BM103" i="36" s="1"/>
  <c r="AZ39" i="36"/>
  <c r="BR32" i="36"/>
  <c r="BR39" i="36" s="1"/>
  <c r="BL32" i="36"/>
  <c r="BL39" i="36" s="1"/>
  <c r="BL119" i="36"/>
  <c r="AY119" i="36"/>
  <c r="BQ119" i="36"/>
  <c r="AU25" i="36"/>
  <c r="BA39" i="36"/>
  <c r="BN39" i="36"/>
  <c r="AY39" i="36"/>
  <c r="BN119" i="36"/>
  <c r="AX39" i="36"/>
  <c r="CQ39" i="36" s="1"/>
  <c r="CU39" i="36" s="1"/>
  <c r="BQ32" i="36"/>
  <c r="BQ39" i="36" s="1"/>
  <c r="BP32" i="36"/>
  <c r="BM119" i="36"/>
  <c r="AU119" i="36"/>
  <c r="AZ119" i="36"/>
  <c r="AW119" i="36"/>
  <c r="AT119" i="36"/>
  <c r="AV119" i="36"/>
  <c r="BA119" i="36"/>
  <c r="AV160" i="36"/>
  <c r="BN147" i="36"/>
  <c r="BN160" i="36" s="1"/>
  <c r="BN197" i="36"/>
  <c r="BS160" i="36"/>
  <c r="BM197" i="36"/>
  <c r="AY160" i="36"/>
  <c r="BR160" i="36"/>
  <c r="BQ160" i="36"/>
  <c r="AX197" i="36"/>
  <c r="CQ197" i="36" s="1"/>
  <c r="CU197" i="36" s="1"/>
  <c r="BP172" i="36"/>
  <c r="BA197" i="36"/>
  <c r="BS197" i="36"/>
  <c r="BO160" i="36"/>
  <c r="BL197" i="36"/>
  <c r="AX160" i="36"/>
  <c r="CQ160" i="36" s="1"/>
  <c r="CU160" i="36" s="1"/>
  <c r="AW160" i="36"/>
  <c r="AW197" i="36"/>
  <c r="AU160" i="36"/>
  <c r="AV197" i="36"/>
  <c r="BM147" i="36"/>
  <c r="BM160" i="36" s="1"/>
  <c r="AU197" i="36"/>
  <c r="BA160" i="36"/>
  <c r="AZ197" i="36"/>
  <c r="AT160" i="36"/>
  <c r="BL148" i="36"/>
  <c r="BL160" i="36" s="1"/>
  <c r="AT197" i="36"/>
  <c r="BO172" i="36"/>
  <c r="BO197" i="36" s="1"/>
  <c r="BR197" i="36"/>
  <c r="AZ160" i="36"/>
  <c r="BE31" i="38"/>
  <c r="AW21" i="38"/>
  <c r="BB74" i="38"/>
  <c r="BE10" i="38"/>
  <c r="AW10" i="38"/>
  <c r="AX31" i="38"/>
  <c r="AZ208" i="38"/>
  <c r="BE41" i="38"/>
  <c r="AZ74" i="38"/>
  <c r="AX217" i="38"/>
  <c r="AY21" i="38"/>
  <c r="AW63" i="38"/>
  <c r="AW52" i="38"/>
  <c r="BB21" i="38"/>
  <c r="AY74" i="38"/>
  <c r="BE217" i="38"/>
  <c r="AW217" i="38"/>
  <c r="BE52" i="38"/>
  <c r="AZ31" i="38"/>
  <c r="BD41" i="38"/>
  <c r="AY63" i="38"/>
  <c r="AX74" i="38"/>
  <c r="AQ31" i="38"/>
  <c r="AW28" i="38"/>
  <c r="AW31" i="38" s="1"/>
  <c r="AY38" i="38"/>
  <c r="AY41" i="38" s="1"/>
  <c r="BA48" i="38"/>
  <c r="AO63" i="38"/>
  <c r="BC59" i="38"/>
  <c r="BC63" i="38" s="1"/>
  <c r="AQ74" i="38"/>
  <c r="AW70" i="38"/>
  <c r="AW74" i="38" s="1"/>
  <c r="AX206" i="38"/>
  <c r="AX208" i="38" s="1"/>
  <c r="BB215" i="38"/>
  <c r="BB217" i="38" s="1"/>
  <c r="AY7" i="38"/>
  <c r="AY10" i="38" s="1"/>
  <c r="AZ6" i="38"/>
  <c r="AZ10" i="38" s="1"/>
  <c r="AJ21" i="38"/>
  <c r="AN21" i="38"/>
  <c r="BW21" i="38" s="1"/>
  <c r="CA21" i="38" s="1"/>
  <c r="AM31" i="38"/>
  <c r="AP31" i="38"/>
  <c r="BD28" i="38"/>
  <c r="BD31" i="38" s="1"/>
  <c r="AR41" i="38"/>
  <c r="BE43" i="38" s="1"/>
  <c r="AW39" i="38"/>
  <c r="AW41" i="38" s="1"/>
  <c r="AX38" i="38"/>
  <c r="AX41" i="38" s="1"/>
  <c r="AY49" i="38"/>
  <c r="AY52" i="38" s="1"/>
  <c r="AZ48" i="38"/>
  <c r="AZ52" i="38" s="1"/>
  <c r="AJ63" i="38"/>
  <c r="AN63" i="38"/>
  <c r="BW63" i="38" s="1"/>
  <c r="CA63" i="38" s="1"/>
  <c r="BB59" i="38"/>
  <c r="BB63" i="38" s="1"/>
  <c r="AM74" i="38"/>
  <c r="AP74" i="38"/>
  <c r="BD70" i="38"/>
  <c r="BD74" i="38" s="1"/>
  <c r="AR208" i="38"/>
  <c r="AK217" i="38"/>
  <c r="BA215" i="38"/>
  <c r="BD63" i="38"/>
  <c r="AY206" i="38"/>
  <c r="AY208" i="38" s="1"/>
  <c r="AO21" i="38"/>
  <c r="BC17" i="38"/>
  <c r="BC21" i="38" s="1"/>
  <c r="AO31" i="38"/>
  <c r="AZ217" i="38"/>
  <c r="AR10" i="38"/>
  <c r="BE12" i="38" s="1"/>
  <c r="AX6" i="38"/>
  <c r="AX10" i="38" s="1"/>
  <c r="BE20" i="38"/>
  <c r="BE21" i="38" s="1"/>
  <c r="AZ17" i="38"/>
  <c r="AZ21" i="38" s="1"/>
  <c r="BB28" i="38"/>
  <c r="BB31" i="38" s="1"/>
  <c r="AP41" i="38"/>
  <c r="AR52" i="38"/>
  <c r="AX48" i="38"/>
  <c r="AX52" i="38" s="1"/>
  <c r="BE62" i="38"/>
  <c r="BE63" i="38" s="1"/>
  <c r="AZ59" i="38"/>
  <c r="AZ63" i="38" s="1"/>
  <c r="AP208" i="38"/>
  <c r="BC206" i="38"/>
  <c r="BC208" i="38" s="1"/>
  <c r="BC217" i="38"/>
  <c r="AQ41" i="38"/>
  <c r="AO74" i="38"/>
  <c r="BC74" i="38"/>
  <c r="AQ10" i="38"/>
  <c r="AO41" i="38"/>
  <c r="BC38" i="38"/>
  <c r="BC41" i="38" s="1"/>
  <c r="AQ52" i="38"/>
  <c r="BB10" i="38"/>
  <c r="BA6" i="38"/>
  <c r="BC31" i="38"/>
  <c r="BD206" i="38"/>
  <c r="BD208" i="38" s="1"/>
  <c r="AP10" i="38"/>
  <c r="BD6" i="38"/>
  <c r="BD10" i="38" s="1"/>
  <c r="BB38" i="38"/>
  <c r="BB41" i="38" s="1"/>
  <c r="AP52" i="38"/>
  <c r="BD48" i="38"/>
  <c r="BD52" i="38" s="1"/>
  <c r="BD21" i="38"/>
  <c r="BB52" i="38"/>
  <c r="AO10" i="38"/>
  <c r="BC6" i="38"/>
  <c r="BC10" i="38" s="1"/>
  <c r="AQ21" i="38"/>
  <c r="AO52" i="38"/>
  <c r="BC48" i="38"/>
  <c r="BC52" i="38" s="1"/>
  <c r="AQ63" i="38"/>
  <c r="AP217" i="38"/>
  <c r="BD215" i="38"/>
  <c r="BD217" i="38" s="1"/>
  <c r="BB15" i="20" l="1"/>
  <c r="BA57" i="34"/>
  <c r="BA103" i="34"/>
  <c r="BA105" i="34" s="1"/>
  <c r="BA208" i="38"/>
  <c r="BA63" i="38"/>
  <c r="AX229" i="38"/>
  <c r="CA116" i="38"/>
  <c r="BA127" i="38"/>
  <c r="BA160" i="38"/>
  <c r="BA217" i="38"/>
  <c r="AW172" i="38"/>
  <c r="BV227" i="38"/>
  <c r="BA21" i="38"/>
  <c r="BA23" i="38" s="1"/>
  <c r="BA185" i="38"/>
  <c r="BA187" i="38" s="1"/>
  <c r="BA227" i="38"/>
  <c r="BA117" i="38"/>
  <c r="BA119" i="38" s="1"/>
  <c r="BA52" i="38"/>
  <c r="BA31" i="38"/>
  <c r="BA33" i="38" s="1"/>
  <c r="CA115" i="38"/>
  <c r="BA10" i="38"/>
  <c r="BA12" i="38" s="1"/>
  <c r="BK225" i="38"/>
  <c r="BM225" i="38" s="1"/>
  <c r="BM227" i="38" s="1"/>
  <c r="BN228" i="38" s="1"/>
  <c r="BN229" i="38" s="1"/>
  <c r="BA138" i="38"/>
  <c r="BA74" i="38"/>
  <c r="BA76" i="38" s="1"/>
  <c r="BA170" i="38"/>
  <c r="BA172" i="38" s="1"/>
  <c r="CE12" i="36"/>
  <c r="CG12" i="36" s="1"/>
  <c r="CU101" i="36"/>
  <c r="CR25" i="36"/>
  <c r="BP160" i="36"/>
  <c r="BP162" i="36" s="1"/>
  <c r="BP197" i="36"/>
  <c r="BP199" i="36" s="1"/>
  <c r="CE13" i="36"/>
  <c r="CG13" i="36" s="1"/>
  <c r="CU100" i="36"/>
  <c r="CE100" i="36"/>
  <c r="DE101" i="36"/>
  <c r="DH101" i="36" s="1"/>
  <c r="DH100" i="36"/>
  <c r="DE25" i="36"/>
  <c r="DH12" i="36"/>
  <c r="DH25" i="36" s="1"/>
  <c r="BA171" i="34"/>
  <c r="BW169" i="34"/>
  <c r="CA169" i="34" s="1"/>
  <c r="BA9" i="34"/>
  <c r="BW7" i="34"/>
  <c r="CA7" i="34" s="1"/>
  <c r="AZ57" i="34"/>
  <c r="BK54" i="34"/>
  <c r="BA18" i="34"/>
  <c r="BA20" i="34" s="1"/>
  <c r="AY180" i="34"/>
  <c r="CA8" i="20"/>
  <c r="AW17" i="20"/>
  <c r="BM5" i="20"/>
  <c r="BK3" i="20"/>
  <c r="BK15" i="20"/>
  <c r="BA26" i="20"/>
  <c r="CA225" i="38"/>
  <c r="CA227" i="38" s="1"/>
  <c r="BK227" i="38"/>
  <c r="BK115" i="38"/>
  <c r="BM115" i="38" s="1"/>
  <c r="BK116" i="38"/>
  <c r="BM116" i="38" s="1"/>
  <c r="BK114" i="38"/>
  <c r="BR25" i="36"/>
  <c r="BR27" i="36" s="1"/>
  <c r="BQ25" i="36"/>
  <c r="BQ27" i="36" s="1"/>
  <c r="BM25" i="36"/>
  <c r="BM27" i="36" s="1"/>
  <c r="BP25" i="36"/>
  <c r="BN25" i="36"/>
  <c r="BN27" i="36" s="1"/>
  <c r="BL25" i="36"/>
  <c r="BS25" i="36"/>
  <c r="BS27" i="36" s="1"/>
  <c r="BO25" i="36"/>
  <c r="BO27" i="36" s="1"/>
  <c r="BP39" i="36"/>
  <c r="BP41" i="36" s="1"/>
  <c r="BP119" i="36"/>
  <c r="BP121" i="36" s="1"/>
  <c r="AY57" i="34"/>
  <c r="BC180" i="34"/>
  <c r="AX180" i="34"/>
  <c r="AX57" i="34"/>
  <c r="AZ180" i="34"/>
  <c r="AX187" i="38"/>
  <c r="AZ238" i="38"/>
  <c r="BA109" i="38"/>
  <c r="BD65" i="38"/>
  <c r="AY109" i="38"/>
  <c r="BB180" i="34"/>
  <c r="BE138" i="34"/>
  <c r="BC138" i="34"/>
  <c r="AW180" i="34"/>
  <c r="BE180" i="34"/>
  <c r="AZ138" i="34"/>
  <c r="BA138" i="34"/>
  <c r="BD138" i="34"/>
  <c r="BB138" i="34"/>
  <c r="BQ199" i="36"/>
  <c r="BN121" i="36"/>
  <c r="BS41" i="36"/>
  <c r="BM41" i="36"/>
  <c r="BO121" i="36"/>
  <c r="BR121" i="36"/>
  <c r="BL41" i="36"/>
  <c r="BO41" i="36"/>
  <c r="BN41" i="36"/>
  <c r="BS162" i="36"/>
  <c r="BM121" i="36"/>
  <c r="BR41" i="36"/>
  <c r="BN199" i="36"/>
  <c r="BL121" i="36"/>
  <c r="BM162" i="36"/>
  <c r="BQ162" i="36"/>
  <c r="BL162" i="36"/>
  <c r="BO199" i="36"/>
  <c r="BS199" i="36"/>
  <c r="BS121" i="36"/>
  <c r="BQ41" i="36"/>
  <c r="BR162" i="36"/>
  <c r="BR199" i="36"/>
  <c r="BO162" i="36"/>
  <c r="BN162" i="36"/>
  <c r="BQ121" i="36"/>
  <c r="AW138" i="34"/>
  <c r="AY138" i="34"/>
  <c r="AX49" i="34"/>
  <c r="AX138" i="34"/>
  <c r="BC17" i="20"/>
  <c r="AX17" i="20"/>
  <c r="AY172" i="38"/>
  <c r="BA162" i="38"/>
  <c r="AW238" i="38"/>
  <c r="BE17" i="20"/>
  <c r="BB109" i="38"/>
  <c r="AW210" i="38"/>
  <c r="AY54" i="38"/>
  <c r="BB129" i="38"/>
  <c r="BB162" i="38"/>
  <c r="BB119" i="38"/>
  <c r="BE76" i="38"/>
  <c r="BE54" i="38"/>
  <c r="BD43" i="38"/>
  <c r="BB33" i="38"/>
  <c r="AW109" i="38"/>
  <c r="BE129" i="38"/>
  <c r="AY238" i="38"/>
  <c r="BA219" i="38"/>
  <c r="AY12" i="38"/>
  <c r="AY43" i="38"/>
  <c r="AY119" i="38"/>
  <c r="BD238" i="38"/>
  <c r="AY129" i="38"/>
  <c r="BE33" i="38"/>
  <c r="AX172" i="38"/>
  <c r="BB23" i="38"/>
  <c r="BC43" i="38"/>
  <c r="AZ54" i="38"/>
  <c r="BC140" i="38"/>
  <c r="BC76" i="38"/>
  <c r="AZ219" i="38"/>
  <c r="BE238" i="38"/>
  <c r="AY229" i="38"/>
  <c r="BB54" i="38"/>
  <c r="BD23" i="38"/>
  <c r="AW65" i="38"/>
  <c r="AZ33" i="38"/>
  <c r="BE119" i="38"/>
  <c r="AX210" i="38"/>
  <c r="BE109" i="38"/>
  <c r="AX238" i="38"/>
  <c r="AZ210" i="38"/>
  <c r="AX33" i="38"/>
  <c r="AW187" i="38"/>
  <c r="BE187" i="38"/>
  <c r="AY140" i="38"/>
  <c r="BD119" i="38"/>
  <c r="BA129" i="38"/>
  <c r="BA140" i="38"/>
  <c r="AZ162" i="38"/>
  <c r="BC109" i="38"/>
  <c r="BB172" i="38"/>
  <c r="BC129" i="38"/>
  <c r="AZ187" i="38"/>
  <c r="BB187" i="38"/>
  <c r="AY187" i="38"/>
  <c r="AZ129" i="38"/>
  <c r="BE140" i="38"/>
  <c r="BD33" i="38"/>
  <c r="BC238" i="38"/>
  <c r="BD172" i="38"/>
  <c r="AX119" i="38"/>
  <c r="BB210" i="38"/>
  <c r="BD140" i="38"/>
  <c r="AX23" i="38"/>
  <c r="BD162" i="38"/>
  <c r="AY219" i="38"/>
  <c r="AY162" i="38"/>
  <c r="BE219" i="38"/>
  <c r="BB238" i="38"/>
  <c r="AW129" i="38"/>
  <c r="BC162" i="38"/>
  <c r="AZ76" i="38"/>
  <c r="BC12" i="38"/>
  <c r="BB43" i="38"/>
  <c r="BC210" i="38"/>
  <c r="BA65" i="38"/>
  <c r="BC33" i="38"/>
  <c r="AX76" i="38"/>
  <c r="AZ172" i="38"/>
  <c r="AY210" i="38"/>
  <c r="AY76" i="38"/>
  <c r="BE65" i="38"/>
  <c r="BB219" i="38"/>
  <c r="AX140" i="38"/>
  <c r="BA54" i="38"/>
  <c r="AW76" i="38"/>
  <c r="BA210" i="38"/>
  <c r="AX162" i="38"/>
  <c r="BC187" i="38"/>
  <c r="AW219" i="38"/>
  <c r="BD187" i="38"/>
  <c r="BB12" i="38"/>
  <c r="BD12" i="38"/>
  <c r="BD76" i="38"/>
  <c r="BC119" i="38"/>
  <c r="AZ65" i="38"/>
  <c r="AX43" i="38"/>
  <c r="AY23" i="38"/>
  <c r="AX54" i="38"/>
  <c r="AY65" i="38"/>
  <c r="AW54" i="38"/>
  <c r="AZ140" i="38"/>
  <c r="AW162" i="38"/>
  <c r="AX219" i="38"/>
  <c r="BC172" i="38"/>
  <c r="AZ119" i="38"/>
  <c r="AW43" i="38"/>
  <c r="AX129" i="38"/>
  <c r="BC65" i="38"/>
  <c r="BD109" i="38"/>
  <c r="AW33" i="38"/>
  <c r="AW140" i="38"/>
  <c r="BA43" i="38"/>
  <c r="AZ43" i="38"/>
  <c r="BE162" i="38"/>
  <c r="BA238" i="38"/>
  <c r="BD210" i="38"/>
  <c r="BE172" i="38"/>
  <c r="AZ109" i="38"/>
  <c r="BC54" i="38"/>
  <c r="BD129" i="38"/>
  <c r="BD54" i="38"/>
  <c r="BC219" i="38"/>
  <c r="BB76" i="38"/>
  <c r="BE210" i="38"/>
  <c r="AW23" i="38"/>
  <c r="BB65" i="38"/>
  <c r="BD219" i="38"/>
  <c r="BB140" i="38"/>
  <c r="BC23" i="38"/>
  <c r="AX12" i="38"/>
  <c r="AZ12" i="38"/>
  <c r="AX65" i="38"/>
  <c r="AY33" i="38"/>
  <c r="AZ23" i="38"/>
  <c r="AX109" i="38"/>
  <c r="BE23" i="38"/>
  <c r="AY49" i="34"/>
  <c r="BM199" i="36"/>
  <c r="BA17" i="20"/>
  <c r="BL199" i="36"/>
  <c r="BE229" i="38"/>
  <c r="BD229" i="38"/>
  <c r="AY17" i="20"/>
  <c r="BB17" i="20"/>
  <c r="AZ17" i="20"/>
  <c r="BD17" i="20"/>
  <c r="AW49" i="34"/>
  <c r="BA75" i="34"/>
  <c r="BD20" i="34"/>
  <c r="AZ20" i="34"/>
  <c r="BD49" i="34"/>
  <c r="AW57" i="34"/>
  <c r="BC75" i="34"/>
  <c r="AX75" i="34"/>
  <c r="AV138" i="34"/>
  <c r="BD75" i="34"/>
  <c r="AX20" i="34"/>
  <c r="AY75" i="34"/>
  <c r="AZ75" i="34"/>
  <c r="BB20" i="34"/>
  <c r="BL27" i="36"/>
  <c r="AW119" i="38"/>
  <c r="AW12" i="38"/>
  <c r="AV119" i="38"/>
  <c r="BC20" i="34"/>
  <c r="BE75" i="34"/>
  <c r="BE20" i="34"/>
  <c r="AW75" i="34"/>
  <c r="AW20" i="34"/>
  <c r="BB75" i="34"/>
  <c r="AY20" i="34"/>
  <c r="AU159" i="37"/>
  <c r="AV159" i="37"/>
  <c r="AW159" i="37"/>
  <c r="AX159" i="37"/>
  <c r="AY159" i="37"/>
  <c r="AZ159" i="37"/>
  <c r="BA159" i="37"/>
  <c r="BB159" i="37"/>
  <c r="BC159" i="37"/>
  <c r="BD159" i="37"/>
  <c r="BE159" i="37"/>
  <c r="AI158" i="37"/>
  <c r="AI159" i="37" s="1"/>
  <c r="AJ158" i="37"/>
  <c r="AJ159" i="37" s="1"/>
  <c r="AK158" i="37"/>
  <c r="AK159" i="37" s="1"/>
  <c r="AL158" i="37"/>
  <c r="AL159" i="37" s="1"/>
  <c r="AM158" i="37"/>
  <c r="AM159" i="37" s="1"/>
  <c r="AN158" i="37"/>
  <c r="AN159" i="37" s="1"/>
  <c r="AO158" i="37"/>
  <c r="AO159" i="37" s="1"/>
  <c r="AP158" i="37"/>
  <c r="AP159" i="37" s="1"/>
  <c r="AQ158" i="37"/>
  <c r="AQ159" i="37" s="1"/>
  <c r="AR158" i="37"/>
  <c r="AR159" i="37" s="1"/>
  <c r="AU151" i="37"/>
  <c r="AV151" i="37"/>
  <c r="AW151" i="37"/>
  <c r="AX151" i="37"/>
  <c r="AY151" i="37"/>
  <c r="AZ151" i="37"/>
  <c r="BA151" i="37"/>
  <c r="BB151" i="37"/>
  <c r="BC151" i="37"/>
  <c r="BD151" i="37"/>
  <c r="BE151" i="37"/>
  <c r="AI150" i="37"/>
  <c r="AI151" i="37" s="1"/>
  <c r="AJ150" i="37"/>
  <c r="AJ151" i="37" s="1"/>
  <c r="AK150" i="37"/>
  <c r="AK151" i="37" s="1"/>
  <c r="AL150" i="37"/>
  <c r="AL151" i="37" s="1"/>
  <c r="AM150" i="37"/>
  <c r="AM151" i="37" s="1"/>
  <c r="AN150" i="37"/>
  <c r="AN151" i="37" s="1"/>
  <c r="AO150" i="37"/>
  <c r="AO151" i="37" s="1"/>
  <c r="AP150" i="37"/>
  <c r="AP151" i="37" s="1"/>
  <c r="AQ150" i="37"/>
  <c r="AQ151" i="37" s="1"/>
  <c r="AR150" i="37"/>
  <c r="AR151" i="37" s="1"/>
  <c r="AU143" i="37"/>
  <c r="AV143" i="37"/>
  <c r="AW143" i="37"/>
  <c r="AX143" i="37"/>
  <c r="AY143" i="37"/>
  <c r="AZ143" i="37"/>
  <c r="BA143" i="37"/>
  <c r="BB143" i="37"/>
  <c r="BC143" i="37"/>
  <c r="BD143" i="37"/>
  <c r="BE143" i="37"/>
  <c r="AI142" i="37"/>
  <c r="AI143" i="37" s="1"/>
  <c r="AV145" i="37" s="1"/>
  <c r="AJ142" i="37"/>
  <c r="AJ143" i="37" s="1"/>
  <c r="AK142" i="37"/>
  <c r="AK143" i="37" s="1"/>
  <c r="AL142" i="37"/>
  <c r="AL143" i="37" s="1"/>
  <c r="AM142" i="37"/>
  <c r="AM143" i="37" s="1"/>
  <c r="AN142" i="37"/>
  <c r="AN143" i="37" s="1"/>
  <c r="AO142" i="37"/>
  <c r="AO143" i="37" s="1"/>
  <c r="AP142" i="37"/>
  <c r="AP143" i="37" s="1"/>
  <c r="AQ142" i="37"/>
  <c r="AQ143" i="37" s="1"/>
  <c r="BD145" i="37" s="1"/>
  <c r="AR142" i="37"/>
  <c r="AR143" i="37" s="1"/>
  <c r="AU135" i="37"/>
  <c r="AV135" i="37"/>
  <c r="AW135" i="37"/>
  <c r="AX135" i="37"/>
  <c r="AY135" i="37"/>
  <c r="AZ135" i="37"/>
  <c r="BA135" i="37"/>
  <c r="BB135" i="37"/>
  <c r="BC135" i="37"/>
  <c r="BD135" i="37"/>
  <c r="BE135" i="37"/>
  <c r="AT135" i="37"/>
  <c r="AI134" i="37"/>
  <c r="AI135" i="37" s="1"/>
  <c r="AJ134" i="37"/>
  <c r="AJ135" i="37" s="1"/>
  <c r="AK134" i="37"/>
  <c r="AK135" i="37" s="1"/>
  <c r="AX137" i="37" s="1"/>
  <c r="AL134" i="37"/>
  <c r="AL135" i="37" s="1"/>
  <c r="AM134" i="37"/>
  <c r="AM135" i="37" s="1"/>
  <c r="AN134" i="37"/>
  <c r="AN135" i="37" s="1"/>
  <c r="AO134" i="37"/>
  <c r="AO135" i="37" s="1"/>
  <c r="AP134" i="37"/>
  <c r="AP135" i="37" s="1"/>
  <c r="AQ134" i="37"/>
  <c r="AQ135" i="37" s="1"/>
  <c r="AR134" i="37"/>
  <c r="AR135" i="37" s="1"/>
  <c r="AU127" i="37"/>
  <c r="AV127" i="37"/>
  <c r="AW127" i="37"/>
  <c r="AX127" i="37"/>
  <c r="AY127" i="37"/>
  <c r="AZ127" i="37"/>
  <c r="BA127" i="37"/>
  <c r="BB127" i="37"/>
  <c r="BC127" i="37"/>
  <c r="BD127" i="37"/>
  <c r="BE127" i="37"/>
  <c r="AI126" i="37"/>
  <c r="AI127" i="37" s="1"/>
  <c r="AJ126" i="37"/>
  <c r="AJ127" i="37" s="1"/>
  <c r="AK126" i="37"/>
  <c r="AK127" i="37" s="1"/>
  <c r="AL126" i="37"/>
  <c r="AL127" i="37" s="1"/>
  <c r="AM126" i="37"/>
  <c r="AM127" i="37" s="1"/>
  <c r="AN126" i="37"/>
  <c r="AN127" i="37" s="1"/>
  <c r="AO126" i="37"/>
  <c r="AO127" i="37" s="1"/>
  <c r="AP126" i="37"/>
  <c r="AP127" i="37" s="1"/>
  <c r="AQ126" i="37"/>
  <c r="AQ127" i="37" s="1"/>
  <c r="AR126" i="37"/>
  <c r="AR127" i="37" s="1"/>
  <c r="AU119" i="37"/>
  <c r="AV119" i="37"/>
  <c r="AW119" i="37"/>
  <c r="AX119" i="37"/>
  <c r="AY119" i="37"/>
  <c r="AZ119" i="37"/>
  <c r="BA119" i="37"/>
  <c r="BB119" i="37"/>
  <c r="BC119" i="37"/>
  <c r="BD119" i="37"/>
  <c r="BE119" i="37"/>
  <c r="AI118" i="37"/>
  <c r="AI119" i="37" s="1"/>
  <c r="AJ118" i="37"/>
  <c r="AJ119" i="37" s="1"/>
  <c r="AK118" i="37"/>
  <c r="AK119" i="37" s="1"/>
  <c r="AL118" i="37"/>
  <c r="AL119" i="37" s="1"/>
  <c r="AM118" i="37"/>
  <c r="AM119" i="37" s="1"/>
  <c r="AN118" i="37"/>
  <c r="AN119" i="37" s="1"/>
  <c r="AO118" i="37"/>
  <c r="AO119" i="37" s="1"/>
  <c r="AP118" i="37"/>
  <c r="AP119" i="37" s="1"/>
  <c r="AQ118" i="37"/>
  <c r="AQ119" i="37" s="1"/>
  <c r="AR118" i="37"/>
  <c r="AR119" i="37" s="1"/>
  <c r="AU111" i="37"/>
  <c r="AV111" i="37"/>
  <c r="AW111" i="37"/>
  <c r="AX111" i="37"/>
  <c r="AY111" i="37"/>
  <c r="AZ111" i="37"/>
  <c r="BA111" i="37"/>
  <c r="BB111" i="37"/>
  <c r="BC111" i="37"/>
  <c r="BD111" i="37"/>
  <c r="BE111" i="37"/>
  <c r="AH110" i="37"/>
  <c r="AH111" i="37" s="1"/>
  <c r="AI110" i="37"/>
  <c r="AI111" i="37" s="1"/>
  <c r="AJ110" i="37"/>
  <c r="AJ111" i="37" s="1"/>
  <c r="AK110" i="37"/>
  <c r="AK111" i="37" s="1"/>
  <c r="AL110" i="37"/>
  <c r="AL111" i="37" s="1"/>
  <c r="AM110" i="37"/>
  <c r="AM111" i="37" s="1"/>
  <c r="AN110" i="37"/>
  <c r="AN111" i="37" s="1"/>
  <c r="AO110" i="37"/>
  <c r="AO111" i="37" s="1"/>
  <c r="AP110" i="37"/>
  <c r="AP111" i="37" s="1"/>
  <c r="AQ110" i="37"/>
  <c r="AQ111" i="37" s="1"/>
  <c r="AR110" i="37"/>
  <c r="AR111" i="37" s="1"/>
  <c r="AU103" i="37"/>
  <c r="AV103" i="37"/>
  <c r="AW103" i="37"/>
  <c r="AX103" i="37"/>
  <c r="AY103" i="37"/>
  <c r="AZ103" i="37"/>
  <c r="BA103" i="37"/>
  <c r="BB103" i="37"/>
  <c r="BC103" i="37"/>
  <c r="BD103" i="37"/>
  <c r="BE103" i="37"/>
  <c r="AI102" i="37"/>
  <c r="AI103" i="37" s="1"/>
  <c r="AJ102" i="37"/>
  <c r="AJ103" i="37" s="1"/>
  <c r="AK102" i="37"/>
  <c r="AK103" i="37" s="1"/>
  <c r="AL102" i="37"/>
  <c r="AL103" i="37" s="1"/>
  <c r="AM102" i="37"/>
  <c r="AM103" i="37" s="1"/>
  <c r="AN102" i="37"/>
  <c r="AN103" i="37" s="1"/>
  <c r="AO102" i="37"/>
  <c r="AO103" i="37" s="1"/>
  <c r="AP102" i="37"/>
  <c r="AP103" i="37" s="1"/>
  <c r="AQ102" i="37"/>
  <c r="AQ103" i="37" s="1"/>
  <c r="AR102" i="37"/>
  <c r="AR103" i="37" s="1"/>
  <c r="AU71" i="37"/>
  <c r="AV71" i="37"/>
  <c r="AW71" i="37"/>
  <c r="AX71" i="37"/>
  <c r="AY71" i="37"/>
  <c r="AZ71" i="37"/>
  <c r="BA71" i="37"/>
  <c r="BB71" i="37"/>
  <c r="BC71" i="37"/>
  <c r="BD71" i="37"/>
  <c r="BE71" i="37"/>
  <c r="AI70" i="37"/>
  <c r="AI71" i="37" s="1"/>
  <c r="AJ70" i="37"/>
  <c r="AJ71" i="37" s="1"/>
  <c r="AK70" i="37"/>
  <c r="AK71" i="37" s="1"/>
  <c r="AL70" i="37"/>
  <c r="AL71" i="37" s="1"/>
  <c r="AM70" i="37"/>
  <c r="AM71" i="37" s="1"/>
  <c r="AN70" i="37"/>
  <c r="AN71" i="37" s="1"/>
  <c r="AO70" i="37"/>
  <c r="AO71" i="37" s="1"/>
  <c r="AP70" i="37"/>
  <c r="AP71" i="37" s="1"/>
  <c r="AQ70" i="37"/>
  <c r="AQ71" i="37" s="1"/>
  <c r="AR70" i="37"/>
  <c r="AR71" i="37" s="1"/>
  <c r="AU47" i="37"/>
  <c r="AV47" i="37"/>
  <c r="AW47" i="37"/>
  <c r="AX47" i="37"/>
  <c r="AY47" i="37"/>
  <c r="AZ47" i="37"/>
  <c r="BA47" i="37"/>
  <c r="BB47" i="37"/>
  <c r="BC47" i="37"/>
  <c r="BD47" i="37"/>
  <c r="BE47" i="37"/>
  <c r="AI46" i="37"/>
  <c r="AI47" i="37" s="1"/>
  <c r="AJ46" i="37"/>
  <c r="AJ47" i="37" s="1"/>
  <c r="AK46" i="37"/>
  <c r="AK47" i="37" s="1"/>
  <c r="AL46" i="37"/>
  <c r="AL47" i="37" s="1"/>
  <c r="AM46" i="37"/>
  <c r="AM47" i="37" s="1"/>
  <c r="AN46" i="37"/>
  <c r="AN47" i="37" s="1"/>
  <c r="AO46" i="37"/>
  <c r="AO47" i="37" s="1"/>
  <c r="AP46" i="37"/>
  <c r="AP47" i="37" s="1"/>
  <c r="AQ46" i="37"/>
  <c r="AQ47" i="37" s="1"/>
  <c r="AR46" i="37"/>
  <c r="AR47" i="37" s="1"/>
  <c r="AU63" i="37"/>
  <c r="AV63" i="37"/>
  <c r="AW63" i="37"/>
  <c r="AX63" i="37"/>
  <c r="AY63" i="37"/>
  <c r="AZ63" i="37"/>
  <c r="BA63" i="37"/>
  <c r="BB63" i="37"/>
  <c r="BC63" i="37"/>
  <c r="BD63" i="37"/>
  <c r="BE63" i="37"/>
  <c r="AI62" i="37"/>
  <c r="AI63" i="37" s="1"/>
  <c r="AJ62" i="37"/>
  <c r="AJ63" i="37" s="1"/>
  <c r="AK62" i="37"/>
  <c r="AK63" i="37" s="1"/>
  <c r="AL62" i="37"/>
  <c r="AL63" i="37" s="1"/>
  <c r="AM62" i="37"/>
  <c r="AM63" i="37" s="1"/>
  <c r="AN62" i="37"/>
  <c r="AN63" i="37" s="1"/>
  <c r="AO62" i="37"/>
  <c r="AO63" i="37" s="1"/>
  <c r="AP62" i="37"/>
  <c r="AP63" i="37" s="1"/>
  <c r="AQ62" i="37"/>
  <c r="AQ63" i="37" s="1"/>
  <c r="AR62" i="37"/>
  <c r="AR63" i="37" s="1"/>
  <c r="AW39" i="37"/>
  <c r="AX39" i="37"/>
  <c r="AY39" i="37"/>
  <c r="AZ39" i="37"/>
  <c r="BA39" i="37"/>
  <c r="BB39" i="37"/>
  <c r="BC39" i="37"/>
  <c r="BD39" i="37"/>
  <c r="BE39" i="37"/>
  <c r="AI38" i="37"/>
  <c r="AI39" i="37" s="1"/>
  <c r="AJ38" i="37"/>
  <c r="AJ39" i="37" s="1"/>
  <c r="AK38" i="37"/>
  <c r="AK39" i="37" s="1"/>
  <c r="AL38" i="37"/>
  <c r="AL39" i="37" s="1"/>
  <c r="AM39" i="37"/>
  <c r="AN38" i="37"/>
  <c r="AN39" i="37" s="1"/>
  <c r="AO38" i="37"/>
  <c r="AO39" i="37" s="1"/>
  <c r="AP38" i="37"/>
  <c r="AP39" i="37" s="1"/>
  <c r="AQ38" i="37"/>
  <c r="AQ39" i="37" s="1"/>
  <c r="AR38" i="37"/>
  <c r="AR39" i="37" s="1"/>
  <c r="AW55" i="37"/>
  <c r="AX55" i="37"/>
  <c r="AY55" i="37"/>
  <c r="AZ55" i="37"/>
  <c r="BA55" i="37"/>
  <c r="BB55" i="37"/>
  <c r="BC55" i="37"/>
  <c r="BD55" i="37"/>
  <c r="BE55" i="37"/>
  <c r="AJ54" i="37"/>
  <c r="AJ55" i="37" s="1"/>
  <c r="AK54" i="37"/>
  <c r="AK55" i="37" s="1"/>
  <c r="AL54" i="37"/>
  <c r="AL55" i="37" s="1"/>
  <c r="AM55" i="37"/>
  <c r="AN54" i="37"/>
  <c r="AN55" i="37" s="1"/>
  <c r="AO54" i="37"/>
  <c r="AO55" i="37" s="1"/>
  <c r="AP54" i="37"/>
  <c r="AP55" i="37" s="1"/>
  <c r="AQ54" i="37"/>
  <c r="AQ55" i="37" s="1"/>
  <c r="AR54" i="37"/>
  <c r="AR55" i="37" s="1"/>
  <c r="AJ30" i="37"/>
  <c r="AJ31" i="37" s="1"/>
  <c r="AW33" i="37" s="1"/>
  <c r="AK30" i="37"/>
  <c r="AK31" i="37" s="1"/>
  <c r="AX33" i="37" s="1"/>
  <c r="AL30" i="37"/>
  <c r="AL31" i="37" s="1"/>
  <c r="AY33" i="37" s="1"/>
  <c r="AM31" i="37"/>
  <c r="AZ33" i="37" s="1"/>
  <c r="AN30" i="37"/>
  <c r="AN31" i="37" s="1"/>
  <c r="BA33" i="37" s="1"/>
  <c r="AO30" i="37"/>
  <c r="AO31" i="37" s="1"/>
  <c r="BB33" i="37" s="1"/>
  <c r="AP30" i="37"/>
  <c r="AP31" i="37" s="1"/>
  <c r="BC33" i="37" s="1"/>
  <c r="AQ31" i="37"/>
  <c r="BD33" i="37" s="1"/>
  <c r="AR30" i="37"/>
  <c r="AR31" i="37" s="1"/>
  <c r="BE33" i="37" s="1"/>
  <c r="AI14" i="37"/>
  <c r="AI15" i="37" s="1"/>
  <c r="AJ14" i="37"/>
  <c r="AJ15" i="37" s="1"/>
  <c r="AW17" i="37" s="1"/>
  <c r="AK14" i="37"/>
  <c r="AK15" i="37" s="1"/>
  <c r="AX17" i="37" s="1"/>
  <c r="AL14" i="37"/>
  <c r="AL15" i="37" s="1"/>
  <c r="AY17" i="37" s="1"/>
  <c r="AM14" i="37"/>
  <c r="AM15" i="37" s="1"/>
  <c r="AZ17" i="37" s="1"/>
  <c r="AN14" i="37"/>
  <c r="AN15" i="37" s="1"/>
  <c r="BA17" i="37" s="1"/>
  <c r="AO14" i="37"/>
  <c r="AO15" i="37" s="1"/>
  <c r="BB17" i="37" s="1"/>
  <c r="AP14" i="37"/>
  <c r="AP15" i="37" s="1"/>
  <c r="BC17" i="37" s="1"/>
  <c r="AQ14" i="37"/>
  <c r="AQ15" i="37" s="1"/>
  <c r="BD17" i="37" s="1"/>
  <c r="AR14" i="37"/>
  <c r="AR15" i="37" s="1"/>
  <c r="BE17" i="37" s="1"/>
  <c r="AU7" i="37"/>
  <c r="AV7" i="37"/>
  <c r="AW7" i="37"/>
  <c r="AX7" i="37"/>
  <c r="AY7" i="37"/>
  <c r="AZ7" i="37"/>
  <c r="BA7" i="37"/>
  <c r="BB7" i="37"/>
  <c r="BC7" i="37"/>
  <c r="BD7" i="37"/>
  <c r="BE7" i="37"/>
  <c r="AI6" i="37"/>
  <c r="AI7" i="37" s="1"/>
  <c r="AJ6" i="37"/>
  <c r="AJ7" i="37" s="1"/>
  <c r="AK6" i="37"/>
  <c r="AK7" i="37" s="1"/>
  <c r="AL6" i="37"/>
  <c r="AL7" i="37" s="1"/>
  <c r="AM6" i="37"/>
  <c r="AM7" i="37" s="1"/>
  <c r="AN6" i="37"/>
  <c r="AN7" i="37" s="1"/>
  <c r="AO6" i="37"/>
  <c r="AO7" i="37" s="1"/>
  <c r="AP6" i="37"/>
  <c r="AP7" i="37" s="1"/>
  <c r="BO165" i="18"/>
  <c r="BP165" i="18"/>
  <c r="BQ165" i="18"/>
  <c r="BR165" i="18"/>
  <c r="BS165" i="18"/>
  <c r="BT165" i="18"/>
  <c r="BU165" i="18"/>
  <c r="BV165" i="18"/>
  <c r="BW165" i="18"/>
  <c r="BO156" i="18"/>
  <c r="BP156" i="18"/>
  <c r="BQ156" i="18"/>
  <c r="BR156" i="18"/>
  <c r="BS156" i="18"/>
  <c r="BT156" i="18"/>
  <c r="BU156" i="18"/>
  <c r="BV156" i="18"/>
  <c r="BW156" i="18"/>
  <c r="BO148" i="18"/>
  <c r="BP148" i="18"/>
  <c r="BQ148" i="18"/>
  <c r="BR148" i="18"/>
  <c r="BS148" i="18"/>
  <c r="BT148" i="18"/>
  <c r="BU148" i="18"/>
  <c r="BV148" i="18"/>
  <c r="BW148" i="18"/>
  <c r="BO140" i="18"/>
  <c r="BP140" i="18"/>
  <c r="BQ140" i="18"/>
  <c r="BR140" i="18"/>
  <c r="BS140" i="18"/>
  <c r="BT140" i="18"/>
  <c r="BU140" i="18"/>
  <c r="BV140" i="18"/>
  <c r="BW140" i="18"/>
  <c r="BX163" i="18"/>
  <c r="AU163" i="18"/>
  <c r="AV163" i="18"/>
  <c r="AV165" i="18" s="1"/>
  <c r="AW163" i="18"/>
  <c r="AW165" i="18" s="1"/>
  <c r="AX163" i="18"/>
  <c r="AX165" i="18" s="1"/>
  <c r="AY163" i="18"/>
  <c r="AY165" i="18" s="1"/>
  <c r="AZ163" i="18"/>
  <c r="BA163" i="18"/>
  <c r="BA165" i="18" s="1"/>
  <c r="BB163" i="18"/>
  <c r="BB165" i="18" s="1"/>
  <c r="BC163" i="18"/>
  <c r="BC165" i="18" s="1"/>
  <c r="BD163" i="18"/>
  <c r="BD165" i="18" s="1"/>
  <c r="AU147" i="18"/>
  <c r="AV147" i="18"/>
  <c r="AV148" i="18" s="1"/>
  <c r="AW147" i="18"/>
  <c r="AW148" i="18" s="1"/>
  <c r="AX147" i="18"/>
  <c r="AX148" i="18" s="1"/>
  <c r="AY147" i="18"/>
  <c r="AY148" i="18" s="1"/>
  <c r="AZ147" i="18"/>
  <c r="BA147" i="18"/>
  <c r="BA148" i="18" s="1"/>
  <c r="BB147" i="18"/>
  <c r="BB148" i="18" s="1"/>
  <c r="BC147" i="18"/>
  <c r="BC148" i="18" s="1"/>
  <c r="BD147" i="18"/>
  <c r="BD148" i="18" s="1"/>
  <c r="AV155" i="18"/>
  <c r="AV156" i="18" s="1"/>
  <c r="BO158" i="18" s="1"/>
  <c r="AW155" i="18"/>
  <c r="AW156" i="18" s="1"/>
  <c r="BP158" i="18" s="1"/>
  <c r="AX155" i="18"/>
  <c r="AX156" i="18" s="1"/>
  <c r="AY155" i="18"/>
  <c r="AY156" i="18" s="1"/>
  <c r="AZ155" i="18"/>
  <c r="BA155" i="18"/>
  <c r="BA156" i="18" s="1"/>
  <c r="BB155" i="18"/>
  <c r="BB156" i="18" s="1"/>
  <c r="BC155" i="18"/>
  <c r="BC156" i="18" s="1"/>
  <c r="BV158" i="18" s="1"/>
  <c r="BD155" i="18"/>
  <c r="BD156" i="18" s="1"/>
  <c r="BW158" i="18" s="1"/>
  <c r="BD139" i="18"/>
  <c r="BD140" i="18" s="1"/>
  <c r="BC139" i="18"/>
  <c r="BC140" i="18" s="1"/>
  <c r="BB139" i="18"/>
  <c r="BB140" i="18" s="1"/>
  <c r="BA139" i="18"/>
  <c r="BA140" i="18" s="1"/>
  <c r="AZ139" i="18"/>
  <c r="AY139" i="18"/>
  <c r="AY140" i="18" s="1"/>
  <c r="AX139" i="18"/>
  <c r="AX140" i="18" s="1"/>
  <c r="AW139" i="18"/>
  <c r="AW140" i="18" s="1"/>
  <c r="AV139" i="18"/>
  <c r="AV140" i="18" s="1"/>
  <c r="BD121" i="18"/>
  <c r="BW121" i="18" s="1"/>
  <c r="BC121" i="18"/>
  <c r="BV121" i="18" s="1"/>
  <c r="BB121" i="18"/>
  <c r="BU121" i="18" s="1"/>
  <c r="BA121" i="18"/>
  <c r="BT121" i="18" s="1"/>
  <c r="AZ121" i="18"/>
  <c r="AY121" i="18"/>
  <c r="BR121" i="18" s="1"/>
  <c r="AX121" i="18"/>
  <c r="BQ121" i="18" s="1"/>
  <c r="AW121" i="18"/>
  <c r="BP121" i="18" s="1"/>
  <c r="AV121" i="18"/>
  <c r="BO121" i="18" s="1"/>
  <c r="AU121" i="18"/>
  <c r="BN121" i="18" s="1"/>
  <c r="BD120" i="18"/>
  <c r="BW120" i="18" s="1"/>
  <c r="BC120" i="18"/>
  <c r="BV120" i="18" s="1"/>
  <c r="BB120" i="18"/>
  <c r="BU120" i="18" s="1"/>
  <c r="BA120" i="18"/>
  <c r="BT120" i="18" s="1"/>
  <c r="AZ120" i="18"/>
  <c r="AY120" i="18"/>
  <c r="BR120" i="18" s="1"/>
  <c r="AX120" i="18"/>
  <c r="BQ120" i="18" s="1"/>
  <c r="AW120" i="18"/>
  <c r="BP120" i="18" s="1"/>
  <c r="AV120" i="18"/>
  <c r="BO120" i="18" s="1"/>
  <c r="AU120" i="18"/>
  <c r="BN120" i="18" s="1"/>
  <c r="BD119" i="18"/>
  <c r="BW119" i="18" s="1"/>
  <c r="BC119" i="18"/>
  <c r="BV119" i="18" s="1"/>
  <c r="BB119" i="18"/>
  <c r="BU119" i="18" s="1"/>
  <c r="BA119" i="18"/>
  <c r="BT119" i="18" s="1"/>
  <c r="AZ119" i="18"/>
  <c r="AY119" i="18"/>
  <c r="BR119" i="18" s="1"/>
  <c r="AX119" i="18"/>
  <c r="BQ119" i="18" s="1"/>
  <c r="AW119" i="18"/>
  <c r="BP119" i="18" s="1"/>
  <c r="AV119" i="18"/>
  <c r="BO119" i="18" s="1"/>
  <c r="AU119" i="18"/>
  <c r="BD118" i="18"/>
  <c r="BW118" i="18" s="1"/>
  <c r="BC118" i="18"/>
  <c r="BV118" i="18" s="1"/>
  <c r="BB118" i="18"/>
  <c r="BU118" i="18" s="1"/>
  <c r="BA118" i="18"/>
  <c r="BT118" i="18" s="1"/>
  <c r="AZ118" i="18"/>
  <c r="AY118" i="18"/>
  <c r="BR118" i="18" s="1"/>
  <c r="AX118" i="18"/>
  <c r="BQ118" i="18" s="1"/>
  <c r="AW118" i="18"/>
  <c r="BP118" i="18" s="1"/>
  <c r="AV118" i="18"/>
  <c r="BO118" i="18" s="1"/>
  <c r="AU118" i="18"/>
  <c r="BN118" i="18" s="1"/>
  <c r="BD117" i="18"/>
  <c r="BW117" i="18" s="1"/>
  <c r="BC117" i="18"/>
  <c r="BV117" i="18" s="1"/>
  <c r="BB117" i="18"/>
  <c r="BU117" i="18" s="1"/>
  <c r="BA117" i="18"/>
  <c r="BT117" i="18" s="1"/>
  <c r="AZ117" i="18"/>
  <c r="AY117" i="18"/>
  <c r="BR117" i="18" s="1"/>
  <c r="AX117" i="18"/>
  <c r="BQ117" i="18" s="1"/>
  <c r="AW117" i="18"/>
  <c r="BP117" i="18" s="1"/>
  <c r="AV117" i="18"/>
  <c r="BO117" i="18" s="1"/>
  <c r="AU117" i="18"/>
  <c r="BN117" i="18" s="1"/>
  <c r="BD116" i="18"/>
  <c r="BW116" i="18" s="1"/>
  <c r="BC116" i="18"/>
  <c r="BV116" i="18" s="1"/>
  <c r="BB116" i="18"/>
  <c r="BU116" i="18" s="1"/>
  <c r="BA116" i="18"/>
  <c r="BT116" i="18" s="1"/>
  <c r="AZ116" i="18"/>
  <c r="AY116" i="18"/>
  <c r="BR116" i="18" s="1"/>
  <c r="AX116" i="18"/>
  <c r="BQ116" i="18" s="1"/>
  <c r="AW116" i="18"/>
  <c r="BP116" i="18" s="1"/>
  <c r="AV116" i="18"/>
  <c r="BO116" i="18" s="1"/>
  <c r="AU116" i="18"/>
  <c r="BN116" i="18" s="1"/>
  <c r="BD115" i="18"/>
  <c r="BW115" i="18" s="1"/>
  <c r="BC115" i="18"/>
  <c r="BV115" i="18" s="1"/>
  <c r="BB115" i="18"/>
  <c r="BU115" i="18" s="1"/>
  <c r="BA115" i="18"/>
  <c r="BT115" i="18" s="1"/>
  <c r="AZ115" i="18"/>
  <c r="AY115" i="18"/>
  <c r="BR115" i="18" s="1"/>
  <c r="AX115" i="18"/>
  <c r="BQ115" i="18" s="1"/>
  <c r="AW115" i="18"/>
  <c r="BP115" i="18" s="1"/>
  <c r="AV115" i="18"/>
  <c r="BO115" i="18" s="1"/>
  <c r="AU115" i="18"/>
  <c r="BD114" i="18"/>
  <c r="BW114" i="18" s="1"/>
  <c r="BC114" i="18"/>
  <c r="BV114" i="18" s="1"/>
  <c r="BB114" i="18"/>
  <c r="BU114" i="18" s="1"/>
  <c r="BA114" i="18"/>
  <c r="BT114" i="18" s="1"/>
  <c r="AZ114" i="18"/>
  <c r="AY114" i="18"/>
  <c r="BR114" i="18" s="1"/>
  <c r="AX114" i="18"/>
  <c r="BQ114" i="18" s="1"/>
  <c r="AW114" i="18"/>
  <c r="BP114" i="18" s="1"/>
  <c r="AV114" i="18"/>
  <c r="BO114" i="18" s="1"/>
  <c r="AU114" i="18"/>
  <c r="BN114" i="18" s="1"/>
  <c r="BD113" i="18"/>
  <c r="BW113" i="18" s="1"/>
  <c r="BC113" i="18"/>
  <c r="BV113" i="18" s="1"/>
  <c r="BB113" i="18"/>
  <c r="BU113" i="18" s="1"/>
  <c r="BA113" i="18"/>
  <c r="BT113" i="18" s="1"/>
  <c r="AZ113" i="18"/>
  <c r="AY113" i="18"/>
  <c r="BR113" i="18" s="1"/>
  <c r="AX113" i="18"/>
  <c r="BQ113" i="18" s="1"/>
  <c r="AW113" i="18"/>
  <c r="BP113" i="18" s="1"/>
  <c r="AV113" i="18"/>
  <c r="AU113" i="18"/>
  <c r="BN113" i="18" s="1"/>
  <c r="BD112" i="18"/>
  <c r="BW112" i="18" s="1"/>
  <c r="BC112" i="18"/>
  <c r="BV112" i="18" s="1"/>
  <c r="BB112" i="18"/>
  <c r="BU112" i="18" s="1"/>
  <c r="BA112" i="18"/>
  <c r="BT112" i="18" s="1"/>
  <c r="AZ112" i="18"/>
  <c r="AY112" i="18"/>
  <c r="BR112" i="18" s="1"/>
  <c r="AX112" i="18"/>
  <c r="BQ112" i="18" s="1"/>
  <c r="AW112" i="18"/>
  <c r="CK112" i="18" s="1"/>
  <c r="AV112" i="18"/>
  <c r="AU112" i="18"/>
  <c r="BN112" i="18" s="1"/>
  <c r="BD111" i="18"/>
  <c r="BW111" i="18" s="1"/>
  <c r="BC111" i="18"/>
  <c r="BV111" i="18" s="1"/>
  <c r="BB111" i="18"/>
  <c r="BU111" i="18" s="1"/>
  <c r="BA111" i="18"/>
  <c r="BT111" i="18" s="1"/>
  <c r="AZ111" i="18"/>
  <c r="AY111" i="18"/>
  <c r="BR111" i="18" s="1"/>
  <c r="AX111" i="18"/>
  <c r="BQ111" i="18" s="1"/>
  <c r="AW111" i="18"/>
  <c r="BP111" i="18" s="1"/>
  <c r="AV111" i="18"/>
  <c r="BO111" i="18" s="1"/>
  <c r="AU111" i="18"/>
  <c r="BN111" i="18" s="1"/>
  <c r="BD109" i="18"/>
  <c r="BW109" i="18" s="1"/>
  <c r="BC109" i="18"/>
  <c r="BV109" i="18" s="1"/>
  <c r="BB109" i="18"/>
  <c r="BU109" i="18" s="1"/>
  <c r="BA109" i="18"/>
  <c r="BT109" i="18" s="1"/>
  <c r="AZ109" i="18"/>
  <c r="AY109" i="18"/>
  <c r="BR109" i="18" s="1"/>
  <c r="AX109" i="18"/>
  <c r="BQ109" i="18" s="1"/>
  <c r="AW109" i="18"/>
  <c r="BP109" i="18" s="1"/>
  <c r="AV109" i="18"/>
  <c r="BO109" i="18" s="1"/>
  <c r="AU109" i="18"/>
  <c r="BN109" i="18" s="1"/>
  <c r="BD108" i="18"/>
  <c r="BW108" i="18" s="1"/>
  <c r="BC108" i="18"/>
  <c r="BV108" i="18" s="1"/>
  <c r="BB108" i="18"/>
  <c r="BU108" i="18" s="1"/>
  <c r="BA108" i="18"/>
  <c r="BT108" i="18" s="1"/>
  <c r="AZ108" i="18"/>
  <c r="AY108" i="18"/>
  <c r="BR108" i="18" s="1"/>
  <c r="AX108" i="18"/>
  <c r="BQ108" i="18" s="1"/>
  <c r="AW108" i="18"/>
  <c r="BP108" i="18" s="1"/>
  <c r="AV108" i="18"/>
  <c r="BO108" i="18" s="1"/>
  <c r="AU108" i="18"/>
  <c r="BN108" i="18" s="1"/>
  <c r="BD102" i="18"/>
  <c r="BW102" i="18" s="1"/>
  <c r="BC102" i="18"/>
  <c r="BV102" i="18" s="1"/>
  <c r="BB102" i="18"/>
  <c r="BU102" i="18" s="1"/>
  <c r="BA102" i="18"/>
  <c r="BT102" i="18" s="1"/>
  <c r="AZ102" i="18"/>
  <c r="AY102" i="18"/>
  <c r="BR102" i="18" s="1"/>
  <c r="AX102" i="18"/>
  <c r="BQ102" i="18" s="1"/>
  <c r="AW102" i="18"/>
  <c r="BP102" i="18" s="1"/>
  <c r="AV102" i="18"/>
  <c r="BO102" i="18" s="1"/>
  <c r="AU102" i="18"/>
  <c r="BN102" i="18" s="1"/>
  <c r="BD101" i="18"/>
  <c r="BW101" i="18" s="1"/>
  <c r="BC101" i="18"/>
  <c r="BV101" i="18" s="1"/>
  <c r="BB101" i="18"/>
  <c r="BU101" i="18" s="1"/>
  <c r="BA101" i="18"/>
  <c r="BT101" i="18" s="1"/>
  <c r="AZ101" i="18"/>
  <c r="AY101" i="18"/>
  <c r="BR101" i="18" s="1"/>
  <c r="AX101" i="18"/>
  <c r="BQ101" i="18" s="1"/>
  <c r="AW101" i="18"/>
  <c r="BP101" i="18" s="1"/>
  <c r="AV101" i="18"/>
  <c r="BO101" i="18" s="1"/>
  <c r="AU101" i="18"/>
  <c r="BN101" i="18" s="1"/>
  <c r="BD100" i="18"/>
  <c r="BW100" i="18" s="1"/>
  <c r="BC100" i="18"/>
  <c r="BV100" i="18" s="1"/>
  <c r="BB100" i="18"/>
  <c r="BU100" i="18" s="1"/>
  <c r="BA100" i="18"/>
  <c r="BT100" i="18" s="1"/>
  <c r="AZ100" i="18"/>
  <c r="AY100" i="18"/>
  <c r="BR100" i="18" s="1"/>
  <c r="AX100" i="18"/>
  <c r="BQ100" i="18" s="1"/>
  <c r="AW100" i="18"/>
  <c r="BP100" i="18" s="1"/>
  <c r="AV100" i="18"/>
  <c r="BO100" i="18" s="1"/>
  <c r="AU100" i="18"/>
  <c r="BN100" i="18" s="1"/>
  <c r="BD99" i="18"/>
  <c r="BW99" i="18" s="1"/>
  <c r="BC99" i="18"/>
  <c r="BV99" i="18" s="1"/>
  <c r="BB99" i="18"/>
  <c r="BU99" i="18" s="1"/>
  <c r="BA99" i="18"/>
  <c r="BT99" i="18" s="1"/>
  <c r="AZ99" i="18"/>
  <c r="AY99" i="18"/>
  <c r="BR99" i="18" s="1"/>
  <c r="AX99" i="18"/>
  <c r="BQ99" i="18" s="1"/>
  <c r="AW99" i="18"/>
  <c r="BP99" i="18" s="1"/>
  <c r="AV99" i="18"/>
  <c r="BO99" i="18" s="1"/>
  <c r="AU99" i="18"/>
  <c r="BN99" i="18" s="1"/>
  <c r="BD98" i="18"/>
  <c r="BW98" i="18" s="1"/>
  <c r="BC98" i="18"/>
  <c r="BV98" i="18" s="1"/>
  <c r="BB98" i="18"/>
  <c r="BU98" i="18" s="1"/>
  <c r="BA98" i="18"/>
  <c r="BT98" i="18" s="1"/>
  <c r="AZ98" i="18"/>
  <c r="AY98" i="18"/>
  <c r="BR98" i="18" s="1"/>
  <c r="AX98" i="18"/>
  <c r="BQ98" i="18" s="1"/>
  <c r="AW98" i="18"/>
  <c r="BP98" i="18" s="1"/>
  <c r="AV98" i="18"/>
  <c r="BO98" i="18" s="1"/>
  <c r="AU98" i="18"/>
  <c r="BN98" i="18" s="1"/>
  <c r="BD97" i="18"/>
  <c r="BW97" i="18" s="1"/>
  <c r="BC97" i="18"/>
  <c r="BV97" i="18" s="1"/>
  <c r="BB97" i="18"/>
  <c r="BU97" i="18" s="1"/>
  <c r="BA97" i="18"/>
  <c r="BT97" i="18" s="1"/>
  <c r="AZ97" i="18"/>
  <c r="AY97" i="18"/>
  <c r="BR97" i="18" s="1"/>
  <c r="AX97" i="18"/>
  <c r="BQ97" i="18" s="1"/>
  <c r="AW97" i="18"/>
  <c r="BP97" i="18" s="1"/>
  <c r="AV97" i="18"/>
  <c r="AU97" i="18"/>
  <c r="BN97" i="18" s="1"/>
  <c r="BD96" i="18"/>
  <c r="BW96" i="18" s="1"/>
  <c r="BC96" i="18"/>
  <c r="BV96" i="18" s="1"/>
  <c r="BB96" i="18"/>
  <c r="BU96" i="18" s="1"/>
  <c r="BA96" i="18"/>
  <c r="BT96" i="18" s="1"/>
  <c r="AZ96" i="18"/>
  <c r="AY96" i="18"/>
  <c r="BR96" i="18" s="1"/>
  <c r="AX96" i="18"/>
  <c r="BQ96" i="18" s="1"/>
  <c r="AW96" i="18"/>
  <c r="BP96" i="18" s="1"/>
  <c r="AV96" i="18"/>
  <c r="AU96" i="18"/>
  <c r="BN96" i="18" s="1"/>
  <c r="BD95" i="18"/>
  <c r="BW95" i="18" s="1"/>
  <c r="BC95" i="18"/>
  <c r="BV95" i="18" s="1"/>
  <c r="BB95" i="18"/>
  <c r="BU95" i="18" s="1"/>
  <c r="BA95" i="18"/>
  <c r="BT95" i="18" s="1"/>
  <c r="AZ95" i="18"/>
  <c r="AY95" i="18"/>
  <c r="BR95" i="18" s="1"/>
  <c r="AX95" i="18"/>
  <c r="BQ95" i="18" s="1"/>
  <c r="AW95" i="18"/>
  <c r="BP95" i="18" s="1"/>
  <c r="AV95" i="18"/>
  <c r="AU95" i="18"/>
  <c r="BN95" i="18" s="1"/>
  <c r="BD94" i="18"/>
  <c r="BW94" i="18" s="1"/>
  <c r="BC94" i="18"/>
  <c r="BV94" i="18" s="1"/>
  <c r="BB94" i="18"/>
  <c r="BU94" i="18" s="1"/>
  <c r="BA94" i="18"/>
  <c r="BT94" i="18" s="1"/>
  <c r="AZ94" i="18"/>
  <c r="AY94" i="18"/>
  <c r="BR94" i="18" s="1"/>
  <c r="AX94" i="18"/>
  <c r="BQ94" i="18" s="1"/>
  <c r="AW94" i="18"/>
  <c r="BP94" i="18" s="1"/>
  <c r="AV94" i="18"/>
  <c r="BO94" i="18" s="1"/>
  <c r="AU94" i="18"/>
  <c r="BN94" i="18" s="1"/>
  <c r="BD93" i="18"/>
  <c r="BW93" i="18" s="1"/>
  <c r="BC93" i="18"/>
  <c r="BV93" i="18" s="1"/>
  <c r="BB93" i="18"/>
  <c r="BU93" i="18" s="1"/>
  <c r="BA93" i="18"/>
  <c r="BT93" i="18" s="1"/>
  <c r="AZ93" i="18"/>
  <c r="AY93" i="18"/>
  <c r="BR93" i="18" s="1"/>
  <c r="AX93" i="18"/>
  <c r="AW93" i="18"/>
  <c r="AV93" i="18"/>
  <c r="AU93" i="18"/>
  <c r="BP27" i="36" l="1"/>
  <c r="BB16" i="20"/>
  <c r="BN15" i="20" s="1"/>
  <c r="BQ93" i="18"/>
  <c r="BQ124" i="18" s="1"/>
  <c r="AX124" i="18"/>
  <c r="BF230" i="38"/>
  <c r="CG100" i="36"/>
  <c r="CG101" i="36" s="1"/>
  <c r="CE98" i="36"/>
  <c r="CE101" i="36"/>
  <c r="BM54" i="34"/>
  <c r="BK55" i="34"/>
  <c r="BM55" i="34" s="1"/>
  <c r="BK52" i="34"/>
  <c r="CK113" i="18"/>
  <c r="BO93" i="18"/>
  <c r="BO124" i="18" s="1"/>
  <c r="AV124" i="18"/>
  <c r="CJ112" i="18"/>
  <c r="CJ113" i="18"/>
  <c r="CC113" i="18" s="1"/>
  <c r="CE113" i="18" s="1"/>
  <c r="BN115" i="18"/>
  <c r="CC115" i="18" s="1"/>
  <c r="BN119" i="18"/>
  <c r="CC119" i="18" s="1"/>
  <c r="BS96" i="18"/>
  <c r="CO96" i="18"/>
  <c r="CY96" i="18" s="1"/>
  <c r="BS100" i="18"/>
  <c r="CO100" i="18"/>
  <c r="CY100" i="18" s="1"/>
  <c r="BS108" i="18"/>
  <c r="CO108" i="18"/>
  <c r="CY108" i="18" s="1"/>
  <c r="BS113" i="18"/>
  <c r="CO113" i="18"/>
  <c r="BS117" i="18"/>
  <c r="CO117" i="18"/>
  <c r="CY117" i="18" s="1"/>
  <c r="BS121" i="18"/>
  <c r="CO121" i="18"/>
  <c r="CY121" i="18" s="1"/>
  <c r="CO104" i="18"/>
  <c r="CY104" i="18" s="1"/>
  <c r="AZ140" i="18"/>
  <c r="CO140" i="18" s="1"/>
  <c r="CY140" i="18" s="1"/>
  <c r="CO139" i="18"/>
  <c r="CY139" i="18" s="1"/>
  <c r="BS95" i="18"/>
  <c r="CO95" i="18"/>
  <c r="CY95" i="18" s="1"/>
  <c r="BS99" i="18"/>
  <c r="CO99" i="18"/>
  <c r="CY99" i="18" s="1"/>
  <c r="BS112" i="18"/>
  <c r="CO112" i="18"/>
  <c r="BS93" i="18"/>
  <c r="CO93" i="18"/>
  <c r="CY93" i="18" s="1"/>
  <c r="BS97" i="18"/>
  <c r="CO97" i="18"/>
  <c r="CY97" i="18" s="1"/>
  <c r="BS101" i="18"/>
  <c r="CO101" i="18"/>
  <c r="CY101" i="18" s="1"/>
  <c r="BS109" i="18"/>
  <c r="CO109" i="18"/>
  <c r="CY109" i="18" s="1"/>
  <c r="BS114" i="18"/>
  <c r="CO114" i="18"/>
  <c r="CY114" i="18" s="1"/>
  <c r="BS118" i="18"/>
  <c r="CO118" i="18"/>
  <c r="CY118" i="18" s="1"/>
  <c r="AZ156" i="18"/>
  <c r="CO156" i="18" s="1"/>
  <c r="CY156" i="18" s="1"/>
  <c r="CO155" i="18"/>
  <c r="CY155" i="18" s="1"/>
  <c r="BS120" i="18"/>
  <c r="CO120" i="18"/>
  <c r="CY120" i="18" s="1"/>
  <c r="AZ148" i="18"/>
  <c r="CO148" i="18" s="1"/>
  <c r="CY148" i="18" s="1"/>
  <c r="CO147" i="18"/>
  <c r="CY147" i="18" s="1"/>
  <c r="BS94" i="18"/>
  <c r="CO94" i="18"/>
  <c r="CY94" i="18" s="1"/>
  <c r="BS98" i="18"/>
  <c r="CO98" i="18"/>
  <c r="CY98" i="18" s="1"/>
  <c r="BS102" i="18"/>
  <c r="CO102" i="18"/>
  <c r="CY102" i="18" s="1"/>
  <c r="BS111" i="18"/>
  <c r="CO111" i="18"/>
  <c r="CY111" i="18" s="1"/>
  <c r="BS115" i="18"/>
  <c r="CO115" i="18"/>
  <c r="CY115" i="18" s="1"/>
  <c r="BS119" i="18"/>
  <c r="CO119" i="18"/>
  <c r="CY119" i="18" s="1"/>
  <c r="BS116" i="18"/>
  <c r="CO116" i="18"/>
  <c r="CY116" i="18" s="1"/>
  <c r="BN93" i="18"/>
  <c r="AU124" i="18"/>
  <c r="AZ165" i="18"/>
  <c r="BS167" i="18" s="1"/>
  <c r="CO163" i="18"/>
  <c r="CY163" i="18" s="1"/>
  <c r="BK112" i="38"/>
  <c r="BM114" i="38"/>
  <c r="BM117" i="38" s="1"/>
  <c r="BK117" i="38"/>
  <c r="AZ153" i="37"/>
  <c r="BE57" i="37"/>
  <c r="AW57" i="37"/>
  <c r="BA153" i="37"/>
  <c r="AX161" i="37"/>
  <c r="BE161" i="37"/>
  <c r="AW161" i="37"/>
  <c r="BD161" i="37"/>
  <c r="AY161" i="37"/>
  <c r="AX113" i="37"/>
  <c r="AX41" i="37"/>
  <c r="BA65" i="37"/>
  <c r="AX49" i="37"/>
  <c r="BC73" i="37"/>
  <c r="AZ105" i="37"/>
  <c r="BC121" i="37"/>
  <c r="AZ129" i="37"/>
  <c r="BC57" i="37"/>
  <c r="BB9" i="37"/>
  <c r="BE113" i="37"/>
  <c r="AW113" i="37"/>
  <c r="BE137" i="37"/>
  <c r="AW137" i="37"/>
  <c r="BC9" i="37"/>
  <c r="BE41" i="37"/>
  <c r="AW41" i="37"/>
  <c r="AZ65" i="37"/>
  <c r="BE49" i="37"/>
  <c r="AW49" i="37"/>
  <c r="BB73" i="37"/>
  <c r="AY105" i="37"/>
  <c r="BB121" i="37"/>
  <c r="AY129" i="37"/>
  <c r="BB145" i="37"/>
  <c r="AY153" i="37"/>
  <c r="AV161" i="37"/>
  <c r="BB57" i="37"/>
  <c r="AY57" i="37"/>
  <c r="AZ113" i="37"/>
  <c r="AZ137" i="37"/>
  <c r="BD113" i="37"/>
  <c r="AV113" i="37"/>
  <c r="BA9" i="37"/>
  <c r="BD41" i="37"/>
  <c r="AY65" i="37"/>
  <c r="BD49" i="37"/>
  <c r="AV49" i="37"/>
  <c r="BA73" i="37"/>
  <c r="AX105" i="37"/>
  <c r="BA57" i="37"/>
  <c r="AY113" i="37"/>
  <c r="AY137" i="37"/>
  <c r="BD9" i="37"/>
  <c r="AV9" i="37"/>
  <c r="AY41" i="37"/>
  <c r="BB65" i="37"/>
  <c r="AY49" i="37"/>
  <c r="BD73" i="37"/>
  <c r="AV73" i="37"/>
  <c r="BA105" i="37"/>
  <c r="BD121" i="37"/>
  <c r="AV121" i="37"/>
  <c r="BA129" i="37"/>
  <c r="BD57" i="37"/>
  <c r="BC145" i="37"/>
  <c r="BD137" i="37"/>
  <c r="AV137" i="37"/>
  <c r="BA121" i="37"/>
  <c r="BA145" i="37"/>
  <c r="AX153" i="37"/>
  <c r="AX9" i="37"/>
  <c r="BA41" i="37"/>
  <c r="BD65" i="37"/>
  <c r="AV65" i="37"/>
  <c r="BA49" i="37"/>
  <c r="AX73" i="37"/>
  <c r="BC105" i="37"/>
  <c r="AX121" i="37"/>
  <c r="BC129" i="37"/>
  <c r="AX145" i="37"/>
  <c r="BC153" i="37"/>
  <c r="BA161" i="37"/>
  <c r="BE9" i="37"/>
  <c r="AW9" i="37"/>
  <c r="AZ41" i="37"/>
  <c r="BC65" i="37"/>
  <c r="AZ49" i="37"/>
  <c r="BE73" i="37"/>
  <c r="AW73" i="37"/>
  <c r="BB105" i="37"/>
  <c r="BE121" i="37"/>
  <c r="AW121" i="37"/>
  <c r="BB129" i="37"/>
  <c r="BE145" i="37"/>
  <c r="AW145" i="37"/>
  <c r="BB153" i="37"/>
  <c r="AZ161" i="37"/>
  <c r="AX57" i="37"/>
  <c r="AX129" i="37"/>
  <c r="BA113" i="37"/>
  <c r="BA137" i="37"/>
  <c r="BC113" i="37"/>
  <c r="AU113" i="37"/>
  <c r="BC137" i="37"/>
  <c r="AZ9" i="37"/>
  <c r="BC41" i="37"/>
  <c r="AX65" i="37"/>
  <c r="BC49" i="37"/>
  <c r="AZ73" i="37"/>
  <c r="BE105" i="37"/>
  <c r="AW105" i="37"/>
  <c r="BB113" i="37"/>
  <c r="AZ121" i="37"/>
  <c r="BE129" i="37"/>
  <c r="AW129" i="37"/>
  <c r="BB137" i="37"/>
  <c r="AZ145" i="37"/>
  <c r="BE153" i="37"/>
  <c r="AW153" i="37"/>
  <c r="BC161" i="37"/>
  <c r="AY9" i="37"/>
  <c r="AZ57" i="37"/>
  <c r="BB41" i="37"/>
  <c r="BE65" i="37"/>
  <c r="AW65" i="37"/>
  <c r="BB49" i="37"/>
  <c r="AY73" i="37"/>
  <c r="BD105" i="37"/>
  <c r="AV105" i="37"/>
  <c r="AY121" i="37"/>
  <c r="BD129" i="37"/>
  <c r="AV129" i="37"/>
  <c r="AY145" i="37"/>
  <c r="BD153" i="37"/>
  <c r="AV153" i="37"/>
  <c r="BB161" i="37"/>
  <c r="BP93" i="18"/>
  <c r="BP124" i="18" s="1"/>
  <c r="AW124" i="18"/>
  <c r="BU158" i="18"/>
  <c r="BT142" i="18"/>
  <c r="BV150" i="18"/>
  <c r="BP167" i="18"/>
  <c r="BO142" i="18"/>
  <c r="BQ150" i="18"/>
  <c r="BP142" i="18"/>
  <c r="BP150" i="18"/>
  <c r="BR167" i="18"/>
  <c r="BW142" i="18"/>
  <c r="BW150" i="18"/>
  <c r="BO150" i="18"/>
  <c r="BQ167" i="18"/>
  <c r="BU150" i="18"/>
  <c r="BW167" i="18"/>
  <c r="BO167" i="18"/>
  <c r="BT158" i="18"/>
  <c r="BR142" i="18"/>
  <c r="BU167" i="18"/>
  <c r="BT150" i="18"/>
  <c r="BV167" i="18"/>
  <c r="BQ142" i="18"/>
  <c r="BU142" i="18"/>
  <c r="BR158" i="18"/>
  <c r="BV142" i="18"/>
  <c r="BQ158" i="18"/>
  <c r="BR150" i="18"/>
  <c r="BT167" i="18"/>
  <c r="BT222" i="18"/>
  <c r="BR124" i="18"/>
  <c r="BT124" i="18"/>
  <c r="BN222" i="18"/>
  <c r="BU124" i="18"/>
  <c r="BW124" i="18"/>
  <c r="BV124" i="18"/>
  <c r="BQ222" i="18"/>
  <c r="BU222" i="18"/>
  <c r="BC124" i="18"/>
  <c r="BP222" i="18"/>
  <c r="BB124" i="18"/>
  <c r="BD124" i="18"/>
  <c r="BO222" i="18"/>
  <c r="AZ124" i="18"/>
  <c r="CO124" i="18" s="1"/>
  <c r="CY124" i="18" s="1"/>
  <c r="BA124" i="18"/>
  <c r="AY124" i="18"/>
  <c r="BW222" i="18"/>
  <c r="BD81" i="18"/>
  <c r="BW81" i="18" s="1"/>
  <c r="BC81" i="18"/>
  <c r="BV81" i="18" s="1"/>
  <c r="BB81" i="18"/>
  <c r="BU81" i="18" s="1"/>
  <c r="BA81" i="18"/>
  <c r="AZ81" i="18"/>
  <c r="AY81" i="18"/>
  <c r="AX81" i="18"/>
  <c r="BQ81" i="18" s="1"/>
  <c r="AW81" i="18"/>
  <c r="BP81" i="18" s="1"/>
  <c r="AV81" i="18"/>
  <c r="BO81" i="18" s="1"/>
  <c r="AU81" i="18"/>
  <c r="BN81" i="18" s="1"/>
  <c r="BD80" i="18"/>
  <c r="BW80" i="18" s="1"/>
  <c r="BC80" i="18"/>
  <c r="BV80" i="18" s="1"/>
  <c r="BB80" i="18"/>
  <c r="BA80" i="18"/>
  <c r="AZ80" i="18"/>
  <c r="AY80" i="18"/>
  <c r="AX80" i="18"/>
  <c r="BQ80" i="18" s="1"/>
  <c r="AW80" i="18"/>
  <c r="BP80" i="18" s="1"/>
  <c r="AV80" i="18"/>
  <c r="BO80" i="18" s="1"/>
  <c r="AU80" i="18"/>
  <c r="BN80" i="18" s="1"/>
  <c r="BD79" i="18"/>
  <c r="BW79" i="18" s="1"/>
  <c r="BC79" i="18"/>
  <c r="BV79" i="18" s="1"/>
  <c r="BB79" i="18"/>
  <c r="BU79" i="18" s="1"/>
  <c r="BA79" i="18"/>
  <c r="BT79" i="18" s="1"/>
  <c r="AZ79" i="18"/>
  <c r="BS79" i="18" s="1"/>
  <c r="AY79" i="18"/>
  <c r="BR79" i="18" s="1"/>
  <c r="AX79" i="18"/>
  <c r="BQ79" i="18" s="1"/>
  <c r="AW79" i="18"/>
  <c r="BP79" i="18" s="1"/>
  <c r="AV79" i="18"/>
  <c r="BO79" i="18" s="1"/>
  <c r="AU79" i="18"/>
  <c r="BN79" i="18" s="1"/>
  <c r="BD77" i="18"/>
  <c r="BB77" i="18"/>
  <c r="BU77" i="18" s="1"/>
  <c r="BA77" i="18"/>
  <c r="BT77" i="18" s="1"/>
  <c r="AZ77" i="18"/>
  <c r="AY77" i="18"/>
  <c r="BR77" i="18" s="1"/>
  <c r="AX77" i="18"/>
  <c r="BQ77" i="18" s="1"/>
  <c r="AW77" i="18"/>
  <c r="BP77" i="18" s="1"/>
  <c r="AV77" i="18"/>
  <c r="BO77" i="18" s="1"/>
  <c r="AU77" i="18"/>
  <c r="BN77" i="18" s="1"/>
  <c r="BD76" i="18"/>
  <c r="BB76" i="18"/>
  <c r="BU76" i="18" s="1"/>
  <c r="BA76" i="18"/>
  <c r="BT76" i="18" s="1"/>
  <c r="AZ76" i="18"/>
  <c r="AY76" i="18"/>
  <c r="BR76" i="18" s="1"/>
  <c r="AX76" i="18"/>
  <c r="BQ76" i="18" s="1"/>
  <c r="AW76" i="18"/>
  <c r="BP76" i="18" s="1"/>
  <c r="AV76" i="18"/>
  <c r="BO76" i="18" s="1"/>
  <c r="AU76" i="18"/>
  <c r="BN76" i="18" s="1"/>
  <c r="BD75" i="18"/>
  <c r="BC75" i="18"/>
  <c r="BB75" i="18"/>
  <c r="BU75" i="18" s="1"/>
  <c r="BA75" i="18"/>
  <c r="BT75" i="18" s="1"/>
  <c r="AZ75" i="18"/>
  <c r="AY75" i="18"/>
  <c r="BR75" i="18" s="1"/>
  <c r="AX75" i="18"/>
  <c r="BQ75" i="18" s="1"/>
  <c r="AW75" i="18"/>
  <c r="BP75" i="18" s="1"/>
  <c r="AV75" i="18"/>
  <c r="BO75" i="18" s="1"/>
  <c r="AU75" i="18"/>
  <c r="BN75" i="18" s="1"/>
  <c r="BD73" i="18"/>
  <c r="BB73" i="18"/>
  <c r="BA73" i="18"/>
  <c r="AZ73" i="18"/>
  <c r="AY73" i="18"/>
  <c r="AX73" i="18"/>
  <c r="AW73" i="18"/>
  <c r="AV73" i="18"/>
  <c r="AU73" i="18"/>
  <c r="BD69" i="18"/>
  <c r="BC69" i="18"/>
  <c r="BB69" i="18"/>
  <c r="BA69" i="18"/>
  <c r="AZ69" i="18"/>
  <c r="AY69" i="18"/>
  <c r="AX69" i="18"/>
  <c r="AW69" i="18"/>
  <c r="AU69" i="18"/>
  <c r="BD68" i="18"/>
  <c r="BC68" i="18"/>
  <c r="BB68" i="18"/>
  <c r="BA68" i="18"/>
  <c r="AZ68" i="18"/>
  <c r="AY68" i="18"/>
  <c r="AX68" i="18"/>
  <c r="AW68" i="18"/>
  <c r="AU68" i="18"/>
  <c r="BD67" i="18"/>
  <c r="BC67" i="18"/>
  <c r="BB67" i="18"/>
  <c r="BA67" i="18"/>
  <c r="AZ67" i="18"/>
  <c r="AY67" i="18"/>
  <c r="AX67" i="18"/>
  <c r="AW67" i="18"/>
  <c r="AU67" i="18"/>
  <c r="BD66" i="18"/>
  <c r="BC66" i="18"/>
  <c r="BB66" i="18"/>
  <c r="BA66" i="18"/>
  <c r="AZ66" i="18"/>
  <c r="AY66" i="18"/>
  <c r="AX66" i="18"/>
  <c r="AW66" i="18"/>
  <c r="AU66" i="18"/>
  <c r="BD65" i="18"/>
  <c r="BC65" i="18"/>
  <c r="BB65" i="18"/>
  <c r="BA65" i="18"/>
  <c r="AZ65" i="18"/>
  <c r="AY65" i="18"/>
  <c r="AX65" i="18"/>
  <c r="AW65" i="18"/>
  <c r="AU65" i="18"/>
  <c r="BD64" i="18"/>
  <c r="BC64" i="18"/>
  <c r="BB64" i="18"/>
  <c r="BA64" i="18"/>
  <c r="AZ64" i="18"/>
  <c r="AY64" i="18"/>
  <c r="AX64" i="18"/>
  <c r="AW64" i="18"/>
  <c r="AU64" i="18"/>
  <c r="BD63" i="18"/>
  <c r="BC63" i="18"/>
  <c r="BB63" i="18"/>
  <c r="BA63" i="18"/>
  <c r="AZ63" i="18"/>
  <c r="AY63" i="18"/>
  <c r="AX63" i="18"/>
  <c r="AW63" i="18"/>
  <c r="AU63" i="18"/>
  <c r="BD62" i="18"/>
  <c r="BC62" i="18"/>
  <c r="BB62" i="18"/>
  <c r="BA62" i="18"/>
  <c r="AZ62" i="18"/>
  <c r="AY62" i="18"/>
  <c r="AX62" i="18"/>
  <c r="AW62" i="18"/>
  <c r="AU62" i="18"/>
  <c r="BD44" i="18"/>
  <c r="BW44" i="18" s="1"/>
  <c r="BC44" i="18"/>
  <c r="BV44" i="18" s="1"/>
  <c r="BB44" i="18"/>
  <c r="BU44" i="18" s="1"/>
  <c r="BA44" i="18"/>
  <c r="BT44" i="18" s="1"/>
  <c r="AZ44" i="18"/>
  <c r="BS44" i="18" s="1"/>
  <c r="AY44" i="18"/>
  <c r="AX44" i="18"/>
  <c r="AW44" i="18"/>
  <c r="AV44" i="18"/>
  <c r="BO44" i="18" s="1"/>
  <c r="AU44" i="18"/>
  <c r="BN44" i="18" s="1"/>
  <c r="BD41" i="18"/>
  <c r="BC41" i="18"/>
  <c r="BB41" i="18"/>
  <c r="BA41" i="18"/>
  <c r="AZ41" i="18"/>
  <c r="AY41" i="18"/>
  <c r="AX41" i="18"/>
  <c r="AW41" i="18"/>
  <c r="AV41" i="18"/>
  <c r="AU41" i="18"/>
  <c r="BD40" i="18"/>
  <c r="BC40" i="18"/>
  <c r="BB40" i="18"/>
  <c r="AY40" i="18"/>
  <c r="AX40" i="18"/>
  <c r="AW40" i="18"/>
  <c r="AV40" i="18"/>
  <c r="AU40" i="18"/>
  <c r="BD39" i="18"/>
  <c r="BC39" i="18"/>
  <c r="BB39" i="18"/>
  <c r="BA39" i="18"/>
  <c r="AZ39" i="18"/>
  <c r="AY39" i="18"/>
  <c r="AX39" i="18"/>
  <c r="AW39" i="18"/>
  <c r="AV39" i="18"/>
  <c r="AU39" i="18"/>
  <c r="BD38" i="18"/>
  <c r="BC38" i="18"/>
  <c r="BB38" i="18"/>
  <c r="BA38" i="18"/>
  <c r="AZ38" i="18"/>
  <c r="AY38" i="18"/>
  <c r="AX38" i="18"/>
  <c r="AW38" i="18"/>
  <c r="AV38" i="18"/>
  <c r="AU38" i="18"/>
  <c r="BD37" i="18"/>
  <c r="BC37" i="18"/>
  <c r="BB37" i="18"/>
  <c r="BA37" i="18"/>
  <c r="AZ37" i="18"/>
  <c r="AY37" i="18"/>
  <c r="AX37" i="18"/>
  <c r="AW37" i="18"/>
  <c r="AV37" i="18"/>
  <c r="AU37" i="18"/>
  <c r="BD36" i="18"/>
  <c r="BW36" i="18" s="1"/>
  <c r="BC36" i="18"/>
  <c r="BV36" i="18" s="1"/>
  <c r="BB36" i="18"/>
  <c r="BU36" i="18" s="1"/>
  <c r="BA36" i="18"/>
  <c r="BT36" i="18" s="1"/>
  <c r="AZ36" i="18"/>
  <c r="BS36" i="18" s="1"/>
  <c r="AY36" i="18"/>
  <c r="BR36" i="18" s="1"/>
  <c r="AX36" i="18"/>
  <c r="BQ36" i="18" s="1"/>
  <c r="AW36" i="18"/>
  <c r="BP36" i="18" s="1"/>
  <c r="AV36" i="18"/>
  <c r="BO36" i="18" s="1"/>
  <c r="AU36" i="18"/>
  <c r="BN36" i="18" s="1"/>
  <c r="BD35" i="18"/>
  <c r="BC35" i="18"/>
  <c r="CQ35" i="18" s="1"/>
  <c r="CY35" i="18" s="1"/>
  <c r="BB35" i="18"/>
  <c r="BU35" i="18" s="1"/>
  <c r="BA35" i="18"/>
  <c r="BT35" i="18" s="1"/>
  <c r="AZ35" i="18"/>
  <c r="BS35" i="18" s="1"/>
  <c r="AY35" i="18"/>
  <c r="AX35" i="18"/>
  <c r="BQ35" i="18" s="1"/>
  <c r="AW35" i="18"/>
  <c r="BP35" i="18" s="1"/>
  <c r="AV35" i="18"/>
  <c r="AU35" i="18"/>
  <c r="BN35" i="18" s="1"/>
  <c r="BD34" i="18"/>
  <c r="BW34" i="18" s="1"/>
  <c r="BC34" i="18"/>
  <c r="BV34" i="18" s="1"/>
  <c r="BB34" i="18"/>
  <c r="BU34" i="18" s="1"/>
  <c r="BA34" i="18"/>
  <c r="BT34" i="18" s="1"/>
  <c r="AZ34" i="18"/>
  <c r="BS34" i="18" s="1"/>
  <c r="AY34" i="18"/>
  <c r="BR34" i="18" s="1"/>
  <c r="AX34" i="18"/>
  <c r="BQ34" i="18" s="1"/>
  <c r="AW34" i="18"/>
  <c r="BP34" i="18" s="1"/>
  <c r="AV34" i="18"/>
  <c r="BO34" i="18" s="1"/>
  <c r="AU34" i="18"/>
  <c r="BN34" i="18" s="1"/>
  <c r="BC33" i="18"/>
  <c r="CQ33" i="18" s="1"/>
  <c r="CY33" i="18" s="1"/>
  <c r="BB33" i="18"/>
  <c r="BU33" i="18" s="1"/>
  <c r="BA33" i="18"/>
  <c r="AZ33" i="18"/>
  <c r="BS33" i="18" s="1"/>
  <c r="AY33" i="18"/>
  <c r="BR33" i="18" s="1"/>
  <c r="AX33" i="18"/>
  <c r="BQ33" i="18" s="1"/>
  <c r="AW33" i="18"/>
  <c r="BP33" i="18" s="1"/>
  <c r="AV33" i="18"/>
  <c r="BO33" i="18" s="1"/>
  <c r="AU33" i="18"/>
  <c r="BN33" i="18" s="1"/>
  <c r="BD32" i="18"/>
  <c r="BW32" i="18" s="1"/>
  <c r="BC32" i="18"/>
  <c r="BV32" i="18" s="1"/>
  <c r="BB32" i="18"/>
  <c r="BU32" i="18" s="1"/>
  <c r="BA32" i="18"/>
  <c r="BT32" i="18" s="1"/>
  <c r="AZ32" i="18"/>
  <c r="BS32" i="18" s="1"/>
  <c r="AY32" i="18"/>
  <c r="BR32" i="18" s="1"/>
  <c r="AX32" i="18"/>
  <c r="BQ32" i="18" s="1"/>
  <c r="AW32" i="18"/>
  <c r="BP32" i="18" s="1"/>
  <c r="AV32" i="18"/>
  <c r="BO32" i="18" s="1"/>
  <c r="AU32" i="18"/>
  <c r="BN32" i="18" s="1"/>
  <c r="BD31" i="18"/>
  <c r="BB31" i="18"/>
  <c r="BA31" i="18"/>
  <c r="AZ31" i="18"/>
  <c r="AY31" i="18"/>
  <c r="AX31" i="18"/>
  <c r="AW31" i="18"/>
  <c r="AV31" i="18"/>
  <c r="BD30" i="18"/>
  <c r="BB30" i="18"/>
  <c r="BA30" i="18"/>
  <c r="AZ30" i="18"/>
  <c r="AY30" i="18"/>
  <c r="AX30" i="18"/>
  <c r="AW30" i="18"/>
  <c r="AV30" i="18"/>
  <c r="AU30" i="18"/>
  <c r="BD29" i="18"/>
  <c r="BW29" i="18" s="1"/>
  <c r="BC29" i="18"/>
  <c r="BV29" i="18" s="1"/>
  <c r="BB29" i="18"/>
  <c r="BU29" i="18" s="1"/>
  <c r="BA29" i="18"/>
  <c r="BT29" i="18" s="1"/>
  <c r="AZ29" i="18"/>
  <c r="BS29" i="18" s="1"/>
  <c r="AY29" i="18"/>
  <c r="BR29" i="18" s="1"/>
  <c r="AX29" i="18"/>
  <c r="BQ29" i="18" s="1"/>
  <c r="AW29" i="18"/>
  <c r="BP29" i="18" s="1"/>
  <c r="AV29" i="18"/>
  <c r="BO29" i="18" s="1"/>
  <c r="AU29" i="18"/>
  <c r="BN29" i="18" s="1"/>
  <c r="BD25" i="18"/>
  <c r="BC25" i="18"/>
  <c r="BV25" i="18" s="1"/>
  <c r="BB25" i="18"/>
  <c r="BU25" i="18" s="1"/>
  <c r="BA25" i="18"/>
  <c r="BT25" i="18" s="1"/>
  <c r="AZ25" i="18"/>
  <c r="BS25" i="18" s="1"/>
  <c r="AY25" i="18"/>
  <c r="BR25" i="18" s="1"/>
  <c r="AX25" i="18"/>
  <c r="BQ25" i="18" s="1"/>
  <c r="AW25" i="18"/>
  <c r="BP25" i="18" s="1"/>
  <c r="AV25" i="18"/>
  <c r="BO25" i="18" s="1"/>
  <c r="AU25" i="18"/>
  <c r="BD24" i="18"/>
  <c r="BC24" i="18"/>
  <c r="BV24" i="18" s="1"/>
  <c r="BB24" i="18"/>
  <c r="BU24" i="18" s="1"/>
  <c r="BA24" i="18"/>
  <c r="BT24" i="18" s="1"/>
  <c r="AZ24" i="18"/>
  <c r="BS24" i="18" s="1"/>
  <c r="AY24" i="18"/>
  <c r="BR24" i="18" s="1"/>
  <c r="AX24" i="18"/>
  <c r="BQ24" i="18" s="1"/>
  <c r="AW24" i="18"/>
  <c r="BP24" i="18" s="1"/>
  <c r="AV24" i="18"/>
  <c r="BO24" i="18" s="1"/>
  <c r="AU24" i="18"/>
  <c r="BD23" i="18"/>
  <c r="BC23" i="18"/>
  <c r="BV23" i="18" s="1"/>
  <c r="BB23" i="18"/>
  <c r="BU23" i="18" s="1"/>
  <c r="BA23" i="18"/>
  <c r="BT23" i="18" s="1"/>
  <c r="AZ23" i="18"/>
  <c r="BS23" i="18" s="1"/>
  <c r="AY23" i="18"/>
  <c r="BR23" i="18" s="1"/>
  <c r="AX23" i="18"/>
  <c r="BQ23" i="18" s="1"/>
  <c r="AW23" i="18"/>
  <c r="BP23" i="18" s="1"/>
  <c r="AV23" i="18"/>
  <c r="BO23" i="18" s="1"/>
  <c r="AU23" i="18"/>
  <c r="BC22" i="18"/>
  <c r="BV22" i="18" s="1"/>
  <c r="BB22" i="18"/>
  <c r="BU22" i="18" s="1"/>
  <c r="BA22" i="18"/>
  <c r="BT22" i="18" s="1"/>
  <c r="AZ22" i="18"/>
  <c r="BS22" i="18" s="1"/>
  <c r="AY22" i="18"/>
  <c r="BR22" i="18" s="1"/>
  <c r="AX22" i="18"/>
  <c r="BQ22" i="18" s="1"/>
  <c r="AW22" i="18"/>
  <c r="BP22" i="18" s="1"/>
  <c r="AV22" i="18"/>
  <c r="BO22" i="18" s="1"/>
  <c r="AU22" i="18"/>
  <c r="BD21" i="18"/>
  <c r="BC21" i="18"/>
  <c r="BV21" i="18" s="1"/>
  <c r="BB21" i="18"/>
  <c r="BU21" i="18" s="1"/>
  <c r="BA21" i="18"/>
  <c r="BT21" i="18" s="1"/>
  <c r="AZ21" i="18"/>
  <c r="BS21" i="18" s="1"/>
  <c r="AY21" i="18"/>
  <c r="BR21" i="18" s="1"/>
  <c r="AX21" i="18"/>
  <c r="BQ21" i="18" s="1"/>
  <c r="AW21" i="18"/>
  <c r="BP21" i="18" s="1"/>
  <c r="AV21" i="18"/>
  <c r="BO21" i="18" s="1"/>
  <c r="AU21" i="18"/>
  <c r="BD20" i="18"/>
  <c r="BC20" i="18"/>
  <c r="BB20" i="18"/>
  <c r="BU20" i="18" s="1"/>
  <c r="BA20" i="18"/>
  <c r="BT20" i="18" s="1"/>
  <c r="AZ20" i="18"/>
  <c r="BS20" i="18" s="1"/>
  <c r="AY20" i="18"/>
  <c r="BR20" i="18" s="1"/>
  <c r="AX20" i="18"/>
  <c r="BQ20" i="18" s="1"/>
  <c r="AW20" i="18"/>
  <c r="BP20" i="18" s="1"/>
  <c r="AV20" i="18"/>
  <c r="BO20" i="18" s="1"/>
  <c r="AU20" i="18"/>
  <c r="BD19" i="18"/>
  <c r="BW19" i="18" s="1"/>
  <c r="BC19" i="18"/>
  <c r="BB19" i="18"/>
  <c r="BU19" i="18" s="1"/>
  <c r="BA19" i="18"/>
  <c r="BT19" i="18" s="1"/>
  <c r="AZ19" i="18"/>
  <c r="BS19" i="18" s="1"/>
  <c r="AY19" i="18"/>
  <c r="BR19" i="18" s="1"/>
  <c r="AX19" i="18"/>
  <c r="BQ19" i="18" s="1"/>
  <c r="AW19" i="18"/>
  <c r="BP19" i="18" s="1"/>
  <c r="AV19" i="18"/>
  <c r="BO19" i="18" s="1"/>
  <c r="AU19" i="18"/>
  <c r="BN19" i="18" s="1"/>
  <c r="BD17" i="18"/>
  <c r="BW17" i="18" s="1"/>
  <c r="BC17" i="18"/>
  <c r="BV17" i="18" s="1"/>
  <c r="BB17" i="18"/>
  <c r="BU17" i="18" s="1"/>
  <c r="BA17" i="18"/>
  <c r="BT17" i="18" s="1"/>
  <c r="AZ17" i="18"/>
  <c r="BS17" i="18" s="1"/>
  <c r="AY17" i="18"/>
  <c r="BR17" i="18" s="1"/>
  <c r="AX17" i="18"/>
  <c r="BQ17" i="18" s="1"/>
  <c r="AW17" i="18"/>
  <c r="BP17" i="18" s="1"/>
  <c r="AV17" i="18"/>
  <c r="BO17" i="18" s="1"/>
  <c r="AU17" i="18"/>
  <c r="BN17" i="18" s="1"/>
  <c r="BD16" i="18"/>
  <c r="BW16" i="18" s="1"/>
  <c r="BC16" i="18"/>
  <c r="BB16" i="18"/>
  <c r="BU16" i="18" s="1"/>
  <c r="BA16" i="18"/>
  <c r="BT16" i="18" s="1"/>
  <c r="AZ16" i="18"/>
  <c r="BS16" i="18" s="1"/>
  <c r="AY16" i="18"/>
  <c r="BR16" i="18" s="1"/>
  <c r="AX16" i="18"/>
  <c r="BQ16" i="18" s="1"/>
  <c r="AW16" i="18"/>
  <c r="BP16" i="18" s="1"/>
  <c r="AV16" i="18"/>
  <c r="AU16" i="18"/>
  <c r="BD15" i="18"/>
  <c r="BW15" i="18" s="1"/>
  <c r="BC15" i="18"/>
  <c r="BV15" i="18" s="1"/>
  <c r="BB15" i="18"/>
  <c r="BU15" i="18" s="1"/>
  <c r="BA15" i="18"/>
  <c r="BT15" i="18" s="1"/>
  <c r="AZ15" i="18"/>
  <c r="BS15" i="18" s="1"/>
  <c r="AY15" i="18"/>
  <c r="BR15" i="18" s="1"/>
  <c r="AX15" i="18"/>
  <c r="BQ15" i="18" s="1"/>
  <c r="AW15" i="18"/>
  <c r="BP15" i="18" s="1"/>
  <c r="AV15" i="18"/>
  <c r="AU15" i="18"/>
  <c r="BD14" i="18"/>
  <c r="BW14" i="18" s="1"/>
  <c r="BC14" i="18"/>
  <c r="BV14" i="18" s="1"/>
  <c r="BB14" i="18"/>
  <c r="BU14" i="18" s="1"/>
  <c r="BA14" i="18"/>
  <c r="BT14" i="18" s="1"/>
  <c r="AZ14" i="18"/>
  <c r="BS14" i="18" s="1"/>
  <c r="AY14" i="18"/>
  <c r="BR14" i="18" s="1"/>
  <c r="AX14" i="18"/>
  <c r="BQ14" i="18" s="1"/>
  <c r="AW14" i="18"/>
  <c r="BP14" i="18" s="1"/>
  <c r="AV14" i="18"/>
  <c r="BO14" i="18" s="1"/>
  <c r="AU14" i="18"/>
  <c r="BN14" i="18" s="1"/>
  <c r="BD13" i="18"/>
  <c r="BW13" i="18" s="1"/>
  <c r="BC13" i="18"/>
  <c r="BV13" i="18" s="1"/>
  <c r="BB13" i="18"/>
  <c r="BU13" i="18" s="1"/>
  <c r="BA13" i="18"/>
  <c r="BT13" i="18" s="1"/>
  <c r="AZ13" i="18"/>
  <c r="BS13" i="18" s="1"/>
  <c r="AY13" i="18"/>
  <c r="BR13" i="18" s="1"/>
  <c r="AX13" i="18"/>
  <c r="BQ13" i="18" s="1"/>
  <c r="AW13" i="18"/>
  <c r="BP13" i="18" s="1"/>
  <c r="AV13" i="18"/>
  <c r="AU13" i="18"/>
  <c r="BD12" i="18"/>
  <c r="BW12" i="18" s="1"/>
  <c r="BC12" i="18"/>
  <c r="BB12" i="18"/>
  <c r="BU12" i="18" s="1"/>
  <c r="BA12" i="18"/>
  <c r="BT12" i="18" s="1"/>
  <c r="AZ12" i="18"/>
  <c r="BS12" i="18" s="1"/>
  <c r="AY12" i="18"/>
  <c r="BR12" i="18" s="1"/>
  <c r="AX12" i="18"/>
  <c r="BQ12" i="18" s="1"/>
  <c r="AW12" i="18"/>
  <c r="BP12" i="18" s="1"/>
  <c r="AV12" i="18"/>
  <c r="BO12" i="18" s="1"/>
  <c r="AU12" i="18"/>
  <c r="BN12" i="18" s="1"/>
  <c r="BD11" i="18"/>
  <c r="BW11" i="18" s="1"/>
  <c r="BC11" i="18"/>
  <c r="BV11" i="18" s="1"/>
  <c r="BB11" i="18"/>
  <c r="BU11" i="18" s="1"/>
  <c r="BA11" i="18"/>
  <c r="BT11" i="18" s="1"/>
  <c r="AZ11" i="18"/>
  <c r="BS11" i="18" s="1"/>
  <c r="AY11" i="18"/>
  <c r="BR11" i="18" s="1"/>
  <c r="AX11" i="18"/>
  <c r="BQ11" i="18" s="1"/>
  <c r="AW11" i="18"/>
  <c r="BP11" i="18" s="1"/>
  <c r="AV11" i="18"/>
  <c r="BO11" i="18" s="1"/>
  <c r="AU11" i="18"/>
  <c r="BN11" i="18" s="1"/>
  <c r="BD10" i="18"/>
  <c r="BW10" i="18" s="1"/>
  <c r="BC10" i="18"/>
  <c r="BV10" i="18" s="1"/>
  <c r="BU10" i="18"/>
  <c r="BA10" i="18"/>
  <c r="BT10" i="18" s="1"/>
  <c r="AZ10" i="18"/>
  <c r="AY10" i="18"/>
  <c r="BR10" i="18" s="1"/>
  <c r="AX10" i="18"/>
  <c r="BQ10" i="18" s="1"/>
  <c r="AW10" i="18"/>
  <c r="BP10" i="18" s="1"/>
  <c r="AV10" i="18"/>
  <c r="BO10" i="18" s="1"/>
  <c r="AU10" i="18"/>
  <c r="BN10" i="18" s="1"/>
  <c r="BD9" i="18"/>
  <c r="BW9" i="18" s="1"/>
  <c r="BC9" i="18"/>
  <c r="BV9" i="18" s="1"/>
  <c r="BU9" i="18"/>
  <c r="BA9" i="18"/>
  <c r="BT9" i="18" s="1"/>
  <c r="AZ9" i="18"/>
  <c r="BS9" i="18" s="1"/>
  <c r="AY9" i="18"/>
  <c r="AX9" i="18"/>
  <c r="BQ9" i="18" s="1"/>
  <c r="AW9" i="18"/>
  <c r="BP9" i="18" s="1"/>
  <c r="AV9" i="18"/>
  <c r="BO9" i="18" s="1"/>
  <c r="AU9" i="18"/>
  <c r="BN9" i="18" s="1"/>
  <c r="BD8" i="18"/>
  <c r="BW8" i="18" s="1"/>
  <c r="BC8" i="18"/>
  <c r="BV8" i="18" s="1"/>
  <c r="BB8" i="18"/>
  <c r="BU8" i="18" s="1"/>
  <c r="BA8" i="18"/>
  <c r="BT8" i="18" s="1"/>
  <c r="AZ8" i="18"/>
  <c r="BS8" i="18" s="1"/>
  <c r="AY8" i="18"/>
  <c r="AX8" i="18"/>
  <c r="BQ8" i="18" s="1"/>
  <c r="AW8" i="18"/>
  <c r="BP8" i="18" s="1"/>
  <c r="AV8" i="18"/>
  <c r="BO8" i="18" s="1"/>
  <c r="AU8" i="18"/>
  <c r="BN8" i="18" s="1"/>
  <c r="BD7" i="18"/>
  <c r="BW7" i="18" s="1"/>
  <c r="BC7" i="18"/>
  <c r="BV7" i="18" s="1"/>
  <c r="BB7" i="18"/>
  <c r="BU7" i="18" s="1"/>
  <c r="BA7" i="18"/>
  <c r="BT7" i="18" s="1"/>
  <c r="AZ7" i="18"/>
  <c r="BS7" i="18" s="1"/>
  <c r="AY7" i="18"/>
  <c r="AX7" i="18"/>
  <c r="BQ7" i="18" s="1"/>
  <c r="AW7" i="18"/>
  <c r="BP7" i="18" s="1"/>
  <c r="AV7" i="18"/>
  <c r="BO7" i="18" s="1"/>
  <c r="AU7" i="18"/>
  <c r="BN7" i="18" s="1"/>
  <c r="BD6" i="18"/>
  <c r="BW6" i="18" s="1"/>
  <c r="BC6" i="18"/>
  <c r="BV6" i="18" s="1"/>
  <c r="BB6" i="18"/>
  <c r="BU6" i="18" s="1"/>
  <c r="BA6" i="18"/>
  <c r="AZ6" i="18"/>
  <c r="AY6" i="18"/>
  <c r="AX6" i="18"/>
  <c r="BQ6" i="18" s="1"/>
  <c r="AW6" i="18"/>
  <c r="BP6" i="18" s="1"/>
  <c r="AV6" i="18"/>
  <c r="BO6" i="18" s="1"/>
  <c r="AU6" i="18"/>
  <c r="BN6" i="18" s="1"/>
  <c r="BD5" i="18"/>
  <c r="BC5" i="18"/>
  <c r="BB5" i="18"/>
  <c r="BA5" i="18"/>
  <c r="BT5" i="18" s="1"/>
  <c r="AZ5" i="18"/>
  <c r="BS5" i="18" s="1"/>
  <c r="AY5" i="18"/>
  <c r="BR5" i="18" s="1"/>
  <c r="AX5" i="18"/>
  <c r="AW5" i="18"/>
  <c r="AV5" i="18"/>
  <c r="AU5" i="18"/>
  <c r="AT5" i="18"/>
  <c r="AS113" i="18"/>
  <c r="AT80" i="18"/>
  <c r="BM80" i="18" s="1"/>
  <c r="AS80" i="18"/>
  <c r="AT77" i="18"/>
  <c r="BM77" i="18" s="1"/>
  <c r="AS77" i="18"/>
  <c r="AT76" i="18"/>
  <c r="BM76" i="18" s="1"/>
  <c r="AS76" i="18"/>
  <c r="AT75" i="18"/>
  <c r="BM75" i="18" s="1"/>
  <c r="AS75" i="18"/>
  <c r="AT79" i="18"/>
  <c r="BM79" i="18" s="1"/>
  <c r="AS79" i="18"/>
  <c r="AT73" i="18"/>
  <c r="AS73" i="18"/>
  <c r="AR81" i="18"/>
  <c r="AS81" i="18"/>
  <c r="AT81" i="18"/>
  <c r="BM81" i="18" s="1"/>
  <c r="BO85" i="18" l="1"/>
  <c r="BS85" i="18"/>
  <c r="BN85" i="18"/>
  <c r="CE119" i="18"/>
  <c r="BT85" i="18"/>
  <c r="CY113" i="18"/>
  <c r="CZ113" i="18" s="1"/>
  <c r="DR113" i="18" s="1"/>
  <c r="CY112" i="18"/>
  <c r="CZ112" i="18" s="1"/>
  <c r="DR112" i="18" s="1"/>
  <c r="BS150" i="18"/>
  <c r="BS142" i="18"/>
  <c r="BX30" i="18"/>
  <c r="BD85" i="18"/>
  <c r="BL113" i="18"/>
  <c r="BK80" i="18"/>
  <c r="BK79" i="18"/>
  <c r="BK37" i="18"/>
  <c r="BK73" i="18"/>
  <c r="CA73" i="18" s="1"/>
  <c r="BK75" i="18"/>
  <c r="BK77" i="18"/>
  <c r="BK5" i="18"/>
  <c r="BK81" i="18"/>
  <c r="BK76" i="18"/>
  <c r="BS124" i="18"/>
  <c r="BS158" i="18"/>
  <c r="BC85" i="18"/>
  <c r="CQ85" i="18"/>
  <c r="CY85" i="18" s="1"/>
  <c r="CE115" i="18"/>
  <c r="CC126" i="18"/>
  <c r="BV20" i="18"/>
  <c r="BL1" i="18"/>
  <c r="AZ85" i="18"/>
  <c r="BA85" i="18"/>
  <c r="BR35" i="18"/>
  <c r="BR85" i="18" s="1"/>
  <c r="BB85" i="18"/>
  <c r="AY85" i="18"/>
  <c r="AU85" i="18"/>
  <c r="AX85" i="18"/>
  <c r="AV85" i="18"/>
  <c r="AW85" i="18"/>
  <c r="BL81" i="18"/>
  <c r="BX81" i="18" s="1"/>
  <c r="BL79" i="18"/>
  <c r="BX79" i="18" s="1"/>
  <c r="BM5" i="18"/>
  <c r="CB76" i="18"/>
  <c r="AR76" i="18"/>
  <c r="CB79" i="18"/>
  <c r="AR79" i="18"/>
  <c r="CB73" i="18"/>
  <c r="AR73" i="18"/>
  <c r="CB75" i="18"/>
  <c r="AR75" i="18"/>
  <c r="CB80" i="18"/>
  <c r="AR80" i="18"/>
  <c r="CB77" i="18"/>
  <c r="AR77" i="18"/>
  <c r="BU5" i="18"/>
  <c r="BU85" i="18" s="1"/>
  <c r="BV5" i="18"/>
  <c r="BP5" i="18"/>
  <c r="BP85" i="18" s="1"/>
  <c r="BW5" i="18"/>
  <c r="BW85" i="18" s="1"/>
  <c r="BQ5" i="18"/>
  <c r="BQ85" i="18" s="1"/>
  <c r="BL80" i="18"/>
  <c r="BX80" i="18" s="1"/>
  <c r="BL75" i="18"/>
  <c r="BX75" i="18" s="1"/>
  <c r="BL76" i="18"/>
  <c r="BX76" i="18" s="1"/>
  <c r="BL77" i="18"/>
  <c r="BX77" i="18" s="1"/>
  <c r="CB81" i="18"/>
  <c r="CA79" i="18" l="1"/>
  <c r="CE126" i="18"/>
  <c r="CE128" i="18" s="1"/>
  <c r="CF129" i="18" s="1"/>
  <c r="BV85" i="18"/>
  <c r="BR87" i="18"/>
  <c r="BY79" i="18"/>
  <c r="BP87" i="18"/>
  <c r="BN87" i="18"/>
  <c r="CA80" i="18"/>
  <c r="BY80" i="18"/>
  <c r="CA77" i="18"/>
  <c r="CA81" i="18"/>
  <c r="BY76" i="18"/>
  <c r="BY77" i="18"/>
  <c r="CA76" i="18"/>
  <c r="BY75" i="18"/>
  <c r="CA75" i="18"/>
  <c r="BY81" i="18"/>
  <c r="BY73" i="18"/>
  <c r="BS87" i="18"/>
  <c r="BU87" i="18"/>
  <c r="BQ87" i="18"/>
  <c r="BT87" i="18"/>
  <c r="BT89" i="18" s="1"/>
  <c r="BV87" i="18"/>
  <c r="BV89" i="18" s="1"/>
  <c r="BW87" i="18"/>
  <c r="BW89" i="18" s="1"/>
  <c r="BO87" i="18"/>
  <c r="BO89" i="18" s="1"/>
  <c r="AT159" i="37" l="1"/>
  <c r="AT151" i="37"/>
  <c r="AT143" i="37"/>
  <c r="U8" i="40" l="1"/>
  <c r="AS6" i="18" l="1"/>
  <c r="AG54" i="34"/>
  <c r="AT54" i="34" s="1"/>
  <c r="BL6" i="18" l="1"/>
  <c r="T6" i="39"/>
  <c r="Y6" i="39" s="1"/>
  <c r="S6" i="39"/>
  <c r="X6" i="39" s="1"/>
  <c r="Q6" i="39"/>
  <c r="AS117" i="36"/>
  <c r="BK117" i="36" s="1"/>
  <c r="AR117" i="36"/>
  <c r="BJ117" i="36" s="1"/>
  <c r="AQ117" i="36"/>
  <c r="AS116" i="36"/>
  <c r="BK116" i="36" s="1"/>
  <c r="AR116" i="36"/>
  <c r="BJ116" i="36" s="1"/>
  <c r="AQ116" i="36"/>
  <c r="BI116" i="36" s="1"/>
  <c r="AS115" i="36"/>
  <c r="BK115" i="36" s="1"/>
  <c r="AR115" i="36"/>
  <c r="BJ115" i="36" s="1"/>
  <c r="AQ115" i="36"/>
  <c r="BI115" i="36" s="1"/>
  <c r="AS114" i="36"/>
  <c r="BK114" i="36" s="1"/>
  <c r="AR114" i="36"/>
  <c r="BJ114" i="36" s="1"/>
  <c r="AQ114" i="36"/>
  <c r="BI114" i="36" s="1"/>
  <c r="AS112" i="36"/>
  <c r="BK112" i="36" s="1"/>
  <c r="AR112" i="36"/>
  <c r="AQ112" i="36"/>
  <c r="BI112" i="36" s="1"/>
  <c r="AS111" i="36"/>
  <c r="BK111" i="36" s="1"/>
  <c r="AR111" i="36"/>
  <c r="BJ111" i="36" s="1"/>
  <c r="AQ111" i="36"/>
  <c r="BI111" i="36" s="1"/>
  <c r="AS110" i="36"/>
  <c r="BK110" i="36" s="1"/>
  <c r="AR110" i="36"/>
  <c r="BJ110" i="36" s="1"/>
  <c r="AQ110" i="36"/>
  <c r="BI110" i="36" s="1"/>
  <c r="AS109" i="36"/>
  <c r="BK109" i="36" s="1"/>
  <c r="AR109" i="36"/>
  <c r="BJ109" i="36" s="1"/>
  <c r="AQ109" i="36"/>
  <c r="AS34" i="36"/>
  <c r="AR34" i="36"/>
  <c r="BJ34" i="36" s="1"/>
  <c r="AQ34" i="36"/>
  <c r="AS33" i="36"/>
  <c r="BK33" i="36" s="1"/>
  <c r="AR33" i="36"/>
  <c r="BJ33" i="36" s="1"/>
  <c r="AQ33" i="36"/>
  <c r="AS32" i="36"/>
  <c r="BK32" i="36" s="1"/>
  <c r="AR32" i="36"/>
  <c r="AQ32" i="36"/>
  <c r="AS100" i="36"/>
  <c r="BK100" i="36" s="1"/>
  <c r="AR100" i="36"/>
  <c r="BJ100" i="36" s="1"/>
  <c r="BZ100" i="36" s="1"/>
  <c r="AS151" i="36"/>
  <c r="BK151" i="36" s="1"/>
  <c r="AR151" i="36"/>
  <c r="BJ151" i="36" s="1"/>
  <c r="AQ151" i="36"/>
  <c r="BI151" i="36" s="1"/>
  <c r="AS150" i="36"/>
  <c r="BK150" i="36" s="1"/>
  <c r="AR150" i="36"/>
  <c r="AQ150" i="36"/>
  <c r="BI150" i="36" s="1"/>
  <c r="AS149" i="36"/>
  <c r="BK149" i="36" s="1"/>
  <c r="AR149" i="36"/>
  <c r="BJ149" i="36" s="1"/>
  <c r="AQ149" i="36"/>
  <c r="BI149" i="36" s="1"/>
  <c r="AS148" i="36"/>
  <c r="BK148" i="36" s="1"/>
  <c r="AR148" i="36"/>
  <c r="BJ148" i="36" s="1"/>
  <c r="AQ148" i="36"/>
  <c r="BI148" i="36" s="1"/>
  <c r="AS147" i="36"/>
  <c r="BK147" i="36" s="1"/>
  <c r="AR147" i="36"/>
  <c r="BJ147" i="36" s="1"/>
  <c r="AQ147" i="36"/>
  <c r="AS146" i="36"/>
  <c r="BK146" i="36" s="1"/>
  <c r="AR146" i="36"/>
  <c r="BJ146" i="36" s="1"/>
  <c r="AQ146" i="36"/>
  <c r="BI146" i="36" s="1"/>
  <c r="AS185" i="36"/>
  <c r="BK185" i="36" s="1"/>
  <c r="AR185" i="36"/>
  <c r="AQ185" i="36"/>
  <c r="BI185" i="36" s="1"/>
  <c r="AS184" i="36"/>
  <c r="AR184" i="36"/>
  <c r="AQ184" i="36"/>
  <c r="BI184" i="36" s="1"/>
  <c r="AS179" i="36"/>
  <c r="BK179" i="36" s="1"/>
  <c r="AR179" i="36"/>
  <c r="AQ179" i="36"/>
  <c r="BI179" i="36" s="1"/>
  <c r="AS178" i="36"/>
  <c r="AR178" i="36"/>
  <c r="BJ178" i="36" s="1"/>
  <c r="AQ178" i="36"/>
  <c r="AS176" i="36"/>
  <c r="BK176" i="36" s="1"/>
  <c r="AR176" i="36"/>
  <c r="AQ176" i="36"/>
  <c r="BI176" i="36" s="1"/>
  <c r="AS175" i="36"/>
  <c r="AR175" i="36"/>
  <c r="AQ175" i="36"/>
  <c r="AS173" i="36"/>
  <c r="BK173" i="36" s="1"/>
  <c r="AR173" i="36"/>
  <c r="AQ173" i="36"/>
  <c r="BI173" i="36" s="1"/>
  <c r="AS172" i="36"/>
  <c r="BK172" i="36" s="1"/>
  <c r="AR172" i="36"/>
  <c r="BJ172" i="36" s="1"/>
  <c r="AQ172" i="36"/>
  <c r="AS171" i="36"/>
  <c r="BK171" i="36" s="1"/>
  <c r="AR171" i="36"/>
  <c r="BJ171" i="36" s="1"/>
  <c r="AQ171" i="36"/>
  <c r="BI171" i="36" s="1"/>
  <c r="AS169" i="36"/>
  <c r="BK169" i="36" s="1"/>
  <c r="AR169" i="36"/>
  <c r="AQ169" i="36"/>
  <c r="AS16" i="36"/>
  <c r="AR16" i="36"/>
  <c r="AQ16" i="36"/>
  <c r="BI16" i="36" s="1"/>
  <c r="AS15" i="36"/>
  <c r="AQ15" i="36"/>
  <c r="AS13" i="36"/>
  <c r="AQ13" i="36"/>
  <c r="BI13" i="36" s="1"/>
  <c r="AS12" i="36"/>
  <c r="AQ12" i="36"/>
  <c r="BI12" i="36" s="1"/>
  <c r="AS10" i="36"/>
  <c r="AQ10" i="36"/>
  <c r="BI10" i="36" s="1"/>
  <c r="AS9" i="36"/>
  <c r="AQ9" i="36"/>
  <c r="BI9" i="36" s="1"/>
  <c r="AS8" i="36"/>
  <c r="AQ8" i="36"/>
  <c r="AS7" i="36"/>
  <c r="AQ7" i="36"/>
  <c r="BI7" i="36" s="1"/>
  <c r="AS6" i="36"/>
  <c r="AQ6" i="36"/>
  <c r="BI6" i="36" s="1"/>
  <c r="AH127" i="34"/>
  <c r="AH136" i="34" s="1"/>
  <c r="AG127" i="34"/>
  <c r="AG136" i="34" s="1"/>
  <c r="AI176" i="34"/>
  <c r="AH176" i="34"/>
  <c r="AG176" i="34"/>
  <c r="AG178" i="34" s="1"/>
  <c r="AI101" i="34"/>
  <c r="AV101" i="34" s="1"/>
  <c r="AH101" i="34"/>
  <c r="AU101" i="34" s="1"/>
  <c r="AG101" i="34"/>
  <c r="AI100" i="34"/>
  <c r="AV100" i="34" s="1"/>
  <c r="AH100" i="34"/>
  <c r="AU100" i="34" s="1"/>
  <c r="AG100" i="34"/>
  <c r="AT100" i="34" s="1"/>
  <c r="AI99" i="34"/>
  <c r="AV99" i="34" s="1"/>
  <c r="AH99" i="34"/>
  <c r="AU99" i="34" s="1"/>
  <c r="AG99" i="34"/>
  <c r="AT99" i="34" s="1"/>
  <c r="AI98" i="34"/>
  <c r="AV98" i="34" s="1"/>
  <c r="AH98" i="34"/>
  <c r="AU98" i="34" s="1"/>
  <c r="AG98" i="34"/>
  <c r="AT98" i="34" s="1"/>
  <c r="AI97" i="34"/>
  <c r="AV97" i="34" s="1"/>
  <c r="AH97" i="34"/>
  <c r="AG97" i="34"/>
  <c r="AT97" i="34" s="1"/>
  <c r="AI96" i="34"/>
  <c r="AV96" i="34" s="1"/>
  <c r="AH96" i="34"/>
  <c r="AU96" i="34" s="1"/>
  <c r="AG96" i="34"/>
  <c r="AT96" i="34" s="1"/>
  <c r="AI95" i="34"/>
  <c r="AV95" i="34" s="1"/>
  <c r="AH95" i="34"/>
  <c r="AU95" i="34" s="1"/>
  <c r="AI72" i="34"/>
  <c r="AH72" i="34"/>
  <c r="AU72" i="34" s="1"/>
  <c r="AG72" i="34"/>
  <c r="AT72" i="34" s="1"/>
  <c r="AI71" i="34"/>
  <c r="AV71" i="34" s="1"/>
  <c r="AH71" i="34"/>
  <c r="AG71" i="34"/>
  <c r="AT71" i="34" s="1"/>
  <c r="AI70" i="34"/>
  <c r="AV70" i="34" s="1"/>
  <c r="AH70" i="34"/>
  <c r="AU70" i="34" s="1"/>
  <c r="AG70" i="34"/>
  <c r="AT70" i="34" s="1"/>
  <c r="AI54" i="34"/>
  <c r="AV54" i="34" s="1"/>
  <c r="AH54" i="34"/>
  <c r="AU54" i="34" s="1"/>
  <c r="AI46" i="34"/>
  <c r="AH46" i="34"/>
  <c r="AG46" i="34"/>
  <c r="AI168" i="34"/>
  <c r="AV168" i="34" s="1"/>
  <c r="AH168" i="34"/>
  <c r="AU168" i="34" s="1"/>
  <c r="AG168" i="34"/>
  <c r="AI17" i="34"/>
  <c r="AV17" i="34" s="1"/>
  <c r="AH17" i="34"/>
  <c r="AG17" i="34"/>
  <c r="AI16" i="34"/>
  <c r="AV16" i="34" s="1"/>
  <c r="AH16" i="34"/>
  <c r="AU16" i="34" s="1"/>
  <c r="AG16" i="34"/>
  <c r="AT16" i="34" s="1"/>
  <c r="AI15" i="34"/>
  <c r="AV15" i="34" s="1"/>
  <c r="AH15" i="34"/>
  <c r="AU15" i="34" s="1"/>
  <c r="AG15" i="34"/>
  <c r="AI6" i="34"/>
  <c r="AV7" i="34" s="1"/>
  <c r="AH6" i="34"/>
  <c r="AU7" i="34" s="1"/>
  <c r="AG6" i="34"/>
  <c r="AI23" i="20"/>
  <c r="AH23" i="20"/>
  <c r="AG23" i="20"/>
  <c r="AI8" i="20"/>
  <c r="AV8" i="20" s="1"/>
  <c r="AH8" i="20"/>
  <c r="AU8" i="20" s="1"/>
  <c r="AG8" i="20"/>
  <c r="AT8" i="20" s="1"/>
  <c r="BF8" i="20" s="1"/>
  <c r="AI7" i="20"/>
  <c r="AV7" i="20" s="1"/>
  <c r="AH7" i="20"/>
  <c r="AU7" i="20" s="1"/>
  <c r="AG7" i="20"/>
  <c r="AT7" i="20" s="1"/>
  <c r="AI5" i="20"/>
  <c r="AH5" i="20"/>
  <c r="AG5" i="20"/>
  <c r="AT163" i="18"/>
  <c r="AS163" i="18"/>
  <c r="AU155" i="18"/>
  <c r="AT155" i="18"/>
  <c r="AS155" i="18"/>
  <c r="AT147" i="18"/>
  <c r="AS147" i="18"/>
  <c r="AU139" i="18"/>
  <c r="AT139" i="18"/>
  <c r="AS139" i="18"/>
  <c r="AU131" i="18"/>
  <c r="AT131" i="18"/>
  <c r="AS131" i="18"/>
  <c r="AT121" i="18"/>
  <c r="BM121" i="18" s="1"/>
  <c r="AS121" i="18"/>
  <c r="AT119" i="18"/>
  <c r="BM119" i="18" s="1"/>
  <c r="AS119" i="18"/>
  <c r="AT117" i="18"/>
  <c r="BM117" i="18" s="1"/>
  <c r="AS117" i="18"/>
  <c r="AT115" i="18"/>
  <c r="BM115" i="18" s="1"/>
  <c r="AS115" i="18"/>
  <c r="AT113" i="18"/>
  <c r="AT112" i="18"/>
  <c r="BM112" i="18" s="1"/>
  <c r="AS112" i="18"/>
  <c r="AT109" i="18"/>
  <c r="BM109" i="18" s="1"/>
  <c r="AS109" i="18"/>
  <c r="AT102" i="18"/>
  <c r="BM102" i="18" s="1"/>
  <c r="AS102" i="18"/>
  <c r="AT101" i="18"/>
  <c r="BM101" i="18" s="1"/>
  <c r="AS101" i="18"/>
  <c r="AT100" i="18"/>
  <c r="BM100" i="18" s="1"/>
  <c r="AS100" i="18"/>
  <c r="AT99" i="18"/>
  <c r="BM99" i="18" s="1"/>
  <c r="AS99" i="18"/>
  <c r="AT98" i="18"/>
  <c r="BM98" i="18" s="1"/>
  <c r="AS98" i="18"/>
  <c r="AT97" i="18"/>
  <c r="BM97" i="18" s="1"/>
  <c r="AS97" i="18"/>
  <c r="AT96" i="18"/>
  <c r="BM96" i="18" s="1"/>
  <c r="AS96" i="18"/>
  <c r="AT95" i="18"/>
  <c r="BM95" i="18" s="1"/>
  <c r="AS95" i="18"/>
  <c r="AT94" i="18"/>
  <c r="BM94" i="18" s="1"/>
  <c r="AS94" i="18"/>
  <c r="AT93" i="18"/>
  <c r="BM93" i="18" s="1"/>
  <c r="AS93" i="18"/>
  <c r="AT69" i="18"/>
  <c r="AS69" i="18"/>
  <c r="AT68" i="18"/>
  <c r="AS68" i="18"/>
  <c r="AT67" i="18"/>
  <c r="AS67" i="18"/>
  <c r="AT66" i="18"/>
  <c r="AS66" i="18"/>
  <c r="AT65" i="18"/>
  <c r="AS65" i="18"/>
  <c r="AT64" i="18"/>
  <c r="AS64" i="18"/>
  <c r="AT63" i="18"/>
  <c r="AS63" i="18"/>
  <c r="AT62" i="18"/>
  <c r="AS62" i="18"/>
  <c r="AT44" i="18"/>
  <c r="BM44" i="18" s="1"/>
  <c r="AS44" i="18"/>
  <c r="AT41" i="18"/>
  <c r="AS41" i="18"/>
  <c r="AT40" i="18"/>
  <c r="BM40" i="18" s="1"/>
  <c r="AS40" i="18"/>
  <c r="AT39" i="18"/>
  <c r="AS39" i="18"/>
  <c r="AT38" i="18"/>
  <c r="BM38" i="18" s="1"/>
  <c r="AS38" i="18"/>
  <c r="BX37" i="18"/>
  <c r="AT35" i="18"/>
  <c r="AS35" i="18"/>
  <c r="AT33" i="18"/>
  <c r="BM33" i="18" s="1"/>
  <c r="AS33" i="18"/>
  <c r="AT31" i="18"/>
  <c r="AS31" i="18"/>
  <c r="AT30" i="18"/>
  <c r="AS30" i="18"/>
  <c r="AT25" i="18"/>
  <c r="AS25" i="18"/>
  <c r="AT24" i="18"/>
  <c r="AS24" i="18"/>
  <c r="AT23" i="18"/>
  <c r="AS23" i="18"/>
  <c r="AT22" i="18"/>
  <c r="AS22" i="18"/>
  <c r="AT21" i="18"/>
  <c r="AS21" i="18"/>
  <c r="AT20" i="18"/>
  <c r="AS20" i="18"/>
  <c r="AT17" i="18"/>
  <c r="BM17" i="18" s="1"/>
  <c r="AS17" i="18"/>
  <c r="AT16" i="18"/>
  <c r="BM16" i="18" s="1"/>
  <c r="AS16" i="18"/>
  <c r="AT15" i="18"/>
  <c r="BM15" i="18" s="1"/>
  <c r="AS15" i="18"/>
  <c r="BK15" i="18" s="1"/>
  <c r="AT14" i="18"/>
  <c r="BM14" i="18" s="1"/>
  <c r="AS14" i="18"/>
  <c r="AT13" i="18"/>
  <c r="BM13" i="18" s="1"/>
  <c r="AS13" i="18"/>
  <c r="AT12" i="18"/>
  <c r="BM12" i="18" s="1"/>
  <c r="AS12" i="18"/>
  <c r="AT11" i="18"/>
  <c r="BM11" i="18" s="1"/>
  <c r="AS11" i="18"/>
  <c r="BK11" i="18" s="1"/>
  <c r="AT10" i="18"/>
  <c r="BM10" i="18" s="1"/>
  <c r="AS10" i="18"/>
  <c r="AT9" i="18"/>
  <c r="BM9" i="18" s="1"/>
  <c r="AS9" i="18"/>
  <c r="AT8" i="18"/>
  <c r="BM8" i="18" s="1"/>
  <c r="AS8" i="18"/>
  <c r="AT7" i="18"/>
  <c r="BM7" i="18" s="1"/>
  <c r="AS7" i="18"/>
  <c r="BK7" i="18" s="1"/>
  <c r="AT6" i="18"/>
  <c r="BK6" i="18" s="1"/>
  <c r="BL5" i="18"/>
  <c r="BF158" i="37"/>
  <c r="AH158" i="37"/>
  <c r="AG158" i="37"/>
  <c r="BF150" i="37"/>
  <c r="AH150" i="37"/>
  <c r="AG150" i="37"/>
  <c r="BF142" i="37"/>
  <c r="AH142" i="37"/>
  <c r="AG142" i="37"/>
  <c r="BF134" i="37"/>
  <c r="BF135" i="37" s="1"/>
  <c r="AH134" i="37"/>
  <c r="AH135" i="37" s="1"/>
  <c r="AU137" i="37" s="1"/>
  <c r="AG134" i="37"/>
  <c r="AG135" i="37" s="1"/>
  <c r="AT137" i="37" s="1"/>
  <c r="BF126" i="37"/>
  <c r="AH126" i="37"/>
  <c r="AG126" i="37"/>
  <c r="BF118" i="37"/>
  <c r="AH118" i="37"/>
  <c r="AG118" i="37"/>
  <c r="BF110" i="37"/>
  <c r="AG110" i="37"/>
  <c r="BF102" i="37"/>
  <c r="AH102" i="37"/>
  <c r="AG102" i="37"/>
  <c r="BF70" i="37"/>
  <c r="AH70" i="37"/>
  <c r="AG70" i="37"/>
  <c r="BF46" i="37"/>
  <c r="AH46" i="37"/>
  <c r="AG46" i="37"/>
  <c r="BF62" i="37"/>
  <c r="AH62" i="37"/>
  <c r="AG62" i="37"/>
  <c r="BF38" i="37"/>
  <c r="AH38" i="37"/>
  <c r="AG38" i="37"/>
  <c r="BF54" i="37"/>
  <c r="AI54" i="37"/>
  <c r="AH54" i="37"/>
  <c r="AG54" i="37"/>
  <c r="BF30" i="37"/>
  <c r="AI30" i="37"/>
  <c r="AH30" i="37"/>
  <c r="AG30" i="37"/>
  <c r="BF14" i="37"/>
  <c r="AH14" i="37"/>
  <c r="AG14" i="37"/>
  <c r="AH6" i="37"/>
  <c r="AG6" i="37"/>
  <c r="AI235" i="38"/>
  <c r="AV235" i="38" s="1"/>
  <c r="AH235" i="38"/>
  <c r="AU235" i="38" s="1"/>
  <c r="AG235" i="38"/>
  <c r="AI234" i="38"/>
  <c r="AV234" i="38" s="1"/>
  <c r="AH234" i="38"/>
  <c r="AG234" i="38"/>
  <c r="AI169" i="38"/>
  <c r="AV169" i="38" s="1"/>
  <c r="AH169" i="38"/>
  <c r="AU169" i="38" s="1"/>
  <c r="AG169" i="38"/>
  <c r="AT169" i="38" s="1"/>
  <c r="AI168" i="38"/>
  <c r="AV168" i="38" s="1"/>
  <c r="AH168" i="38"/>
  <c r="AG168" i="38"/>
  <c r="AT168" i="38" s="1"/>
  <c r="AT170" i="38" s="1"/>
  <c r="AI167" i="38"/>
  <c r="AV167" i="38" s="1"/>
  <c r="AH167" i="38"/>
  <c r="AU167" i="38" s="1"/>
  <c r="AG167" i="38"/>
  <c r="AT167" i="38" s="1"/>
  <c r="BI109" i="36" l="1"/>
  <c r="AQ119" i="36"/>
  <c r="BF7" i="20"/>
  <c r="CA220" i="18"/>
  <c r="CB224" i="18" s="1"/>
  <c r="AT235" i="38"/>
  <c r="AT234" i="38"/>
  <c r="AT236" i="38" s="1"/>
  <c r="AT168" i="34"/>
  <c r="BK168" i="34" s="1"/>
  <c r="BK21" i="18"/>
  <c r="BK63" i="18"/>
  <c r="CA63" i="18" s="1"/>
  <c r="BK67" i="18"/>
  <c r="CA67" i="18" s="1"/>
  <c r="BK93" i="18"/>
  <c r="BK98" i="18"/>
  <c r="BK101" i="18"/>
  <c r="BK96" i="18"/>
  <c r="BL100" i="18"/>
  <c r="BX100" i="18" s="1"/>
  <c r="BK100" i="18"/>
  <c r="BL109" i="18"/>
  <c r="BX109" i="18" s="1"/>
  <c r="BK109" i="18"/>
  <c r="BL119" i="18"/>
  <c r="BX119" i="18" s="1"/>
  <c r="BK119" i="18"/>
  <c r="BL97" i="18"/>
  <c r="BX97" i="18" s="1"/>
  <c r="BK97" i="18"/>
  <c r="BL112" i="18"/>
  <c r="BX112" i="18" s="1"/>
  <c r="BK112" i="18"/>
  <c r="BL117" i="18"/>
  <c r="BX117" i="18" s="1"/>
  <c r="BK117" i="18"/>
  <c r="BL121" i="18"/>
  <c r="BX121" i="18" s="1"/>
  <c r="BK121" i="18"/>
  <c r="BL94" i="18"/>
  <c r="BX94" i="18" s="1"/>
  <c r="BK94" i="18"/>
  <c r="BL102" i="18"/>
  <c r="BX102" i="18" s="1"/>
  <c r="BK102" i="18"/>
  <c r="BM113" i="18"/>
  <c r="BX113" i="18" s="1"/>
  <c r="BK113" i="18"/>
  <c r="BL115" i="18"/>
  <c r="BX115" i="18" s="1"/>
  <c r="BK115" i="18"/>
  <c r="BK95" i="18"/>
  <c r="BL99" i="18"/>
  <c r="BX99" i="18" s="1"/>
  <c r="BK99" i="18"/>
  <c r="BK9" i="18"/>
  <c r="BK13" i="18"/>
  <c r="BK17" i="18"/>
  <c r="BK23" i="18"/>
  <c r="BK10" i="18"/>
  <c r="BK14" i="18"/>
  <c r="BK44" i="18"/>
  <c r="BK65" i="18"/>
  <c r="CA65" i="18" s="1"/>
  <c r="BK69" i="18"/>
  <c r="CA69" i="18" s="1"/>
  <c r="BK20" i="18"/>
  <c r="BK24" i="18"/>
  <c r="BK33" i="18"/>
  <c r="BK25" i="18"/>
  <c r="BK41" i="18"/>
  <c r="BK64" i="18"/>
  <c r="CA64" i="18" s="1"/>
  <c r="BK68" i="18"/>
  <c r="CA68" i="18" s="1"/>
  <c r="BX31" i="18"/>
  <c r="BK31" i="18"/>
  <c r="BL38" i="18"/>
  <c r="BX38" i="18" s="1"/>
  <c r="BK38" i="18"/>
  <c r="BK39" i="18"/>
  <c r="BK62" i="18"/>
  <c r="CA62" i="18" s="1"/>
  <c r="BK66" i="18"/>
  <c r="CA66" i="18" s="1"/>
  <c r="BL40" i="18"/>
  <c r="BX40" i="18" s="1"/>
  <c r="BK40" i="18"/>
  <c r="BK35" i="18"/>
  <c r="BK8" i="18"/>
  <c r="BK12" i="18"/>
  <c r="BK16" i="18"/>
  <c r="BK22" i="18"/>
  <c r="BK30" i="18"/>
  <c r="AH73" i="34"/>
  <c r="AU71" i="34"/>
  <c r="AU73" i="34" s="1"/>
  <c r="BK13" i="36"/>
  <c r="BZ13" i="36" s="1"/>
  <c r="BK9" i="36"/>
  <c r="BZ9" i="36" s="1"/>
  <c r="CE9" i="36" s="1"/>
  <c r="CG9" i="36" s="1"/>
  <c r="BK12" i="36"/>
  <c r="BZ12" i="36" s="1"/>
  <c r="BK8" i="36"/>
  <c r="BK6" i="36"/>
  <c r="BZ6" i="36" s="1"/>
  <c r="BK10" i="36"/>
  <c r="BZ10" i="36" s="1"/>
  <c r="CE10" i="36" s="1"/>
  <c r="CG10" i="36" s="1"/>
  <c r="BJ16" i="36"/>
  <c r="BK7" i="36"/>
  <c r="BZ7" i="36" s="1"/>
  <c r="CE7" i="36" s="1"/>
  <c r="CG7" i="36" s="1"/>
  <c r="BK16" i="36"/>
  <c r="BX35" i="18"/>
  <c r="CA37" i="18"/>
  <c r="AT5" i="20"/>
  <c r="AU5" i="20"/>
  <c r="BH15" i="36"/>
  <c r="AT176" i="34"/>
  <c r="AT178" i="34" s="1"/>
  <c r="AU176" i="34"/>
  <c r="AU178" i="34" s="1"/>
  <c r="AH178" i="34"/>
  <c r="AV176" i="34"/>
  <c r="AV178" i="34" s="1"/>
  <c r="AI178" i="34"/>
  <c r="BF137" i="37"/>
  <c r="AU127" i="34"/>
  <c r="AU136" i="34" s="1"/>
  <c r="AT47" i="34"/>
  <c r="AG47" i="34"/>
  <c r="AU47" i="34"/>
  <c r="AV46" i="34"/>
  <c r="AI47" i="34"/>
  <c r="BL17" i="18"/>
  <c r="BX17" i="18" s="1"/>
  <c r="BL20" i="18"/>
  <c r="BX20" i="18" s="1"/>
  <c r="BL10" i="18"/>
  <c r="BX10" i="18" s="1"/>
  <c r="BL8" i="18"/>
  <c r="BX8" i="18" s="1"/>
  <c r="BL12" i="18"/>
  <c r="BX12" i="18" s="1"/>
  <c r="BL13" i="18"/>
  <c r="BX13" i="18" s="1"/>
  <c r="BL33" i="18"/>
  <c r="BX33" i="18" s="1"/>
  <c r="BL14" i="18"/>
  <c r="BX14" i="18" s="1"/>
  <c r="BL7" i="18"/>
  <c r="BX7" i="18" s="1"/>
  <c r="BL11" i="18"/>
  <c r="BX11" i="18" s="1"/>
  <c r="BL22" i="18"/>
  <c r="BX22" i="18" s="1"/>
  <c r="BL44" i="18"/>
  <c r="BX44" i="18" s="1"/>
  <c r="BL9" i="18"/>
  <c r="BX9" i="18" s="1"/>
  <c r="BX5" i="18"/>
  <c r="BM6" i="18"/>
  <c r="BX6" i="18" s="1"/>
  <c r="BH6" i="36"/>
  <c r="BH178" i="36"/>
  <c r="BH147" i="36"/>
  <c r="AS46" i="37"/>
  <c r="AS150" i="37"/>
  <c r="BF143" i="37"/>
  <c r="AG143" i="37"/>
  <c r="AT145" i="37" s="1"/>
  <c r="AH151" i="37"/>
  <c r="AU153" i="37" s="1"/>
  <c r="BF151" i="37"/>
  <c r="AH143" i="37"/>
  <c r="AU145" i="37" s="1"/>
  <c r="AG151" i="37"/>
  <c r="AT153" i="37" s="1"/>
  <c r="AH159" i="37"/>
  <c r="AU161" i="37" s="1"/>
  <c r="BF159" i="37"/>
  <c r="AS118" i="37"/>
  <c r="Z6" i="39"/>
  <c r="BH175" i="36"/>
  <c r="BI178" i="36"/>
  <c r="BZ178" i="36" s="1"/>
  <c r="BI147" i="36"/>
  <c r="BZ147" i="36" s="1"/>
  <c r="BH34" i="36"/>
  <c r="BK34" i="36"/>
  <c r="BZ34" i="36" s="1"/>
  <c r="AG159" i="37"/>
  <c r="AT161" i="37" s="1"/>
  <c r="AS169" i="38"/>
  <c r="AS234" i="38"/>
  <c r="BI234" i="38" s="1"/>
  <c r="BL93" i="18"/>
  <c r="BX93" i="18" s="1"/>
  <c r="BX104" i="18"/>
  <c r="AS126" i="37"/>
  <c r="AS70" i="37"/>
  <c r="AS54" i="37"/>
  <c r="AT127" i="34"/>
  <c r="AT136" i="34" s="1"/>
  <c r="AS97" i="34"/>
  <c r="BF15" i="34"/>
  <c r="AS38" i="37"/>
  <c r="BK155" i="18"/>
  <c r="BX155" i="18"/>
  <c r="AS168" i="38"/>
  <c r="AS170" i="38" s="1"/>
  <c r="AS62" i="37"/>
  <c r="BL96" i="18"/>
  <c r="BX96" i="18" s="1"/>
  <c r="AU234" i="38"/>
  <c r="BF234" i="38" s="1"/>
  <c r="BK234" i="38" s="1"/>
  <c r="AS102" i="37"/>
  <c r="AS134" i="37"/>
  <c r="AS135" i="37" s="1"/>
  <c r="BL95" i="18"/>
  <c r="BX95" i="18" s="1"/>
  <c r="AS30" i="37"/>
  <c r="AS158" i="37"/>
  <c r="BL98" i="18"/>
  <c r="BX98" i="18" s="1"/>
  <c r="AS110" i="37"/>
  <c r="AS142" i="37"/>
  <c r="BL101" i="18"/>
  <c r="BX101" i="18" s="1"/>
  <c r="BF169" i="38"/>
  <c r="AS14" i="37"/>
  <c r="BX147" i="18"/>
  <c r="I60" i="32"/>
  <c r="I64" i="32" s="1"/>
  <c r="I107" i="32" s="1"/>
  <c r="BF23" i="20"/>
  <c r="BZ110" i="36"/>
  <c r="BK131" i="18"/>
  <c r="AS17" i="34"/>
  <c r="BF101" i="34"/>
  <c r="AS101" i="34"/>
  <c r="BZ109" i="36"/>
  <c r="BH8" i="36"/>
  <c r="BH12" i="36"/>
  <c r="BZ171" i="36"/>
  <c r="BH184" i="36"/>
  <c r="BH149" i="36"/>
  <c r="BH115" i="36"/>
  <c r="BF15" i="20"/>
  <c r="BZ33" i="36"/>
  <c r="BZ114" i="36"/>
  <c r="AS7" i="20"/>
  <c r="BZ15" i="36"/>
  <c r="BH169" i="36"/>
  <c r="BH150" i="36"/>
  <c r="BH112" i="36"/>
  <c r="BZ146" i="36"/>
  <c r="BH32" i="36"/>
  <c r="AS71" i="34"/>
  <c r="BI71" i="34" s="1"/>
  <c r="BI8" i="36"/>
  <c r="BH13" i="36"/>
  <c r="BJ184" i="36"/>
  <c r="BZ184" i="36" s="1"/>
  <c r="BZ111" i="36"/>
  <c r="BI169" i="36"/>
  <c r="BZ169" i="36" s="1"/>
  <c r="BZ185" i="36"/>
  <c r="BZ112" i="36"/>
  <c r="BH117" i="36"/>
  <c r="BL25" i="18"/>
  <c r="BX25" i="18" s="1"/>
  <c r="BL24" i="18"/>
  <c r="BX24" i="18" s="1"/>
  <c r="BL23" i="18"/>
  <c r="BX23" i="18" s="1"/>
  <c r="BL21" i="18"/>
  <c r="BX21" i="18" s="1"/>
  <c r="BL16" i="18"/>
  <c r="BX16" i="18" s="1"/>
  <c r="BL15" i="18"/>
  <c r="BX15" i="18" s="1"/>
  <c r="U6" i="39"/>
  <c r="BZ116" i="36"/>
  <c r="BZ117" i="36"/>
  <c r="BZ115" i="36"/>
  <c r="BH116" i="36"/>
  <c r="BH114" i="36"/>
  <c r="BH110" i="36"/>
  <c r="BH111" i="36"/>
  <c r="BH109" i="36"/>
  <c r="BZ32" i="36"/>
  <c r="BH33" i="36"/>
  <c r="BH100" i="36"/>
  <c r="BZ148" i="36"/>
  <c r="BZ149" i="36"/>
  <c r="BZ151" i="36"/>
  <c r="BH148" i="36"/>
  <c r="BH151" i="36"/>
  <c r="BH146" i="36"/>
  <c r="BZ150" i="36"/>
  <c r="BH185" i="36"/>
  <c r="BZ179" i="36"/>
  <c r="BH179" i="36"/>
  <c r="BZ172" i="36"/>
  <c r="BZ173" i="36"/>
  <c r="BH172" i="36"/>
  <c r="BZ175" i="36"/>
  <c r="BH176" i="36"/>
  <c r="BJ176" i="36" s="1"/>
  <c r="BZ176" i="36" s="1"/>
  <c r="BH173" i="36"/>
  <c r="BH171" i="36"/>
  <c r="BH9" i="36"/>
  <c r="BH7" i="36"/>
  <c r="BH16" i="36"/>
  <c r="BH10" i="36"/>
  <c r="AS127" i="34"/>
  <c r="AS136" i="34" s="1"/>
  <c r="AS176" i="34"/>
  <c r="AS178" i="34" s="1"/>
  <c r="BF99" i="34"/>
  <c r="BF100" i="34"/>
  <c r="AS99" i="34"/>
  <c r="AS100" i="34"/>
  <c r="BF95" i="34"/>
  <c r="BF96" i="34"/>
  <c r="AS95" i="34"/>
  <c r="AU97" i="34"/>
  <c r="BF97" i="34" s="1"/>
  <c r="AS98" i="34"/>
  <c r="AS96" i="34"/>
  <c r="BF70" i="34"/>
  <c r="BF72" i="34"/>
  <c r="AS72" i="34"/>
  <c r="AS70" i="34"/>
  <c r="BF54" i="34"/>
  <c r="AS54" i="34"/>
  <c r="AS46" i="34"/>
  <c r="AS168" i="34"/>
  <c r="BF16" i="34"/>
  <c r="AS15" i="34"/>
  <c r="AU17" i="34"/>
  <c r="BF17" i="34" s="1"/>
  <c r="AS16" i="34"/>
  <c r="BF6" i="34"/>
  <c r="AS6" i="34"/>
  <c r="AS23" i="20"/>
  <c r="AS8" i="20"/>
  <c r="AS5" i="20"/>
  <c r="BK163" i="18"/>
  <c r="BK147" i="18"/>
  <c r="BX139" i="18"/>
  <c r="BK139" i="18"/>
  <c r="BX131" i="18"/>
  <c r="BF6" i="37"/>
  <c r="AS6" i="37"/>
  <c r="BF235" i="38"/>
  <c r="BK235" i="38" s="1"/>
  <c r="AS235" i="38"/>
  <c r="BI235" i="38" s="1"/>
  <c r="BF167" i="38"/>
  <c r="AU168" i="38"/>
  <c r="BF168" i="38" s="1"/>
  <c r="AS167" i="38"/>
  <c r="BF168" i="34" l="1"/>
  <c r="CE6" i="36"/>
  <c r="BZ16" i="36"/>
  <c r="BK2" i="20"/>
  <c r="T60" i="32"/>
  <c r="BZ221" i="18"/>
  <c r="CA222" i="18"/>
  <c r="BL235" i="38"/>
  <c r="BL236" i="38" s="1"/>
  <c r="BK236" i="38"/>
  <c r="BM234" i="38"/>
  <c r="BF71" i="34"/>
  <c r="BM168" i="34"/>
  <c r="BM169" i="34" s="1"/>
  <c r="BK169" i="34"/>
  <c r="BK166" i="34"/>
  <c r="CG6" i="36"/>
  <c r="BF5" i="20"/>
  <c r="CA31" i="18"/>
  <c r="BK71" i="34"/>
  <c r="BZ8" i="36"/>
  <c r="CE8" i="36" s="1"/>
  <c r="CG8" i="36" s="1"/>
  <c r="CA38" i="18"/>
  <c r="CA35" i="18"/>
  <c r="CA40" i="18"/>
  <c r="AU180" i="34"/>
  <c r="AV180" i="34"/>
  <c r="BF176" i="34"/>
  <c r="BF178" i="34" s="1"/>
  <c r="AT180" i="34"/>
  <c r="BF46" i="34"/>
  <c r="BF47" i="34" s="1"/>
  <c r="BF127" i="34"/>
  <c r="BF137" i="34" s="1"/>
  <c r="CA23" i="18"/>
  <c r="CA24" i="18"/>
  <c r="BF153" i="37"/>
  <c r="BF161" i="37"/>
  <c r="BF145" i="37"/>
  <c r="CA16" i="18"/>
  <c r="CA13" i="18"/>
  <c r="CA14" i="18"/>
  <c r="CA12" i="18"/>
  <c r="CA22" i="18"/>
  <c r="CA5" i="18"/>
  <c r="CA8" i="18"/>
  <c r="CA10" i="18"/>
  <c r="CA21" i="18"/>
  <c r="CA15" i="18"/>
  <c r="CA6" i="18"/>
  <c r="CA20" i="18"/>
  <c r="CA17" i="18"/>
  <c r="CA9" i="18"/>
  <c r="CA25" i="18"/>
  <c r="CA30" i="18"/>
  <c r="CA33" i="18"/>
  <c r="CA11" i="18"/>
  <c r="CA7" i="18"/>
  <c r="BL222" i="18"/>
  <c r="BX222" i="18" s="1"/>
  <c r="AS159" i="37"/>
  <c r="AS151" i="37"/>
  <c r="AS143" i="37"/>
  <c r="BM235" i="38" l="1"/>
  <c r="BM236" i="38" s="1"/>
  <c r="CE25" i="36"/>
  <c r="CG25" i="36"/>
  <c r="BK73" i="34"/>
  <c r="BM71" i="34"/>
  <c r="BM73" i="34" s="1"/>
  <c r="H49" i="32"/>
  <c r="L49" i="32" s="1"/>
  <c r="H48" i="32"/>
  <c r="L48" i="32" s="1"/>
  <c r="BF180" i="34"/>
  <c r="H47" i="32"/>
  <c r="R46" i="32"/>
  <c r="L47" i="32" l="1"/>
  <c r="AA11" i="39"/>
  <c r="AB6" i="39"/>
  <c r="I6" i="39"/>
  <c r="P6" i="39" s="1"/>
  <c r="C106" i="32" l="1"/>
  <c r="P7" i="39"/>
  <c r="R7" i="39"/>
  <c r="W7" i="39"/>
  <c r="S7" i="39"/>
  <c r="X7" i="39"/>
  <c r="T7" i="39"/>
  <c r="Y7" i="39"/>
  <c r="Q7" i="39"/>
  <c r="V7" i="39"/>
  <c r="AB7" i="39"/>
  <c r="D105" i="32" s="1"/>
  <c r="Z7" i="39" l="1"/>
  <c r="N105" i="32" s="1"/>
  <c r="U7" i="39"/>
  <c r="Q105" i="32" l="1"/>
  <c r="G105" i="32"/>
  <c r="I105" i="32"/>
  <c r="AA6" i="39"/>
  <c r="AC6" i="39"/>
  <c r="AC7" i="39" s="1"/>
  <c r="AB8" i="39" s="1"/>
  <c r="Z8" i="39"/>
  <c r="AA8" i="39"/>
  <c r="AA7" i="39"/>
  <c r="R105" i="32" s="1"/>
  <c r="W105" i="32" l="1"/>
  <c r="W106" i="32"/>
  <c r="L105" i="32"/>
  <c r="AC8" i="39"/>
  <c r="AC9" i="39" s="1"/>
  <c r="Q116" i="38"/>
  <c r="Q235" i="38"/>
  <c r="AV236" i="38"/>
  <c r="AU236" i="38"/>
  <c r="Q234" i="38"/>
  <c r="Z105" i="32" l="1"/>
  <c r="T105" i="32"/>
  <c r="BJ235" i="38"/>
  <c r="AF235" i="38"/>
  <c r="BG235" i="38" s="1"/>
  <c r="BJ234" i="38"/>
  <c r="AF234" i="38"/>
  <c r="BG234" i="38" s="1"/>
  <c r="BJ116" i="38"/>
  <c r="AF116" i="38"/>
  <c r="BH236" i="38"/>
  <c r="AI236" i="38"/>
  <c r="AV238" i="38" s="1"/>
  <c r="AH236" i="38"/>
  <c r="AU238" i="38" s="1"/>
  <c r="AG236" i="38"/>
  <c r="E26" i="32" l="1"/>
  <c r="AT238" i="38"/>
  <c r="BF238" i="38" s="1"/>
  <c r="BJ236" i="38"/>
  <c r="U26" i="32" s="1"/>
  <c r="AF236" i="38"/>
  <c r="S105" i="32"/>
  <c r="AS236" i="38"/>
  <c r="BF236" i="38"/>
  <c r="Q26" i="32" s="1"/>
  <c r="X26" i="32" l="1"/>
  <c r="G26" i="32"/>
  <c r="BF237" i="38"/>
  <c r="BG237" i="38"/>
  <c r="BI236" i="38"/>
  <c r="BG236" i="38"/>
  <c r="BH7" i="20"/>
  <c r="BH237" i="38" l="1"/>
  <c r="R26" i="32"/>
  <c r="BI237" i="38"/>
  <c r="BI238" i="38" s="1"/>
  <c r="L26" i="32"/>
  <c r="S26" i="32" l="1"/>
  <c r="Z26" i="32"/>
  <c r="Q127" i="34"/>
  <c r="AF127" i="34" l="1"/>
  <c r="AF136" i="34" s="1"/>
  <c r="AU138" i="34"/>
  <c r="BH176" i="34" l="1"/>
  <c r="Q176" i="34"/>
  <c r="BH101" i="34"/>
  <c r="BI101" i="34" s="1"/>
  <c r="Q101" i="34"/>
  <c r="BH100" i="34"/>
  <c r="Q100" i="34"/>
  <c r="BH99" i="34"/>
  <c r="Q99" i="34"/>
  <c r="BH98" i="34"/>
  <c r="Q98" i="34"/>
  <c r="BH97" i="34"/>
  <c r="Q97" i="34"/>
  <c r="BH96" i="34"/>
  <c r="Q96" i="34"/>
  <c r="BH95" i="34"/>
  <c r="Q95" i="34"/>
  <c r="BH94" i="34"/>
  <c r="AI94" i="34"/>
  <c r="AV94" i="34" s="1"/>
  <c r="AH94" i="34"/>
  <c r="AU94" i="34" s="1"/>
  <c r="AG94" i="34"/>
  <c r="AT94" i="34" s="1"/>
  <c r="AF94" i="34"/>
  <c r="BH72" i="34"/>
  <c r="Q72" i="34"/>
  <c r="Q71" i="34"/>
  <c r="BH70" i="34"/>
  <c r="BI70" i="34" s="1"/>
  <c r="AV73" i="34"/>
  <c r="AT73" i="34"/>
  <c r="Q70" i="34"/>
  <c r="BH54" i="34"/>
  <c r="AV55" i="34"/>
  <c r="AU55" i="34"/>
  <c r="AT55" i="34"/>
  <c r="AV47" i="34"/>
  <c r="Q46" i="34"/>
  <c r="BH168" i="34"/>
  <c r="AV169" i="34"/>
  <c r="AU169" i="34"/>
  <c r="AT169" i="34"/>
  <c r="Q168" i="34"/>
  <c r="BH17" i="34"/>
  <c r="Q17" i="34"/>
  <c r="BH16" i="34"/>
  <c r="Q16" i="34"/>
  <c r="BH15" i="34"/>
  <c r="AV18" i="34"/>
  <c r="AU18" i="34"/>
  <c r="AT18" i="34"/>
  <c r="Q15" i="34"/>
  <c r="C88" i="32" l="1"/>
  <c r="G88" i="32" s="1"/>
  <c r="BH178" i="34"/>
  <c r="AF176" i="34"/>
  <c r="AF178" i="34" s="1"/>
  <c r="BJ176" i="34"/>
  <c r="U88" i="32" s="1"/>
  <c r="BH103" i="34"/>
  <c r="AT103" i="34"/>
  <c r="BJ101" i="34"/>
  <c r="AF101" i="34"/>
  <c r="BG101" i="34" s="1"/>
  <c r="BJ97" i="34"/>
  <c r="AF97" i="34"/>
  <c r="BJ71" i="34"/>
  <c r="AF71" i="34"/>
  <c r="BG71" i="34" s="1"/>
  <c r="BJ46" i="34"/>
  <c r="AF46" i="34"/>
  <c r="AF47" i="34" s="1"/>
  <c r="BJ168" i="34"/>
  <c r="AF168" i="34"/>
  <c r="BJ98" i="34"/>
  <c r="AF98" i="34"/>
  <c r="BJ96" i="34"/>
  <c r="AF96" i="34"/>
  <c r="BJ16" i="34"/>
  <c r="AF16" i="34"/>
  <c r="BJ72" i="34"/>
  <c r="AF72" i="34"/>
  <c r="BJ99" i="34"/>
  <c r="AF99" i="34"/>
  <c r="BG99" i="34" s="1"/>
  <c r="BJ15" i="34"/>
  <c r="AF15" i="34"/>
  <c r="BJ17" i="34"/>
  <c r="AF17" i="34"/>
  <c r="BJ70" i="34"/>
  <c r="AF70" i="34"/>
  <c r="BG70" i="34" s="1"/>
  <c r="BJ95" i="34"/>
  <c r="AF95" i="34"/>
  <c r="BJ100" i="34"/>
  <c r="AF100" i="34"/>
  <c r="BJ54" i="34"/>
  <c r="BJ55" i="34" s="1"/>
  <c r="U79" i="32" s="1"/>
  <c r="AF54" i="34"/>
  <c r="AF55" i="34" s="1"/>
  <c r="AU103" i="34"/>
  <c r="AH55" i="34"/>
  <c r="AU57" i="34" s="1"/>
  <c r="AU75" i="34"/>
  <c r="AU49" i="34"/>
  <c r="AG169" i="34"/>
  <c r="AT171" i="34" s="1"/>
  <c r="AI169" i="34"/>
  <c r="AV171" i="34" s="1"/>
  <c r="AT49" i="34"/>
  <c r="AV49" i="34"/>
  <c r="AG55" i="34"/>
  <c r="AT57" i="34" s="1"/>
  <c r="AI55" i="34"/>
  <c r="AV57" i="34" s="1"/>
  <c r="BI15" i="34"/>
  <c r="AH169" i="34"/>
  <c r="AU171" i="34" s="1"/>
  <c r="BI54" i="34"/>
  <c r="BH55" i="34"/>
  <c r="AG73" i="34"/>
  <c r="AT75" i="34" s="1"/>
  <c r="AI73" i="34"/>
  <c r="AV75" i="34" s="1"/>
  <c r="AI103" i="34"/>
  <c r="AH103" i="34"/>
  <c r="AS94" i="34"/>
  <c r="BG94" i="34" s="1"/>
  <c r="BH73" i="34"/>
  <c r="E81" i="32" s="1"/>
  <c r="BH169" i="34"/>
  <c r="E87" i="32" s="1"/>
  <c r="G87" i="32" s="1"/>
  <c r="BH18" i="34"/>
  <c r="C76" i="32" s="1"/>
  <c r="C91" i="32" s="1"/>
  <c r="BI17" i="34"/>
  <c r="AH18" i="34"/>
  <c r="AU20" i="34" s="1"/>
  <c r="AG18" i="34"/>
  <c r="AT20" i="34" s="1"/>
  <c r="AI18" i="34"/>
  <c r="AV20" i="34" s="1"/>
  <c r="V88" i="32" l="1"/>
  <c r="AF169" i="34"/>
  <c r="BG168" i="34"/>
  <c r="U78" i="32"/>
  <c r="BJ18" i="34"/>
  <c r="U76" i="32" s="1"/>
  <c r="U83" i="32"/>
  <c r="BF20" i="34"/>
  <c r="U81" i="32"/>
  <c r="AT105" i="34"/>
  <c r="AU105" i="34"/>
  <c r="BF171" i="34"/>
  <c r="BG46" i="34"/>
  <c r="E78" i="32"/>
  <c r="E83" i="32"/>
  <c r="E79" i="32"/>
  <c r="AF73" i="34"/>
  <c r="AF103" i="34"/>
  <c r="AF18" i="34"/>
  <c r="BG54" i="34"/>
  <c r="BI46" i="34"/>
  <c r="BI47" i="34" s="1"/>
  <c r="BG15" i="34"/>
  <c r="BI97" i="34"/>
  <c r="BI72" i="34"/>
  <c r="BG97" i="34"/>
  <c r="BI100" i="34"/>
  <c r="BG100" i="34"/>
  <c r="AS169" i="34"/>
  <c r="J87" i="32" s="1"/>
  <c r="BG72" i="34"/>
  <c r="BI96" i="34"/>
  <c r="BI95" i="34"/>
  <c r="BF73" i="34"/>
  <c r="BG95" i="34"/>
  <c r="BI99" i="34"/>
  <c r="BF169" i="34"/>
  <c r="O87" i="32" s="1"/>
  <c r="Q87" i="32" s="1"/>
  <c r="J81" i="32"/>
  <c r="BG96" i="34"/>
  <c r="BG17" i="34"/>
  <c r="Q80" i="32"/>
  <c r="BI178" i="34"/>
  <c r="BG176" i="34"/>
  <c r="BG178" i="34" s="1"/>
  <c r="R88" i="32" s="1"/>
  <c r="BI94" i="34"/>
  <c r="BF55" i="34"/>
  <c r="O78" i="32"/>
  <c r="Q78" i="32" s="1"/>
  <c r="BI168" i="34"/>
  <c r="Q77" i="32"/>
  <c r="AS18" i="34"/>
  <c r="BF18" i="34"/>
  <c r="BG170" i="34" l="1"/>
  <c r="BG169" i="34"/>
  <c r="O79" i="32"/>
  <c r="Q79" i="32" s="1"/>
  <c r="Q89" i="32"/>
  <c r="L87" i="32"/>
  <c r="X87" i="32"/>
  <c r="O81" i="32"/>
  <c r="X81" i="32" s="1"/>
  <c r="BF98" i="34"/>
  <c r="AV103" i="34"/>
  <c r="AV105" i="34" s="1"/>
  <c r="BF105" i="34" s="1"/>
  <c r="J79" i="32"/>
  <c r="J78" i="32"/>
  <c r="J83" i="32"/>
  <c r="BI73" i="34"/>
  <c r="BI169" i="34"/>
  <c r="BH170" i="34" s="1"/>
  <c r="BF170" i="34"/>
  <c r="R87" i="32"/>
  <c r="BG16" i="34"/>
  <c r="BF19" i="34"/>
  <c r="BG179" i="34"/>
  <c r="BF179" i="34"/>
  <c r="BI55" i="34"/>
  <c r="BL59" i="34" s="1"/>
  <c r="BG19" i="34"/>
  <c r="BI16" i="34"/>
  <c r="BI18" i="34" s="1"/>
  <c r="BH19" i="34" s="1"/>
  <c r="BG18" i="34"/>
  <c r="T81" i="32" l="1"/>
  <c r="Q88" i="32"/>
  <c r="Z87" i="32"/>
  <c r="T87" i="32"/>
  <c r="Q81" i="32"/>
  <c r="BF103" i="34"/>
  <c r="BI98" i="34"/>
  <c r="BI103" i="34" s="1"/>
  <c r="BG98" i="34"/>
  <c r="BG103" i="34" s="1"/>
  <c r="L78" i="32"/>
  <c r="X78" i="32"/>
  <c r="L79" i="32"/>
  <c r="X79" i="32"/>
  <c r="L83" i="32"/>
  <c r="L77" i="32"/>
  <c r="L80" i="32"/>
  <c r="X80" i="32"/>
  <c r="L81" i="32"/>
  <c r="BI74" i="34"/>
  <c r="BI75" i="34" s="1"/>
  <c r="R81" i="32"/>
  <c r="BI19" i="34"/>
  <c r="BI20" i="34" s="1"/>
  <c r="BI170" i="34"/>
  <c r="BI171" i="34" s="1"/>
  <c r="BI48" i="34"/>
  <c r="BI49" i="34" s="1"/>
  <c r="R78" i="32"/>
  <c r="BI179" i="34"/>
  <c r="BI180" i="34" s="1"/>
  <c r="BI56" i="34"/>
  <c r="BI57" i="34" s="1"/>
  <c r="R79" i="32"/>
  <c r="BH179" i="34"/>
  <c r="G89" i="32" s="1"/>
  <c r="T89" i="32" s="1"/>
  <c r="S89" i="32" s="1"/>
  <c r="S87" i="32" l="1"/>
  <c r="AA87" i="32"/>
  <c r="Z88" i="32"/>
  <c r="S88" i="32"/>
  <c r="R83" i="32"/>
  <c r="BI104" i="34"/>
  <c r="BI105" i="34" s="1"/>
  <c r="BH104" i="34"/>
  <c r="G84" i="32" s="1"/>
  <c r="BF104" i="34"/>
  <c r="BG104" i="34"/>
  <c r="O83" i="32"/>
  <c r="AR115" i="18"/>
  <c r="BY115" i="18" s="1"/>
  <c r="BZ121" i="18"/>
  <c r="CA121" i="18" s="1"/>
  <c r="AR121" i="18"/>
  <c r="BY121" i="18" s="1"/>
  <c r="BZ120" i="18"/>
  <c r="AT120" i="18"/>
  <c r="BM120" i="18" s="1"/>
  <c r="AS120" i="18"/>
  <c r="BZ119" i="18"/>
  <c r="CA119" i="18" s="1"/>
  <c r="AR119" i="18"/>
  <c r="BY119" i="18" s="1"/>
  <c r="BZ118" i="18"/>
  <c r="AT118" i="18"/>
  <c r="BM118" i="18" s="1"/>
  <c r="AS118" i="18"/>
  <c r="BZ117" i="18"/>
  <c r="CA117" i="18" s="1"/>
  <c r="AR117" i="18"/>
  <c r="BY117" i="18" s="1"/>
  <c r="BZ116" i="18"/>
  <c r="AT116" i="18"/>
  <c r="BM116" i="18" s="1"/>
  <c r="AS116" i="18"/>
  <c r="BZ115" i="18"/>
  <c r="CA115" i="18" s="1"/>
  <c r="BZ114" i="18"/>
  <c r="AT114" i="18"/>
  <c r="BM114" i="18" s="1"/>
  <c r="AS114" i="18"/>
  <c r="BZ113" i="18"/>
  <c r="CA113" i="18" s="1"/>
  <c r="BZ112" i="18"/>
  <c r="CA112" i="18" s="1"/>
  <c r="BZ111" i="18"/>
  <c r="AT111" i="18"/>
  <c r="BM111" i="18" s="1"/>
  <c r="AS111" i="18"/>
  <c r="AR111" i="18"/>
  <c r="BZ109" i="18"/>
  <c r="CA109" i="18" s="1"/>
  <c r="BZ108" i="18"/>
  <c r="AT108" i="18"/>
  <c r="BM108" i="18" s="1"/>
  <c r="AS108" i="18"/>
  <c r="BZ102" i="18"/>
  <c r="BZ101" i="18"/>
  <c r="BZ100" i="18"/>
  <c r="CA100" i="18" s="1"/>
  <c r="BZ99" i="18"/>
  <c r="BZ98" i="18"/>
  <c r="BZ97" i="18"/>
  <c r="BZ96" i="18"/>
  <c r="BZ95" i="18"/>
  <c r="BZ94" i="18"/>
  <c r="BZ93" i="18"/>
  <c r="AR69" i="18"/>
  <c r="BY69" i="18" s="1"/>
  <c r="AR68" i="18"/>
  <c r="BY68" i="18" s="1"/>
  <c r="AR67" i="18"/>
  <c r="BY67" i="18" s="1"/>
  <c r="AR66" i="18"/>
  <c r="BY66" i="18" s="1"/>
  <c r="AR65" i="18"/>
  <c r="BY65" i="18" s="1"/>
  <c r="AR64" i="18"/>
  <c r="BY64" i="18" s="1"/>
  <c r="AR63" i="18"/>
  <c r="BY63" i="18" s="1"/>
  <c r="AR62" i="18"/>
  <c r="BY62" i="18" s="1"/>
  <c r="AR44" i="18"/>
  <c r="BY44" i="18" s="1"/>
  <c r="AR41" i="18"/>
  <c r="BY41" i="18" s="1"/>
  <c r="AR40" i="18"/>
  <c r="BY40" i="18" s="1"/>
  <c r="AR39" i="18"/>
  <c r="BY39" i="18" s="1"/>
  <c r="AR35" i="18"/>
  <c r="BY35" i="18" s="1"/>
  <c r="AT34" i="18"/>
  <c r="BM34" i="18" s="1"/>
  <c r="AS34" i="18"/>
  <c r="AR34" i="18"/>
  <c r="AR33" i="18"/>
  <c r="BY33" i="18" s="1"/>
  <c r="AT32" i="18"/>
  <c r="BM32" i="18" s="1"/>
  <c r="AS32" i="18"/>
  <c r="AR31" i="18"/>
  <c r="BY31" i="18" s="1"/>
  <c r="AR30" i="18"/>
  <c r="BY30" i="18" s="1"/>
  <c r="AT29" i="18"/>
  <c r="BM29" i="18" s="1"/>
  <c r="AS29" i="18"/>
  <c r="AR25" i="18"/>
  <c r="BY25" i="18" s="1"/>
  <c r="AR24" i="18"/>
  <c r="BY24" i="18" s="1"/>
  <c r="AR38" i="18"/>
  <c r="BY38" i="18" s="1"/>
  <c r="AR37" i="18"/>
  <c r="BY37" i="18" s="1"/>
  <c r="AT36" i="18"/>
  <c r="BM36" i="18" s="1"/>
  <c r="AS36" i="18"/>
  <c r="AR36" i="18"/>
  <c r="AR23" i="18"/>
  <c r="BY23" i="18" s="1"/>
  <c r="AR22" i="18"/>
  <c r="BY22" i="18" s="1"/>
  <c r="AR21" i="18"/>
  <c r="BY21" i="18" s="1"/>
  <c r="AT19" i="18"/>
  <c r="AS19" i="18"/>
  <c r="AR13" i="18"/>
  <c r="BY13" i="18" s="1"/>
  <c r="AR12" i="18"/>
  <c r="BY12" i="18" s="1"/>
  <c r="AR11" i="18"/>
  <c r="BY11" i="18" s="1"/>
  <c r="AR10" i="18"/>
  <c r="BY10" i="18" s="1"/>
  <c r="AR6" i="18"/>
  <c r="BY6" i="18" s="1"/>
  <c r="AR20" i="18"/>
  <c r="BY20" i="18" s="1"/>
  <c r="AR17" i="18"/>
  <c r="BY17" i="18" s="1"/>
  <c r="AR16" i="18"/>
  <c r="BY16" i="18" s="1"/>
  <c r="AR15" i="18"/>
  <c r="BY15" i="18" s="1"/>
  <c r="AR14" i="18"/>
  <c r="BY14" i="18" s="1"/>
  <c r="AR5" i="18"/>
  <c r="BY5" i="18" s="1"/>
  <c r="BZ163" i="18"/>
  <c r="BZ165" i="18" s="1"/>
  <c r="BL165" i="18"/>
  <c r="W163" i="18"/>
  <c r="BZ155" i="18"/>
  <c r="BM156" i="18"/>
  <c r="BL156" i="18"/>
  <c r="BZ147" i="18"/>
  <c r="BL148" i="18"/>
  <c r="BZ139" i="18"/>
  <c r="BL140" i="18"/>
  <c r="CA93" i="18" l="1"/>
  <c r="BZ124" i="18"/>
  <c r="BK19" i="18"/>
  <c r="BK32" i="18"/>
  <c r="BL108" i="18"/>
  <c r="BK108" i="18"/>
  <c r="BL120" i="18"/>
  <c r="BK120" i="18"/>
  <c r="BX120" i="18" s="1"/>
  <c r="BL114" i="18"/>
  <c r="BK114" i="18"/>
  <c r="BX114" i="18" s="1"/>
  <c r="BL118" i="18"/>
  <c r="BK118" i="18"/>
  <c r="BX118" i="18" s="1"/>
  <c r="BL111" i="18"/>
  <c r="BK111" i="18"/>
  <c r="BX111" i="18" s="1"/>
  <c r="CA111" i="18" s="1"/>
  <c r="BL116" i="18"/>
  <c r="BK116" i="18"/>
  <c r="BX116" i="18" s="1"/>
  <c r="BK36" i="18"/>
  <c r="BK29" i="18"/>
  <c r="BK34" i="18"/>
  <c r="AS85" i="18"/>
  <c r="AR9" i="18"/>
  <c r="BY9" i="18" s="1"/>
  <c r="AR7" i="18"/>
  <c r="AR8" i="18"/>
  <c r="BY8" i="18" s="1"/>
  <c r="Q84" i="32"/>
  <c r="Z84" i="32" s="1"/>
  <c r="X84" i="32"/>
  <c r="BL29" i="18"/>
  <c r="BX29" i="18" s="1"/>
  <c r="BL34" i="18"/>
  <c r="BX34" i="18" s="1"/>
  <c r="AT85" i="18"/>
  <c r="BL36" i="18"/>
  <c r="BX36" i="18" s="1"/>
  <c r="BL32" i="18"/>
  <c r="BX32" i="18" s="1"/>
  <c r="BL19" i="18"/>
  <c r="BM19" i="18"/>
  <c r="Q83" i="32"/>
  <c r="X83" i="32"/>
  <c r="CB117" i="18"/>
  <c r="CB119" i="18"/>
  <c r="CB121" i="18"/>
  <c r="CB97" i="18"/>
  <c r="AR97" i="18"/>
  <c r="CB101" i="18"/>
  <c r="AR101" i="18"/>
  <c r="CB65" i="18"/>
  <c r="CB94" i="18"/>
  <c r="AR94" i="18"/>
  <c r="CB98" i="18"/>
  <c r="AR98" i="18"/>
  <c r="AR102" i="18"/>
  <c r="CB113" i="18"/>
  <c r="AR113" i="18"/>
  <c r="BY113" i="18" s="1"/>
  <c r="CB147" i="18"/>
  <c r="CB148" i="18" s="1"/>
  <c r="U56" i="32" s="1"/>
  <c r="AR147" i="18"/>
  <c r="CB8" i="18"/>
  <c r="CB41" i="18"/>
  <c r="CB62" i="18"/>
  <c r="CB66" i="18"/>
  <c r="CB95" i="18"/>
  <c r="AR95" i="18"/>
  <c r="BY95" i="18" s="1"/>
  <c r="CB99" i="18"/>
  <c r="AR99" i="18"/>
  <c r="CB163" i="18"/>
  <c r="U58" i="32" s="1"/>
  <c r="AR163" i="18"/>
  <c r="CB68" i="18"/>
  <c r="CB155" i="18"/>
  <c r="CB156" i="18" s="1"/>
  <c r="U57" i="32" s="1"/>
  <c r="AR155" i="18"/>
  <c r="CB115" i="18"/>
  <c r="CB64" i="18"/>
  <c r="CB9" i="18"/>
  <c r="CB44" i="18"/>
  <c r="CB63" i="18"/>
  <c r="CB67" i="18"/>
  <c r="CB69" i="18"/>
  <c r="CB96" i="18"/>
  <c r="AR96" i="18"/>
  <c r="CB100" i="18"/>
  <c r="AR100" i="18"/>
  <c r="BY104" i="18"/>
  <c r="CB109" i="18"/>
  <c r="AR109" i="18"/>
  <c r="CB112" i="18"/>
  <c r="AR112" i="18"/>
  <c r="CB139" i="18"/>
  <c r="CB140" i="18" s="1"/>
  <c r="U55" i="32" s="1"/>
  <c r="AR139" i="18"/>
  <c r="CB93" i="18"/>
  <c r="AR93" i="18"/>
  <c r="CB40" i="18"/>
  <c r="CB39" i="18"/>
  <c r="CB38" i="18"/>
  <c r="CB37" i="18"/>
  <c r="CB35" i="18"/>
  <c r="CB33" i="18"/>
  <c r="CB31" i="18"/>
  <c r="CB30" i="18"/>
  <c r="CB25" i="18"/>
  <c r="CB24" i="18"/>
  <c r="CB23" i="18"/>
  <c r="CB22" i="18"/>
  <c r="CB21" i="18"/>
  <c r="CB20" i="18"/>
  <c r="CB17" i="18"/>
  <c r="CB16" i="18"/>
  <c r="CB15" i="18"/>
  <c r="CB14" i="18"/>
  <c r="CB13" i="18"/>
  <c r="CB12" i="18"/>
  <c r="CB11" i="18"/>
  <c r="CB10" i="18"/>
  <c r="CB7" i="18"/>
  <c r="CB6" i="18"/>
  <c r="CB5" i="18"/>
  <c r="BN156" i="18"/>
  <c r="BM148" i="18"/>
  <c r="BM124" i="18"/>
  <c r="BN148" i="18"/>
  <c r="BN124" i="18"/>
  <c r="BM165" i="18"/>
  <c r="BM140" i="18"/>
  <c r="BN165" i="18"/>
  <c r="BN140" i="18"/>
  <c r="AS124" i="18"/>
  <c r="AT124" i="18"/>
  <c r="CA163" i="18"/>
  <c r="CA165" i="18" s="1"/>
  <c r="AU165" i="18"/>
  <c r="AU140" i="18"/>
  <c r="BZ140" i="18"/>
  <c r="AT148" i="18"/>
  <c r="AS148" i="18"/>
  <c r="BL150" i="18" s="1"/>
  <c r="AU148" i="18"/>
  <c r="AU156" i="18"/>
  <c r="BZ156" i="18"/>
  <c r="AT140" i="18"/>
  <c r="CA147" i="18"/>
  <c r="AT156" i="18"/>
  <c r="BM158" i="18" s="1"/>
  <c r="AT165" i="18"/>
  <c r="AS165" i="18"/>
  <c r="BL167" i="18" s="1"/>
  <c r="AS156" i="18"/>
  <c r="BL158" i="18" s="1"/>
  <c r="BZ148" i="18"/>
  <c r="AS140" i="18"/>
  <c r="BL142" i="18" s="1"/>
  <c r="CA116" i="18" l="1"/>
  <c r="CA118" i="18"/>
  <c r="CA114" i="18"/>
  <c r="BX108" i="18"/>
  <c r="BX124" i="18" s="1"/>
  <c r="CA120" i="18"/>
  <c r="BL124" i="18"/>
  <c r="BL126" i="18" s="1"/>
  <c r="U52" i="32"/>
  <c r="BL85" i="18"/>
  <c r="BL87" i="18" s="1"/>
  <c r="U53" i="32"/>
  <c r="BY36" i="18"/>
  <c r="BM85" i="18"/>
  <c r="BM87" i="18" s="1"/>
  <c r="AR85" i="18"/>
  <c r="BY7" i="18"/>
  <c r="H76" i="32"/>
  <c r="AA84" i="32"/>
  <c r="BX19" i="18"/>
  <c r="BX85" i="18" s="1"/>
  <c r="CA34" i="18"/>
  <c r="BY29" i="18"/>
  <c r="CA29" i="18"/>
  <c r="CA36" i="18"/>
  <c r="BM142" i="18"/>
  <c r="BY32" i="18"/>
  <c r="BN142" i="18"/>
  <c r="BM150" i="18"/>
  <c r="BM126" i="18"/>
  <c r="BM167" i="18"/>
  <c r="BN167" i="18"/>
  <c r="BN158" i="18"/>
  <c r="BX158" i="18" s="1"/>
  <c r="BN150" i="18"/>
  <c r="AR140" i="18"/>
  <c r="AR124" i="18"/>
  <c r="C58" i="32"/>
  <c r="G58" i="32" s="1"/>
  <c r="C53" i="32"/>
  <c r="C56" i="32"/>
  <c r="G56" i="32" s="1"/>
  <c r="C57" i="32"/>
  <c r="G57" i="32" s="1"/>
  <c r="C55" i="32"/>
  <c r="G55" i="32" s="1"/>
  <c r="AR156" i="18"/>
  <c r="AR165" i="18"/>
  <c r="AR148" i="18"/>
  <c r="BY155" i="18"/>
  <c r="G60" i="32"/>
  <c r="BY139" i="18"/>
  <c r="BY97" i="18"/>
  <c r="CA94" i="18"/>
  <c r="CA124" i="18" s="1"/>
  <c r="CB128" i="18" s="1"/>
  <c r="CA102" i="18"/>
  <c r="CA97" i="18"/>
  <c r="BK140" i="18"/>
  <c r="CA101" i="18"/>
  <c r="CA98" i="18"/>
  <c r="CA96" i="18"/>
  <c r="BY112" i="18"/>
  <c r="BY101" i="18"/>
  <c r="BY98" i="18"/>
  <c r="BY96" i="18"/>
  <c r="BY102" i="18"/>
  <c r="BY100" i="18"/>
  <c r="BY94" i="18"/>
  <c r="CA99" i="18"/>
  <c r="BY99" i="18"/>
  <c r="CA108" i="18"/>
  <c r="CA155" i="18"/>
  <c r="BY118" i="18"/>
  <c r="BY109" i="18"/>
  <c r="BY108" i="18"/>
  <c r="BY114" i="18"/>
  <c r="BY120" i="18"/>
  <c r="BY116" i="18"/>
  <c r="BY111" i="18"/>
  <c r="CA95" i="18"/>
  <c r="BY93" i="18"/>
  <c r="BK156" i="18"/>
  <c r="BK165" i="18"/>
  <c r="CA139" i="18"/>
  <c r="BY147" i="18"/>
  <c r="N60" i="32"/>
  <c r="BY163" i="18"/>
  <c r="BX156" i="18"/>
  <c r="BK148" i="18"/>
  <c r="BX140" i="18"/>
  <c r="BX86" i="18" l="1"/>
  <c r="BY86" i="18"/>
  <c r="BY124" i="18"/>
  <c r="BL89" i="18"/>
  <c r="BX87" i="18"/>
  <c r="BY125" i="18"/>
  <c r="S84" i="32"/>
  <c r="M76" i="32"/>
  <c r="M57" i="32"/>
  <c r="Q57" i="32" s="1"/>
  <c r="M55" i="32"/>
  <c r="Q55" i="32" s="1"/>
  <c r="L76" i="32"/>
  <c r="G53" i="32"/>
  <c r="BY19" i="18"/>
  <c r="BX150" i="18"/>
  <c r="CA19" i="18"/>
  <c r="BY34" i="18"/>
  <c r="BX142" i="18"/>
  <c r="CA32" i="18"/>
  <c r="BX167" i="18"/>
  <c r="Q60" i="32"/>
  <c r="W60" i="32"/>
  <c r="H53" i="32"/>
  <c r="H55" i="32"/>
  <c r="H56" i="32"/>
  <c r="H57" i="32"/>
  <c r="H52" i="32"/>
  <c r="BY141" i="18"/>
  <c r="BX157" i="18"/>
  <c r="CA148" i="18"/>
  <c r="BX165" i="18"/>
  <c r="CA156" i="18"/>
  <c r="BZ157" i="18" s="1"/>
  <c r="CA140" i="18"/>
  <c r="BZ141" i="18" s="1"/>
  <c r="BY140" i="18"/>
  <c r="BX148" i="18"/>
  <c r="BY156" i="18"/>
  <c r="BY157" i="18"/>
  <c r="BX141" i="18"/>
  <c r="H64" i="32" l="1"/>
  <c r="BY85" i="18"/>
  <c r="BY87" i="18" s="1"/>
  <c r="BK89" i="18"/>
  <c r="T53" i="32"/>
  <c r="Q76" i="32"/>
  <c r="BX166" i="18"/>
  <c r="R76" i="32"/>
  <c r="H58" i="32"/>
  <c r="L58" i="32" s="1"/>
  <c r="V76" i="32"/>
  <c r="M52" i="32"/>
  <c r="M58" i="32"/>
  <c r="Q58" i="32" s="1"/>
  <c r="L56" i="32"/>
  <c r="M56" i="32"/>
  <c r="Q56" i="32" s="1"/>
  <c r="M53" i="32"/>
  <c r="Q53" i="32" s="1"/>
  <c r="L57" i="32"/>
  <c r="Z57" i="32" s="1"/>
  <c r="V57" i="32"/>
  <c r="L55" i="32"/>
  <c r="Z55" i="32" s="1"/>
  <c r="V55" i="32"/>
  <c r="L53" i="32"/>
  <c r="L60" i="32"/>
  <c r="L52" i="32"/>
  <c r="CA141" i="18"/>
  <c r="CA142" i="18" s="1"/>
  <c r="R55" i="32"/>
  <c r="CA157" i="18"/>
  <c r="CA158" i="18" s="1"/>
  <c r="R57" i="32"/>
  <c r="R60" i="32"/>
  <c r="BX149" i="18"/>
  <c r="BY166" i="18"/>
  <c r="S59" i="32" s="1"/>
  <c r="BY148" i="18"/>
  <c r="BZ166" i="18"/>
  <c r="BZ149" i="18"/>
  <c r="BY165" i="18"/>
  <c r="BX125" i="18"/>
  <c r="BY149" i="18"/>
  <c r="L64" i="32" l="1"/>
  <c r="T64" i="32"/>
  <c r="BZ86" i="18"/>
  <c r="CB90" i="18"/>
  <c r="CA86" i="18"/>
  <c r="Q52" i="32"/>
  <c r="V58" i="32"/>
  <c r="Z58" i="32"/>
  <c r="T56" i="32"/>
  <c r="T58" i="32"/>
  <c r="S60" i="32"/>
  <c r="Z60" i="32"/>
  <c r="T57" i="32"/>
  <c r="S57" i="32" s="1"/>
  <c r="V56" i="32"/>
  <c r="Z56" i="32"/>
  <c r="V53" i="32"/>
  <c r="T55" i="32"/>
  <c r="S55" i="32" s="1"/>
  <c r="Z53" i="32"/>
  <c r="CA125" i="18"/>
  <c r="CA126" i="18" s="1"/>
  <c r="R53" i="32"/>
  <c r="CA149" i="18"/>
  <c r="CA150" i="18" s="1"/>
  <c r="R56" i="32"/>
  <c r="CA166" i="18"/>
  <c r="CA167" i="18" s="1"/>
  <c r="R58" i="32"/>
  <c r="R52" i="32"/>
  <c r="BZ131" i="18"/>
  <c r="BM132" i="18"/>
  <c r="BL132" i="18"/>
  <c r="BH23" i="20"/>
  <c r="AT24" i="20"/>
  <c r="Q23" i="20"/>
  <c r="BH6" i="20"/>
  <c r="AI6" i="20"/>
  <c r="AI15" i="20" s="1"/>
  <c r="AH6" i="20"/>
  <c r="AH15" i="20" s="1"/>
  <c r="AG6" i="20"/>
  <c r="AG15" i="20" s="1"/>
  <c r="AF6" i="20"/>
  <c r="BH5" i="20"/>
  <c r="Q5" i="20"/>
  <c r="BH8" i="20"/>
  <c r="Q8" i="20"/>
  <c r="Q7" i="20"/>
  <c r="BH15" i="20" l="1"/>
  <c r="AV6" i="20"/>
  <c r="AV15" i="20" s="1"/>
  <c r="AT6" i="20"/>
  <c r="AT15" i="20" s="1"/>
  <c r="AU6" i="20"/>
  <c r="AU15" i="20" s="1"/>
  <c r="BI23" i="20"/>
  <c r="BI24" i="20" s="1"/>
  <c r="BH24" i="20"/>
  <c r="S58" i="32"/>
  <c r="S56" i="32"/>
  <c r="S53" i="32"/>
  <c r="BJ7" i="20"/>
  <c r="AF7" i="20"/>
  <c r="BJ23" i="20"/>
  <c r="BJ24" i="20" s="1"/>
  <c r="U67" i="32" s="1"/>
  <c r="AF23" i="20"/>
  <c r="BG23" i="20" s="1"/>
  <c r="BJ8" i="20"/>
  <c r="AF8" i="20"/>
  <c r="BG8" i="20" s="1"/>
  <c r="CB131" i="18"/>
  <c r="CB132" i="18" s="1"/>
  <c r="U54" i="32" s="1"/>
  <c r="U64" i="32" s="1"/>
  <c r="AR131" i="18"/>
  <c r="BJ5" i="20"/>
  <c r="AF5" i="20"/>
  <c r="AU24" i="20"/>
  <c r="AV24" i="20"/>
  <c r="BN132" i="18"/>
  <c r="AU132" i="18"/>
  <c r="AT132" i="18"/>
  <c r="BM134" i="18" s="1"/>
  <c r="CA131" i="18"/>
  <c r="BZ132" i="18"/>
  <c r="AS132" i="18"/>
  <c r="BL134" i="18" s="1"/>
  <c r="AH24" i="20"/>
  <c r="BI7" i="20"/>
  <c r="AS6" i="20"/>
  <c r="AS15" i="20" s="1"/>
  <c r="AG24" i="20"/>
  <c r="AT26" i="20" s="1"/>
  <c r="AI24" i="20"/>
  <c r="AT17" i="20" l="1"/>
  <c r="AF15" i="20"/>
  <c r="C66" i="32"/>
  <c r="C73" i="32" s="1"/>
  <c r="U66" i="32"/>
  <c r="BF6" i="20"/>
  <c r="AV26" i="20"/>
  <c r="AU26" i="20"/>
  <c r="AU17" i="20"/>
  <c r="AV17" i="20"/>
  <c r="BN134" i="18"/>
  <c r="BX134" i="18" s="1"/>
  <c r="C54" i="32"/>
  <c r="AR132" i="18"/>
  <c r="AF24" i="20"/>
  <c r="D67" i="32"/>
  <c r="BI5" i="20"/>
  <c r="BK132" i="18"/>
  <c r="BX132" i="18"/>
  <c r="BY131" i="18"/>
  <c r="BI8" i="20"/>
  <c r="BG5" i="20"/>
  <c r="AS24" i="20"/>
  <c r="BG7" i="20"/>
  <c r="BG16" i="20" l="1"/>
  <c r="BG6" i="20"/>
  <c r="BG15" i="20" s="1"/>
  <c r="M66" i="32"/>
  <c r="BI6" i="20"/>
  <c r="BI15" i="20" s="1"/>
  <c r="T66" i="32" s="1"/>
  <c r="M54" i="32"/>
  <c r="H66" i="32"/>
  <c r="BF17" i="20"/>
  <c r="BF26" i="20"/>
  <c r="G54" i="32"/>
  <c r="BX133" i="18"/>
  <c r="H54" i="32"/>
  <c r="I67" i="32"/>
  <c r="BY132" i="18"/>
  <c r="CA132" i="18"/>
  <c r="BZ133" i="18" s="1"/>
  <c r="BY133" i="18"/>
  <c r="BF24" i="20"/>
  <c r="BM24" i="20" s="1"/>
  <c r="BH16" i="20" l="1"/>
  <c r="BJ21" i="20"/>
  <c r="BF16" i="20"/>
  <c r="Q54" i="32"/>
  <c r="N67" i="32"/>
  <c r="Q67" i="32" s="1"/>
  <c r="V66" i="32"/>
  <c r="Q66" i="32"/>
  <c r="BG24" i="20"/>
  <c r="BH25" i="20"/>
  <c r="L54" i="32"/>
  <c r="V54" i="32"/>
  <c r="L67" i="32"/>
  <c r="R66" i="32"/>
  <c r="L66" i="32"/>
  <c r="CA133" i="18"/>
  <c r="CA134" i="18" s="1"/>
  <c r="R54" i="32"/>
  <c r="BI16" i="20"/>
  <c r="BI17" i="20" s="1"/>
  <c r="BG25" i="20"/>
  <c r="BF25" i="20"/>
  <c r="BJ20" i="20"/>
  <c r="W67" i="32" l="1"/>
  <c r="T54" i="32"/>
  <c r="G68" i="32"/>
  <c r="Q68" i="32"/>
  <c r="W68" i="32"/>
  <c r="Z54" i="32"/>
  <c r="R67" i="32"/>
  <c r="BI25" i="20"/>
  <c r="BI26" i="20" s="1"/>
  <c r="V112" i="36"/>
  <c r="CB117" i="36"/>
  <c r="V117" i="36"/>
  <c r="CB116" i="36"/>
  <c r="V116" i="36"/>
  <c r="CB115" i="36"/>
  <c r="V115" i="36"/>
  <c r="CB114" i="36"/>
  <c r="V114" i="36"/>
  <c r="CB112" i="36"/>
  <c r="CB111" i="36"/>
  <c r="V111" i="36"/>
  <c r="CB110" i="36"/>
  <c r="V110" i="36"/>
  <c r="CB109" i="36"/>
  <c r="V109" i="36"/>
  <c r="CB34" i="36"/>
  <c r="V34" i="36"/>
  <c r="CB33" i="36"/>
  <c r="V33" i="36"/>
  <c r="CB32" i="36"/>
  <c r="BK39" i="36"/>
  <c r="BJ39" i="36"/>
  <c r="BI39" i="36"/>
  <c r="V32" i="36"/>
  <c r="CB100" i="36"/>
  <c r="V100" i="36"/>
  <c r="CB151" i="36"/>
  <c r="V151" i="36"/>
  <c r="CB150" i="36"/>
  <c r="V150" i="36"/>
  <c r="CB149" i="36"/>
  <c r="V149" i="36"/>
  <c r="CB148" i="36"/>
  <c r="V148" i="36"/>
  <c r="CB147" i="36"/>
  <c r="V147" i="36"/>
  <c r="CB146" i="36"/>
  <c r="BK160" i="36"/>
  <c r="BI160" i="36"/>
  <c r="V146" i="36"/>
  <c r="CB185" i="36"/>
  <c r="V185" i="36"/>
  <c r="CB184" i="36"/>
  <c r="V184" i="36"/>
  <c r="CB183" i="36"/>
  <c r="AS183" i="36"/>
  <c r="AR183" i="36"/>
  <c r="BJ183" i="36" s="1"/>
  <c r="AQ183" i="36"/>
  <c r="BI183" i="36" s="1"/>
  <c r="AP183" i="36"/>
  <c r="CB179" i="36"/>
  <c r="V179" i="36"/>
  <c r="CB178" i="36"/>
  <c r="V178" i="36"/>
  <c r="CB177" i="36"/>
  <c r="AS177" i="36"/>
  <c r="BK177" i="36" s="1"/>
  <c r="AR177" i="36"/>
  <c r="BJ177" i="36" s="1"/>
  <c r="AQ177" i="36"/>
  <c r="BI177" i="36" s="1"/>
  <c r="AP177" i="36"/>
  <c r="CB176" i="36"/>
  <c r="V176" i="36"/>
  <c r="CB175" i="36"/>
  <c r="CC175" i="36" s="1"/>
  <c r="V175" i="36"/>
  <c r="CB173" i="36"/>
  <c r="V173" i="36"/>
  <c r="CB172" i="36"/>
  <c r="CB171" i="36"/>
  <c r="V171" i="36"/>
  <c r="CB169" i="36"/>
  <c r="V169" i="36"/>
  <c r="BK183" i="36" l="1"/>
  <c r="BK197" i="36" s="1"/>
  <c r="AS197" i="36"/>
  <c r="S54" i="32"/>
  <c r="Z68" i="32"/>
  <c r="T73" i="32"/>
  <c r="BJ197" i="36"/>
  <c r="BI197" i="36"/>
  <c r="CD169" i="36"/>
  <c r="AP169" i="36"/>
  <c r="CD175" i="36"/>
  <c r="AP175" i="36"/>
  <c r="CA175" i="36" s="1"/>
  <c r="CD146" i="36"/>
  <c r="AP146" i="36"/>
  <c r="CD34" i="36"/>
  <c r="AP34" i="36"/>
  <c r="CD116" i="36"/>
  <c r="AP116" i="36"/>
  <c r="CA116" i="36" s="1"/>
  <c r="CD149" i="36"/>
  <c r="AP149" i="36"/>
  <c r="CD32" i="36"/>
  <c r="AP32" i="36"/>
  <c r="CD111" i="36"/>
  <c r="AP111" i="36"/>
  <c r="CD171" i="36"/>
  <c r="AP171" i="36"/>
  <c r="CD176" i="36"/>
  <c r="AP176" i="36"/>
  <c r="AP178" i="36"/>
  <c r="CD117" i="36"/>
  <c r="AP117" i="36"/>
  <c r="CD112" i="36"/>
  <c r="AP112" i="36"/>
  <c r="CD150" i="36"/>
  <c r="AP150" i="36"/>
  <c r="CD100" i="36"/>
  <c r="CD101" i="36" s="1"/>
  <c r="U97" i="32" s="1"/>
  <c r="AP100" i="36"/>
  <c r="AP101" i="36" s="1"/>
  <c r="CD172" i="36"/>
  <c r="AP179" i="36"/>
  <c r="AP184" i="36"/>
  <c r="CD114" i="36"/>
  <c r="AP114" i="36"/>
  <c r="CD148" i="36"/>
  <c r="AP148" i="36"/>
  <c r="CD147" i="36"/>
  <c r="AP147" i="36"/>
  <c r="CD151" i="36"/>
  <c r="AP151" i="36"/>
  <c r="CD109" i="36"/>
  <c r="AP109" i="36"/>
  <c r="CD110" i="36"/>
  <c r="AP110" i="36"/>
  <c r="CD173" i="36"/>
  <c r="AP173" i="36"/>
  <c r="AP185" i="36"/>
  <c r="CA185" i="36" s="1"/>
  <c r="CD33" i="36"/>
  <c r="AP33" i="36"/>
  <c r="CD115" i="36"/>
  <c r="AP115" i="36"/>
  <c r="BK119" i="36"/>
  <c r="BJ160" i="36"/>
  <c r="BI119" i="36"/>
  <c r="BJ119" i="36"/>
  <c r="AR39" i="36"/>
  <c r="BJ41" i="36" s="1"/>
  <c r="AR119" i="36"/>
  <c r="CC112" i="36"/>
  <c r="CC115" i="36"/>
  <c r="CC117" i="36"/>
  <c r="AS119" i="36"/>
  <c r="CB119" i="36"/>
  <c r="CC114" i="36"/>
  <c r="CC111" i="36"/>
  <c r="AQ39" i="36"/>
  <c r="BI41" i="36" s="1"/>
  <c r="AS39" i="36"/>
  <c r="BK41" i="36" s="1"/>
  <c r="CB39" i="36"/>
  <c r="AR101" i="36"/>
  <c r="BJ103" i="36" s="1"/>
  <c r="AQ197" i="36"/>
  <c r="AQ101" i="36"/>
  <c r="BI103" i="36" s="1"/>
  <c r="AS101" i="36"/>
  <c r="BK103" i="36" s="1"/>
  <c r="CB101" i="36"/>
  <c r="AR160" i="36"/>
  <c r="CC149" i="36"/>
  <c r="AR197" i="36"/>
  <c r="CC172" i="36"/>
  <c r="BH177" i="36"/>
  <c r="BZ177" i="36" s="1"/>
  <c r="CC184" i="36"/>
  <c r="AQ160" i="36"/>
  <c r="BI162" i="36" s="1"/>
  <c r="AS160" i="36"/>
  <c r="BK162" i="36" s="1"/>
  <c r="CB160" i="36"/>
  <c r="CC171" i="36"/>
  <c r="CC179" i="36"/>
  <c r="BH183" i="36"/>
  <c r="BZ183" i="36" s="1"/>
  <c r="CC183" i="36" s="1"/>
  <c r="CB197" i="36"/>
  <c r="BJ162" i="36" l="1"/>
  <c r="E100" i="32"/>
  <c r="U100" i="32"/>
  <c r="D98" i="32"/>
  <c r="U94" i="32"/>
  <c r="U101" i="32"/>
  <c r="S68" i="32"/>
  <c r="S73" i="32" s="1"/>
  <c r="BK121" i="36"/>
  <c r="BZ41" i="36"/>
  <c r="BJ121" i="36"/>
  <c r="BI121" i="36"/>
  <c r="BZ162" i="36"/>
  <c r="BJ199" i="36"/>
  <c r="BK199" i="36"/>
  <c r="BI199" i="36"/>
  <c r="AP160" i="36"/>
  <c r="E97" i="32"/>
  <c r="AP119" i="36"/>
  <c r="AP39" i="36"/>
  <c r="E101" i="32"/>
  <c r="E94" i="32"/>
  <c r="CC110" i="36"/>
  <c r="CC148" i="36"/>
  <c r="CC177" i="36"/>
  <c r="CA109" i="36"/>
  <c r="CA177" i="36"/>
  <c r="CA110" i="36"/>
  <c r="CC151" i="36"/>
  <c r="CC33" i="36"/>
  <c r="CA117" i="36"/>
  <c r="CC109" i="36"/>
  <c r="CC150" i="36"/>
  <c r="CC147" i="36"/>
  <c r="CA111" i="36"/>
  <c r="CA178" i="36"/>
  <c r="CC178" i="36"/>
  <c r="CC34" i="36"/>
  <c r="CA114" i="36"/>
  <c r="CA115" i="36"/>
  <c r="CA112" i="36"/>
  <c r="CC116" i="36"/>
  <c r="BH119" i="36"/>
  <c r="CA33" i="36"/>
  <c r="CA34" i="36"/>
  <c r="BH39" i="36"/>
  <c r="CA32" i="36"/>
  <c r="CA171" i="36"/>
  <c r="CA172" i="36"/>
  <c r="CA179" i="36"/>
  <c r="CA176" i="36"/>
  <c r="CA173" i="36"/>
  <c r="CA169" i="36"/>
  <c r="CC176" i="36"/>
  <c r="CC173" i="36"/>
  <c r="CC169" i="36"/>
  <c r="CA100" i="36"/>
  <c r="Q96" i="32"/>
  <c r="CA149" i="36"/>
  <c r="CA151" i="36"/>
  <c r="CA148" i="36"/>
  <c r="CA150" i="36"/>
  <c r="CA147" i="36"/>
  <c r="BH160" i="36"/>
  <c r="BZ160" i="36"/>
  <c r="CA183" i="36"/>
  <c r="CA184" i="36"/>
  <c r="CC185" i="36"/>
  <c r="BH197" i="36"/>
  <c r="AP197" i="36"/>
  <c r="I98" i="32" l="1"/>
  <c r="J100" i="32"/>
  <c r="O100" i="32"/>
  <c r="Q100" i="32" s="1"/>
  <c r="BZ199" i="36"/>
  <c r="BZ121" i="36"/>
  <c r="J101" i="32"/>
  <c r="J97" i="32"/>
  <c r="J103" i="32" s="1"/>
  <c r="J94" i="32"/>
  <c r="CF201" i="36"/>
  <c r="BZ119" i="36"/>
  <c r="CC119" i="36"/>
  <c r="BZ39" i="36"/>
  <c r="CC32" i="36"/>
  <c r="CC39" i="36" s="1"/>
  <c r="BZ101" i="36"/>
  <c r="CC100" i="36"/>
  <c r="CC101" i="36" s="1"/>
  <c r="CA146" i="36"/>
  <c r="BZ161" i="36"/>
  <c r="CA160" i="36"/>
  <c r="CC146" i="36"/>
  <c r="CA161" i="36"/>
  <c r="BZ197" i="36"/>
  <c r="CE105" i="36" l="1"/>
  <c r="T101" i="32"/>
  <c r="CB198" i="36"/>
  <c r="CB199" i="36" s="1"/>
  <c r="CB161" i="36"/>
  <c r="CH151" i="36"/>
  <c r="O94" i="32"/>
  <c r="Q94" i="32" s="1"/>
  <c r="N98" i="32"/>
  <c r="X100" i="32"/>
  <c r="O97" i="32"/>
  <c r="Q97" i="32" s="1"/>
  <c r="L97" i="32"/>
  <c r="O101" i="32"/>
  <c r="L98" i="32"/>
  <c r="L100" i="32"/>
  <c r="L96" i="32"/>
  <c r="W96" i="32"/>
  <c r="L94" i="32"/>
  <c r="L95" i="32"/>
  <c r="L101" i="32"/>
  <c r="CA119" i="36"/>
  <c r="CA197" i="36"/>
  <c r="CC161" i="36"/>
  <c r="CC162" i="36" s="1"/>
  <c r="R100" i="32"/>
  <c r="CA39" i="36"/>
  <c r="CA120" i="36"/>
  <c r="CB120" i="36"/>
  <c r="BZ120" i="36"/>
  <c r="CB40" i="36"/>
  <c r="CA40" i="36"/>
  <c r="BZ40" i="36"/>
  <c r="BZ198" i="36"/>
  <c r="CA198" i="36"/>
  <c r="Q98" i="32" l="1"/>
  <c r="R98" i="32"/>
  <c r="Q99" i="32"/>
  <c r="W99" i="32"/>
  <c r="G99" i="32"/>
  <c r="X97" i="32"/>
  <c r="Q101" i="32"/>
  <c r="Q95" i="32"/>
  <c r="X94" i="32"/>
  <c r="X101" i="32"/>
  <c r="W95" i="32"/>
  <c r="W98" i="32"/>
  <c r="CC40" i="36"/>
  <c r="CC41" i="36" s="1"/>
  <c r="R94" i="32"/>
  <c r="CC198" i="36"/>
  <c r="CC199" i="36" s="1"/>
  <c r="R101" i="32"/>
  <c r="CC102" i="36"/>
  <c r="CC103" i="36" s="1"/>
  <c r="R97" i="32"/>
  <c r="R103" i="32" s="1"/>
  <c r="CC120" i="36"/>
  <c r="CC121" i="36" s="1"/>
  <c r="BH158" i="37"/>
  <c r="Q158" i="37"/>
  <c r="BH150" i="37"/>
  <c r="Q150" i="37"/>
  <c r="BH142" i="37"/>
  <c r="Q142" i="37"/>
  <c r="BH134" i="37"/>
  <c r="BH135" i="37" s="1"/>
  <c r="Q134" i="37"/>
  <c r="S99" i="32" l="1"/>
  <c r="W103" i="32"/>
  <c r="Z99" i="32"/>
  <c r="X103" i="32"/>
  <c r="BH143" i="37"/>
  <c r="C47" i="32" s="1"/>
  <c r="V47" i="32" s="1"/>
  <c r="BH151" i="37"/>
  <c r="BH159" i="37"/>
  <c r="BJ158" i="37"/>
  <c r="U49" i="32" s="1"/>
  <c r="AF158" i="37"/>
  <c r="BJ134" i="37"/>
  <c r="BJ135" i="37" s="1"/>
  <c r="U46" i="32" s="1"/>
  <c r="AF134" i="37"/>
  <c r="BJ142" i="37"/>
  <c r="BJ143" i="37" s="1"/>
  <c r="U47" i="32" s="1"/>
  <c r="AF142" i="37"/>
  <c r="BG142" i="37" s="1"/>
  <c r="BJ150" i="37"/>
  <c r="U48" i="32" s="1"/>
  <c r="AF150" i="37"/>
  <c r="BI158" i="37"/>
  <c r="BI150" i="37"/>
  <c r="BI142" i="37"/>
  <c r="BI134" i="37"/>
  <c r="BI135" i="37" s="1"/>
  <c r="G47" i="32" l="1"/>
  <c r="Z47" i="32" s="1"/>
  <c r="C48" i="32"/>
  <c r="V48" i="32" s="1"/>
  <c r="C49" i="32"/>
  <c r="V49" i="32" s="1"/>
  <c r="BG134" i="37"/>
  <c r="BG135" i="37" s="1"/>
  <c r="AF135" i="37"/>
  <c r="C46" i="32"/>
  <c r="G46" i="32" s="1"/>
  <c r="AF151" i="37"/>
  <c r="AF159" i="37"/>
  <c r="AF143" i="37"/>
  <c r="H46" i="32"/>
  <c r="BG150" i="37"/>
  <c r="BG158" i="37"/>
  <c r="V46" i="32" l="1"/>
  <c r="T47" i="32"/>
  <c r="L46" i="32"/>
  <c r="Z46" i="32" s="1"/>
  <c r="G48" i="32"/>
  <c r="BG136" i="37"/>
  <c r="BI143" i="37"/>
  <c r="BH144" i="37" s="1"/>
  <c r="BI159" i="37"/>
  <c r="BH160" i="37" s="1"/>
  <c r="BI151" i="37"/>
  <c r="BH152" i="37" s="1"/>
  <c r="BG159" i="37"/>
  <c r="BG151" i="37"/>
  <c r="BG143" i="37"/>
  <c r="BF160" i="37"/>
  <c r="BH136" i="37"/>
  <c r="BF136" i="37"/>
  <c r="BI136" i="37"/>
  <c r="BI137" i="37" s="1"/>
  <c r="BG160" i="37"/>
  <c r="BF144" i="37"/>
  <c r="BF152" i="37"/>
  <c r="BG152" i="37"/>
  <c r="BG144" i="37"/>
  <c r="BH169" i="38"/>
  <c r="Q169" i="38"/>
  <c r="BH168" i="38"/>
  <c r="Q168" i="38"/>
  <c r="BH167" i="38"/>
  <c r="AU170" i="38"/>
  <c r="Q167" i="38"/>
  <c r="BH159" i="38"/>
  <c r="AI159" i="38"/>
  <c r="AV159" i="38" s="1"/>
  <c r="AH159" i="38"/>
  <c r="AU159" i="38" s="1"/>
  <c r="AG159" i="38"/>
  <c r="AT159" i="38" s="1"/>
  <c r="Q159" i="38"/>
  <c r="BH157" i="38"/>
  <c r="AI157" i="38"/>
  <c r="AV157" i="38" s="1"/>
  <c r="AH157" i="38"/>
  <c r="AU157" i="38" s="1"/>
  <c r="AG157" i="38"/>
  <c r="AT157" i="38" s="1"/>
  <c r="Q157" i="38"/>
  <c r="BH156" i="38"/>
  <c r="AI156" i="38"/>
  <c r="AV156" i="38" s="1"/>
  <c r="AH156" i="38"/>
  <c r="AU156" i="38" s="1"/>
  <c r="AG156" i="38"/>
  <c r="AT156" i="38" s="1"/>
  <c r="Q156" i="38"/>
  <c r="BH148" i="38"/>
  <c r="AI148" i="38"/>
  <c r="AV148" i="38" s="1"/>
  <c r="AH148" i="38"/>
  <c r="AU148" i="38" s="1"/>
  <c r="AG148" i="38"/>
  <c r="AT148" i="38" s="1"/>
  <c r="Q148" i="38"/>
  <c r="BH147" i="38"/>
  <c r="AI147" i="38"/>
  <c r="AV147" i="38" s="1"/>
  <c r="AH147" i="38"/>
  <c r="AU147" i="38" s="1"/>
  <c r="AG147" i="38"/>
  <c r="AT147" i="38" s="1"/>
  <c r="Q147" i="38"/>
  <c r="BH146" i="38"/>
  <c r="AI146" i="38"/>
  <c r="AV146" i="38" s="1"/>
  <c r="AH146" i="38"/>
  <c r="AU146" i="38" s="1"/>
  <c r="AG146" i="38"/>
  <c r="AT146" i="38" s="1"/>
  <c r="Q146" i="38"/>
  <c r="BH145" i="38"/>
  <c r="AI145" i="38"/>
  <c r="AV145" i="38" s="1"/>
  <c r="AH145" i="38"/>
  <c r="AU145" i="38" s="1"/>
  <c r="AG145" i="38"/>
  <c r="AT145" i="38" s="1"/>
  <c r="Q145" i="38"/>
  <c r="BH136" i="38"/>
  <c r="AI136" i="38"/>
  <c r="AV136" i="38" s="1"/>
  <c r="AH136" i="38"/>
  <c r="AU136" i="38" s="1"/>
  <c r="AG136" i="38"/>
  <c r="AT136" i="38" s="1"/>
  <c r="Q136" i="38"/>
  <c r="BH137" i="38"/>
  <c r="AI137" i="38"/>
  <c r="AV137" i="38" s="1"/>
  <c r="AH137" i="38"/>
  <c r="AU137" i="38" s="1"/>
  <c r="AG137" i="38"/>
  <c r="AT137" i="38" s="1"/>
  <c r="Q137" i="38"/>
  <c r="BH135" i="38"/>
  <c r="AI135" i="38"/>
  <c r="AV135" i="38" s="1"/>
  <c r="AH135" i="38"/>
  <c r="AU135" i="38" s="1"/>
  <c r="AG135" i="38"/>
  <c r="AT135" i="38" s="1"/>
  <c r="Q135" i="38"/>
  <c r="BH134" i="38"/>
  <c r="AI134" i="38"/>
  <c r="AV134" i="38" s="1"/>
  <c r="AH134" i="38"/>
  <c r="AU134" i="38" s="1"/>
  <c r="AG134" i="38"/>
  <c r="AT134" i="38" s="1"/>
  <c r="Q134" i="38"/>
  <c r="BH126" i="38"/>
  <c r="AI126" i="38"/>
  <c r="AV126" i="38" s="1"/>
  <c r="AH126" i="38"/>
  <c r="AG126" i="38"/>
  <c r="Q126" i="38"/>
  <c r="BH125" i="38"/>
  <c r="AI125" i="38"/>
  <c r="AV125" i="38" s="1"/>
  <c r="AH125" i="38"/>
  <c r="AG125" i="38"/>
  <c r="Q125" i="38"/>
  <c r="BH124" i="38"/>
  <c r="AI124" i="38"/>
  <c r="AV124" i="38" s="1"/>
  <c r="AH124" i="38"/>
  <c r="AG124" i="38"/>
  <c r="AT124" i="38" s="1"/>
  <c r="Q124" i="38"/>
  <c r="BH116" i="38"/>
  <c r="AH116" i="38"/>
  <c r="AU116" i="38" s="1"/>
  <c r="AG116" i="38"/>
  <c r="AT116" i="38" s="1"/>
  <c r="BH115" i="38"/>
  <c r="AH115" i="38"/>
  <c r="AU115" i="38" s="1"/>
  <c r="AG115" i="38"/>
  <c r="Q115" i="38"/>
  <c r="BH114" i="38"/>
  <c r="AH114" i="38"/>
  <c r="AU114" i="38" s="1"/>
  <c r="AG114" i="38"/>
  <c r="AT114" i="38" s="1"/>
  <c r="Q114" i="38"/>
  <c r="BH105" i="38"/>
  <c r="AI105" i="38"/>
  <c r="AV105" i="38" s="1"/>
  <c r="AH105" i="38"/>
  <c r="AU105" i="38" s="1"/>
  <c r="AG105" i="38"/>
  <c r="Q105" i="38"/>
  <c r="BH106" i="38"/>
  <c r="AI106" i="38"/>
  <c r="AV106" i="38" s="1"/>
  <c r="AH106" i="38"/>
  <c r="AU106" i="38" s="1"/>
  <c r="AG106" i="38"/>
  <c r="Q106" i="38"/>
  <c r="BH104" i="38"/>
  <c r="AI104" i="38"/>
  <c r="AV104" i="38" s="1"/>
  <c r="AH104" i="38"/>
  <c r="AU104" i="38" s="1"/>
  <c r="AG104" i="38"/>
  <c r="Q104" i="38"/>
  <c r="BH103" i="38"/>
  <c r="AI103" i="38"/>
  <c r="AV103" i="38" s="1"/>
  <c r="AH103" i="38"/>
  <c r="AU103" i="38" s="1"/>
  <c r="AG103" i="38"/>
  <c r="Q103" i="38"/>
  <c r="Q184" i="38"/>
  <c r="Q183" i="38"/>
  <c r="Q182" i="38"/>
  <c r="BH184" i="38"/>
  <c r="AI184" i="38"/>
  <c r="AV184" i="38" s="1"/>
  <c r="AH184" i="38"/>
  <c r="AU184" i="38" s="1"/>
  <c r="AG184" i="38"/>
  <c r="AT184" i="38" s="1"/>
  <c r="BH183" i="38"/>
  <c r="AI183" i="38"/>
  <c r="AV183" i="38" s="1"/>
  <c r="AH183" i="38"/>
  <c r="AU183" i="38" s="1"/>
  <c r="AG183" i="38"/>
  <c r="AT183" i="38" s="1"/>
  <c r="BH182" i="38"/>
  <c r="AI182" i="38"/>
  <c r="AV182" i="38" s="1"/>
  <c r="AH182" i="38"/>
  <c r="AU182" i="38" s="1"/>
  <c r="AG182" i="38"/>
  <c r="AT182" i="38" s="1"/>
  <c r="BH179" i="38"/>
  <c r="AI179" i="38"/>
  <c r="AV179" i="38" s="1"/>
  <c r="AH179" i="38"/>
  <c r="AU179" i="38" s="1"/>
  <c r="AG179" i="38"/>
  <c r="Q179" i="38"/>
  <c r="BH178" i="38"/>
  <c r="AI178" i="38"/>
  <c r="AV178" i="38" s="1"/>
  <c r="AH178" i="38"/>
  <c r="AU178" i="38" s="1"/>
  <c r="AG178" i="38"/>
  <c r="AT178" i="38" s="1"/>
  <c r="Q178" i="38"/>
  <c r="BH177" i="38"/>
  <c r="AI177" i="38"/>
  <c r="AV177" i="38" s="1"/>
  <c r="AH177" i="38"/>
  <c r="AU177" i="38" s="1"/>
  <c r="AG177" i="38"/>
  <c r="Q177" i="38"/>
  <c r="BH226" i="38"/>
  <c r="AI226" i="38"/>
  <c r="AV226" i="38" s="1"/>
  <c r="AH226" i="38"/>
  <c r="AG226" i="38"/>
  <c r="AT226" i="38" s="1"/>
  <c r="AF226" i="38"/>
  <c r="BH225" i="38"/>
  <c r="AI225" i="38"/>
  <c r="AV225" i="38" s="1"/>
  <c r="AH225" i="38"/>
  <c r="AU227" i="38" s="1"/>
  <c r="AG225" i="38"/>
  <c r="AT225" i="38" s="1"/>
  <c r="AT227" i="38" s="1"/>
  <c r="AF225" i="38"/>
  <c r="BH224" i="38"/>
  <c r="AI224" i="38"/>
  <c r="AH224" i="38"/>
  <c r="AG224" i="38"/>
  <c r="Q224" i="38"/>
  <c r="AF224" i="38" s="1"/>
  <c r="AI216" i="38"/>
  <c r="AV216" i="38" s="1"/>
  <c r="AH216" i="38"/>
  <c r="AU216" i="38" s="1"/>
  <c r="AG216" i="38"/>
  <c r="Q216" i="38"/>
  <c r="BH215" i="38"/>
  <c r="AI215" i="38"/>
  <c r="AV215" i="38" s="1"/>
  <c r="AH215" i="38"/>
  <c r="AG215" i="38"/>
  <c r="Q215" i="38"/>
  <c r="BH207" i="38"/>
  <c r="AI207" i="38"/>
  <c r="AV207" i="38" s="1"/>
  <c r="AH207" i="38"/>
  <c r="AU207" i="38" s="1"/>
  <c r="AG207" i="38"/>
  <c r="AT207" i="38" s="1"/>
  <c r="Q207" i="38"/>
  <c r="BH206" i="38"/>
  <c r="AI206" i="38"/>
  <c r="AV206" i="38" s="1"/>
  <c r="AH206" i="38"/>
  <c r="AU206" i="38" s="1"/>
  <c r="AG206" i="38"/>
  <c r="AT206" i="38" s="1"/>
  <c r="Q206" i="38"/>
  <c r="BH73" i="38"/>
  <c r="AI73" i="38"/>
  <c r="AV73" i="38" s="1"/>
  <c r="AH73" i="38"/>
  <c r="AU73" i="38" s="1"/>
  <c r="AG73" i="38"/>
  <c r="Q73" i="38"/>
  <c r="BH71" i="38"/>
  <c r="AI71" i="38"/>
  <c r="AV71" i="38" s="1"/>
  <c r="AH71" i="38"/>
  <c r="AU71" i="38" s="1"/>
  <c r="AG71" i="38"/>
  <c r="Q71" i="38"/>
  <c r="BH70" i="38"/>
  <c r="AI70" i="38"/>
  <c r="AV70" i="38" s="1"/>
  <c r="AH70" i="38"/>
  <c r="AU70" i="38" s="1"/>
  <c r="AG70" i="38"/>
  <c r="Q70" i="38"/>
  <c r="BH62" i="38"/>
  <c r="AI62" i="38"/>
  <c r="AV62" i="38" s="1"/>
  <c r="AH62" i="38"/>
  <c r="AU62" i="38" s="1"/>
  <c r="AG62" i="38"/>
  <c r="Q62" i="38"/>
  <c r="BH61" i="38"/>
  <c r="AI61" i="38"/>
  <c r="AV61" i="38" s="1"/>
  <c r="AH61" i="38"/>
  <c r="AU61" i="38" s="1"/>
  <c r="AG61" i="38"/>
  <c r="Q61" i="38"/>
  <c r="BH60" i="38"/>
  <c r="AI60" i="38"/>
  <c r="AV60" i="38" s="1"/>
  <c r="AH60" i="38"/>
  <c r="AU60" i="38" s="1"/>
  <c r="AG60" i="38"/>
  <c r="Q60" i="38"/>
  <c r="BH59" i="38"/>
  <c r="AI59" i="38"/>
  <c r="AV59" i="38" s="1"/>
  <c r="AH59" i="38"/>
  <c r="AG59" i="38"/>
  <c r="Q59" i="38"/>
  <c r="BH50" i="38"/>
  <c r="AI50" i="38"/>
  <c r="AV50" i="38" s="1"/>
  <c r="AH50" i="38"/>
  <c r="AU50" i="38" s="1"/>
  <c r="AG50" i="38"/>
  <c r="AT50" i="38" s="1"/>
  <c r="Q50" i="38"/>
  <c r="BH51" i="38"/>
  <c r="AI51" i="38"/>
  <c r="AV51" i="38" s="1"/>
  <c r="AH51" i="38"/>
  <c r="AU51" i="38" s="1"/>
  <c r="AG51" i="38"/>
  <c r="AT51" i="38" s="1"/>
  <c r="Q51" i="38"/>
  <c r="BH49" i="38"/>
  <c r="AI49" i="38"/>
  <c r="AV49" i="38" s="1"/>
  <c r="AH49" i="38"/>
  <c r="AU49" i="38" s="1"/>
  <c r="AT49" i="38"/>
  <c r="Q49" i="38"/>
  <c r="BH48" i="38"/>
  <c r="AI48" i="38"/>
  <c r="AV48" i="38" s="1"/>
  <c r="AH48" i="38"/>
  <c r="AU48" i="38" s="1"/>
  <c r="AG48" i="38"/>
  <c r="AT48" i="38" s="1"/>
  <c r="Q48" i="38"/>
  <c r="BH40" i="38"/>
  <c r="AI40" i="38"/>
  <c r="AV40" i="38" s="1"/>
  <c r="AH40" i="38"/>
  <c r="AU40" i="38" s="1"/>
  <c r="AG40" i="38"/>
  <c r="Q40" i="38"/>
  <c r="BH39" i="38"/>
  <c r="AI39" i="38"/>
  <c r="AV39" i="38" s="1"/>
  <c r="AH39" i="38"/>
  <c r="AU39" i="38" s="1"/>
  <c r="Q39" i="38"/>
  <c r="BH38" i="38"/>
  <c r="AI38" i="38"/>
  <c r="AH38" i="38"/>
  <c r="AG38" i="38"/>
  <c r="Q38" i="38"/>
  <c r="BH30" i="38"/>
  <c r="AI30" i="38"/>
  <c r="AV30" i="38" s="1"/>
  <c r="AH30" i="38"/>
  <c r="AU30" i="38" s="1"/>
  <c r="AG30" i="38"/>
  <c r="AT30" i="38" s="1"/>
  <c r="Q30" i="38"/>
  <c r="BH29" i="38"/>
  <c r="AI29" i="38"/>
  <c r="AV29" i="38" s="1"/>
  <c r="AH29" i="38"/>
  <c r="AU29" i="38" s="1"/>
  <c r="AT29" i="38"/>
  <c r="Q29" i="38"/>
  <c r="BH28" i="38"/>
  <c r="AI28" i="38"/>
  <c r="AV28" i="38" s="1"/>
  <c r="AH28" i="38"/>
  <c r="AU28" i="38" s="1"/>
  <c r="AG28" i="38"/>
  <c r="Q28" i="38"/>
  <c r="BH20" i="38"/>
  <c r="AI20" i="38"/>
  <c r="AV20" i="38" s="1"/>
  <c r="AH20" i="38"/>
  <c r="AU20" i="38" s="1"/>
  <c r="AG20" i="38"/>
  <c r="AT20" i="38" s="1"/>
  <c r="Q20" i="38"/>
  <c r="BH19" i="38"/>
  <c r="AI19" i="38"/>
  <c r="AV19" i="38" s="1"/>
  <c r="AH19" i="38"/>
  <c r="AU19" i="38" s="1"/>
  <c r="AG19" i="38"/>
  <c r="Q19" i="38"/>
  <c r="BH18" i="38"/>
  <c r="AI18" i="38"/>
  <c r="AV18" i="38" s="1"/>
  <c r="AH18" i="38"/>
  <c r="AU18" i="38" s="1"/>
  <c r="Q18" i="38"/>
  <c r="AI17" i="38"/>
  <c r="AH17" i="38"/>
  <c r="AG17" i="38"/>
  <c r="Q17" i="38"/>
  <c r="AT17" i="38" l="1"/>
  <c r="AT70" i="38"/>
  <c r="BK70" i="38" s="1"/>
  <c r="AT28" i="38"/>
  <c r="AT73" i="38"/>
  <c r="BK73" i="38" s="1"/>
  <c r="BM73" i="38" s="1"/>
  <c r="AV227" i="38"/>
  <c r="AT177" i="38"/>
  <c r="BK177" i="38" s="1"/>
  <c r="BO106" i="38"/>
  <c r="CA106" i="38" s="1"/>
  <c r="BO105" i="38"/>
  <c r="CA105" i="38" s="1"/>
  <c r="AT38" i="38"/>
  <c r="BK38" i="38" s="1"/>
  <c r="AT215" i="38"/>
  <c r="BK215" i="38"/>
  <c r="AT18" i="38"/>
  <c r="BK18" i="38" s="1"/>
  <c r="AT40" i="38"/>
  <c r="BF40" i="38" s="1"/>
  <c r="AT62" i="38"/>
  <c r="BK62" i="38" s="1"/>
  <c r="BM62" i="38" s="1"/>
  <c r="AG227" i="38"/>
  <c r="AT229" i="38" s="1"/>
  <c r="G12" i="32"/>
  <c r="AT59" i="38"/>
  <c r="BK59" i="38" s="1"/>
  <c r="BK124" i="38"/>
  <c r="BH31" i="38"/>
  <c r="C7" i="32" s="1"/>
  <c r="G7" i="32" s="1"/>
  <c r="AT71" i="38"/>
  <c r="BK71" i="38" s="1"/>
  <c r="BM71" i="38" s="1"/>
  <c r="BO104" i="38"/>
  <c r="CA104" i="38" s="1"/>
  <c r="CB104" i="38"/>
  <c r="CN104" i="38" s="1"/>
  <c r="BK125" i="38"/>
  <c r="BM125" i="38" s="1"/>
  <c r="BO103" i="38"/>
  <c r="CA103" i="38" s="1"/>
  <c r="CB103" i="38"/>
  <c r="CN103" i="38" s="1"/>
  <c r="AT60" i="38"/>
  <c r="BF60" i="38" s="1"/>
  <c r="BH21" i="38"/>
  <c r="C6" i="32" s="1"/>
  <c r="G6" i="32" s="1"/>
  <c r="AT39" i="38"/>
  <c r="BK39" i="38" s="1"/>
  <c r="BM39" i="38" s="1"/>
  <c r="AT61" i="38"/>
  <c r="BF61" i="38" s="1"/>
  <c r="BK61" i="38"/>
  <c r="AT216" i="38"/>
  <c r="BK216" i="38" s="1"/>
  <c r="BI144" i="37"/>
  <c r="R47" i="32"/>
  <c r="S47" i="32" s="1"/>
  <c r="BI152" i="37"/>
  <c r="BI153" i="37" s="1"/>
  <c r="R48" i="32"/>
  <c r="BI160" i="37"/>
  <c r="BI161" i="37" s="1"/>
  <c r="R49" i="32"/>
  <c r="T46" i="32"/>
  <c r="S46" i="32" s="1"/>
  <c r="Z48" i="32"/>
  <c r="T48" i="32"/>
  <c r="AU160" i="38"/>
  <c r="AV185" i="38"/>
  <c r="AV208" i="38"/>
  <c r="AU208" i="38"/>
  <c r="AV160" i="38"/>
  <c r="AV217" i="38"/>
  <c r="AF227" i="38"/>
  <c r="BF136" i="38"/>
  <c r="BF148" i="38"/>
  <c r="BH227" i="38"/>
  <c r="BF184" i="38"/>
  <c r="BF137" i="38"/>
  <c r="BF159" i="38"/>
  <c r="BH185" i="38"/>
  <c r="C21" i="32" s="1"/>
  <c r="G21" i="32" s="1"/>
  <c r="BF157" i="38"/>
  <c r="BF30" i="38"/>
  <c r="BF49" i="38"/>
  <c r="BF207" i="38"/>
  <c r="Q12" i="32" s="1"/>
  <c r="BF179" i="38"/>
  <c r="BF135" i="38"/>
  <c r="AT125" i="38"/>
  <c r="AT126" i="38"/>
  <c r="BF126" i="38" s="1"/>
  <c r="BJ60" i="38"/>
  <c r="AF60" i="38"/>
  <c r="BF20" i="38"/>
  <c r="BF182" i="38"/>
  <c r="BJ184" i="38"/>
  <c r="AF184" i="38"/>
  <c r="BF104" i="38"/>
  <c r="BJ125" i="38"/>
  <c r="AF125" i="38"/>
  <c r="BJ137" i="38"/>
  <c r="AF137" i="38"/>
  <c r="BJ147" i="38"/>
  <c r="AF147" i="38"/>
  <c r="BJ159" i="38"/>
  <c r="AF159" i="38"/>
  <c r="BJ20" i="38"/>
  <c r="AF20" i="38"/>
  <c r="AV17" i="38"/>
  <c r="AV21" i="38" s="1"/>
  <c r="BJ19" i="38"/>
  <c r="AF19" i="38"/>
  <c r="BJ30" i="38"/>
  <c r="AF30" i="38"/>
  <c r="AU38" i="38"/>
  <c r="AU41" i="38" s="1"/>
  <c r="BJ48" i="38"/>
  <c r="AF48" i="38"/>
  <c r="BJ59" i="38"/>
  <c r="AF59" i="38"/>
  <c r="BJ70" i="38"/>
  <c r="AF70" i="38"/>
  <c r="BJ207" i="38"/>
  <c r="AF207" i="38"/>
  <c r="AU215" i="38"/>
  <c r="AU217" i="38" s="1"/>
  <c r="BJ225" i="38"/>
  <c r="AF179" i="38"/>
  <c r="BJ103" i="38"/>
  <c r="AF103" i="38"/>
  <c r="AU17" i="38"/>
  <c r="AU21" i="38" s="1"/>
  <c r="BJ38" i="38"/>
  <c r="AF38" i="38"/>
  <c r="BJ49" i="38"/>
  <c r="AF49" i="38"/>
  <c r="BJ71" i="38"/>
  <c r="AF71" i="38"/>
  <c r="AV38" i="38"/>
  <c r="AV41" i="38" s="1"/>
  <c r="BF48" i="38"/>
  <c r="BF103" i="38"/>
  <c r="BJ124" i="38"/>
  <c r="AF124" i="38"/>
  <c r="BJ135" i="38"/>
  <c r="AF135" i="38"/>
  <c r="BJ146" i="38"/>
  <c r="AF146" i="38"/>
  <c r="BF147" i="38"/>
  <c r="BJ157" i="38"/>
  <c r="AF157" i="38"/>
  <c r="BJ167" i="38"/>
  <c r="AF167" i="38"/>
  <c r="BJ29" i="38"/>
  <c r="AF29" i="38"/>
  <c r="BJ40" i="38"/>
  <c r="AF40" i="38"/>
  <c r="BJ50" i="38"/>
  <c r="AF50" i="38"/>
  <c r="AU59" i="38"/>
  <c r="AU63" i="38" s="1"/>
  <c r="BJ62" i="38"/>
  <c r="AF62" i="38"/>
  <c r="BJ206" i="38"/>
  <c r="AF206" i="38"/>
  <c r="BJ178" i="38"/>
  <c r="AF178" i="38"/>
  <c r="BJ105" i="38"/>
  <c r="AF105" i="38"/>
  <c r="BJ168" i="38"/>
  <c r="AF168" i="38"/>
  <c r="BF19" i="38"/>
  <c r="BF29" i="38"/>
  <c r="BF50" i="38"/>
  <c r="BF178" i="38"/>
  <c r="BF105" i="38"/>
  <c r="BJ134" i="38"/>
  <c r="AF134" i="38"/>
  <c r="BJ145" i="38"/>
  <c r="AF145" i="38"/>
  <c r="BF146" i="38"/>
  <c r="BJ156" i="38"/>
  <c r="AF156" i="38"/>
  <c r="BJ215" i="38"/>
  <c r="AF215" i="38"/>
  <c r="BJ183" i="38"/>
  <c r="AF183" i="38"/>
  <c r="BJ39" i="38"/>
  <c r="AF39" i="38"/>
  <c r="BJ51" i="38"/>
  <c r="AF51" i="38"/>
  <c r="BJ216" i="38"/>
  <c r="AF216" i="38"/>
  <c r="BJ177" i="38"/>
  <c r="AF177" i="38"/>
  <c r="BJ106" i="38"/>
  <c r="AF106" i="38"/>
  <c r="BF116" i="38"/>
  <c r="BF134" i="38"/>
  <c r="BF145" i="38"/>
  <c r="BF156" i="38"/>
  <c r="BJ169" i="38"/>
  <c r="AF169" i="38"/>
  <c r="BJ104" i="38"/>
  <c r="AF104" i="38"/>
  <c r="BJ18" i="38"/>
  <c r="AF18" i="38"/>
  <c r="BJ17" i="38"/>
  <c r="AF17" i="38"/>
  <c r="BF51" i="38"/>
  <c r="BF183" i="38"/>
  <c r="BJ182" i="38"/>
  <c r="AF182" i="38"/>
  <c r="BF106" i="38"/>
  <c r="BJ126" i="38"/>
  <c r="AF126" i="38"/>
  <c r="BJ136" i="38"/>
  <c r="AF136" i="38"/>
  <c r="BJ148" i="38"/>
  <c r="AF148" i="38"/>
  <c r="BJ61" i="38"/>
  <c r="AF61" i="38"/>
  <c r="BJ73" i="38"/>
  <c r="AF73" i="38"/>
  <c r="BJ226" i="38"/>
  <c r="BJ224" i="38"/>
  <c r="AT115" i="38"/>
  <c r="BF115" i="38" s="1"/>
  <c r="BJ115" i="38"/>
  <c r="AF115" i="38"/>
  <c r="BI145" i="37"/>
  <c r="AU117" i="38"/>
  <c r="BJ114" i="38"/>
  <c r="AF114" i="38"/>
  <c r="BJ28" i="38"/>
  <c r="AF28" i="38"/>
  <c r="BG28" i="38" s="1"/>
  <c r="BF28" i="38"/>
  <c r="AV63" i="38"/>
  <c r="AU138" i="38"/>
  <c r="AV170" i="38"/>
  <c r="AU31" i="38"/>
  <c r="AU185" i="38"/>
  <c r="AV138" i="38"/>
  <c r="AV31" i="38"/>
  <c r="AU52" i="38"/>
  <c r="AU74" i="38"/>
  <c r="AU107" i="38"/>
  <c r="AV52" i="38"/>
  <c r="AV74" i="38"/>
  <c r="AV107" i="38"/>
  <c r="AV127" i="38"/>
  <c r="AU149" i="38"/>
  <c r="AV149" i="38"/>
  <c r="BH138" i="38"/>
  <c r="AS126" i="38"/>
  <c r="AS146" i="38"/>
  <c r="AS148" i="38"/>
  <c r="AI185" i="38"/>
  <c r="BI167" i="38"/>
  <c r="AI170" i="38"/>
  <c r="AI138" i="38"/>
  <c r="BH170" i="38"/>
  <c r="AH160" i="38"/>
  <c r="AG217" i="38"/>
  <c r="AI217" i="38"/>
  <c r="C24" i="32"/>
  <c r="G24" i="32" s="1"/>
  <c r="T24" i="32" s="1"/>
  <c r="S24" i="32" s="1"/>
  <c r="AS159" i="38"/>
  <c r="BI169" i="38"/>
  <c r="AI52" i="38"/>
  <c r="BH52" i="38"/>
  <c r="AS226" i="38"/>
  <c r="AS178" i="38"/>
  <c r="BI178" i="38" s="1"/>
  <c r="AS179" i="38"/>
  <c r="AS182" i="38"/>
  <c r="BI182" i="38" s="1"/>
  <c r="AS183" i="38"/>
  <c r="BI183" i="38" s="1"/>
  <c r="AS184" i="38"/>
  <c r="BI184" i="38" s="1"/>
  <c r="AI107" i="38"/>
  <c r="BH107" i="38"/>
  <c r="C14" i="32" s="1"/>
  <c r="G14" i="32" s="1"/>
  <c r="AI127" i="38"/>
  <c r="BH127" i="38"/>
  <c r="AS137" i="38"/>
  <c r="AS136" i="38"/>
  <c r="AI160" i="38"/>
  <c r="BH160" i="38"/>
  <c r="AH170" i="38"/>
  <c r="AU172" i="38" s="1"/>
  <c r="BI168" i="38"/>
  <c r="AG170" i="38"/>
  <c r="AT172" i="38" s="1"/>
  <c r="AS40" i="38"/>
  <c r="BI40" i="38" s="1"/>
  <c r="AI63" i="38"/>
  <c r="AG208" i="38"/>
  <c r="AI208" i="38"/>
  <c r="AS224" i="38"/>
  <c r="BI227" i="38" s="1"/>
  <c r="BL231" i="38" s="1"/>
  <c r="AS106" i="38"/>
  <c r="AS105" i="38"/>
  <c r="AS125" i="38"/>
  <c r="AH138" i="38"/>
  <c r="AS135" i="38"/>
  <c r="AS147" i="38"/>
  <c r="AS157" i="38"/>
  <c r="AS115" i="38"/>
  <c r="AS156" i="38"/>
  <c r="BH149" i="38"/>
  <c r="AS145" i="38"/>
  <c r="AS134" i="38"/>
  <c r="AS124" i="38"/>
  <c r="AS18" i="38"/>
  <c r="BI18" i="38" s="1"/>
  <c r="AI31" i="38"/>
  <c r="AI41" i="38"/>
  <c r="BH41" i="38"/>
  <c r="C8" i="32" s="1"/>
  <c r="G8" i="32" s="1"/>
  <c r="AS51" i="38"/>
  <c r="AS50" i="38"/>
  <c r="AH63" i="38"/>
  <c r="AH208" i="38"/>
  <c r="AS207" i="38"/>
  <c r="BI207" i="38" s="1"/>
  <c r="AH217" i="38"/>
  <c r="AS216" i="38"/>
  <c r="AH227" i="38"/>
  <c r="AI227" i="38"/>
  <c r="AH185" i="38"/>
  <c r="AH107" i="38"/>
  <c r="AS104" i="38"/>
  <c r="BH117" i="38"/>
  <c r="AS116" i="38"/>
  <c r="AS114" i="38"/>
  <c r="AS103" i="38"/>
  <c r="AS177" i="38"/>
  <c r="BI177" i="38" s="1"/>
  <c r="AH74" i="38"/>
  <c r="AS225" i="38"/>
  <c r="AS215" i="38"/>
  <c r="BI215" i="38" s="1"/>
  <c r="BH208" i="38"/>
  <c r="C23" i="32" s="1"/>
  <c r="G23" i="32" s="1"/>
  <c r="AS206" i="38"/>
  <c r="BI206" i="38" s="1"/>
  <c r="AH21" i="38"/>
  <c r="AH31" i="38"/>
  <c r="AH41" i="38"/>
  <c r="AS39" i="38"/>
  <c r="BI39" i="38" s="1"/>
  <c r="AH52" i="38"/>
  <c r="AS49" i="38"/>
  <c r="AS60" i="38"/>
  <c r="BI60" i="38" s="1"/>
  <c r="AS61" i="38"/>
  <c r="BI61" i="38" s="1"/>
  <c r="AS62" i="38"/>
  <c r="BI62" i="38" s="1"/>
  <c r="AI74" i="38"/>
  <c r="AS71" i="38"/>
  <c r="BI71" i="38" s="1"/>
  <c r="AS73" i="38"/>
  <c r="BI73" i="38" s="1"/>
  <c r="AS70" i="38"/>
  <c r="BI70" i="38" s="1"/>
  <c r="BH74" i="38"/>
  <c r="C11" i="32" s="1"/>
  <c r="G11" i="32" s="1"/>
  <c r="AS59" i="38"/>
  <c r="BI59" i="38" s="1"/>
  <c r="BH63" i="38"/>
  <c r="C10" i="32" s="1"/>
  <c r="G10" i="32" s="1"/>
  <c r="AS48" i="38"/>
  <c r="AS29" i="38"/>
  <c r="BI29" i="38" s="1"/>
  <c r="AS30" i="38"/>
  <c r="BI30" i="38" s="1"/>
  <c r="AS38" i="38"/>
  <c r="BI38" i="38" s="1"/>
  <c r="AI21" i="38"/>
  <c r="AS19" i="38"/>
  <c r="AS20" i="38"/>
  <c r="BI20" i="38" s="1"/>
  <c r="AS28" i="38"/>
  <c r="BI28" i="38" s="1"/>
  <c r="AS17" i="38"/>
  <c r="BI17" i="38" s="1"/>
  <c r="BI229" i="38" l="1"/>
  <c r="BF39" i="38"/>
  <c r="BK40" i="38"/>
  <c r="BM40" i="38" s="1"/>
  <c r="BF18" i="38"/>
  <c r="BG61" i="38"/>
  <c r="BJ160" i="38"/>
  <c r="U19" i="32" s="1"/>
  <c r="BF62" i="38"/>
  <c r="BF177" i="38"/>
  <c r="BF185" i="38" s="1"/>
  <c r="M21" i="32" s="1"/>
  <c r="Q21" i="32" s="1"/>
  <c r="AU129" i="38"/>
  <c r="AU43" i="38"/>
  <c r="BG215" i="38"/>
  <c r="BK60" i="38"/>
  <c r="BM60" i="38" s="1"/>
  <c r="BK106" i="38"/>
  <c r="BM106" i="38" s="1"/>
  <c r="BF125" i="38"/>
  <c r="AV140" i="38"/>
  <c r="BG177" i="38"/>
  <c r="BG206" i="38"/>
  <c r="BF73" i="38"/>
  <c r="BG126" i="38"/>
  <c r="BJ185" i="38"/>
  <c r="U21" i="32" s="1"/>
  <c r="BG29" i="38"/>
  <c r="BG59" i="38"/>
  <c r="BM18" i="38"/>
  <c r="BM21" i="38" s="1"/>
  <c r="BK21" i="38"/>
  <c r="BL216" i="38"/>
  <c r="BL217" i="38" s="1"/>
  <c r="BI31" i="38"/>
  <c r="BM70" i="38"/>
  <c r="BM74" i="38" s="1"/>
  <c r="BK74" i="38"/>
  <c r="BK68" i="38"/>
  <c r="BM124" i="38"/>
  <c r="BM127" i="38" s="1"/>
  <c r="BK127" i="38"/>
  <c r="BK122" i="38"/>
  <c r="BG183" i="38"/>
  <c r="BG182" i="38"/>
  <c r="BG20" i="38"/>
  <c r="BG125" i="38"/>
  <c r="BK105" i="38"/>
  <c r="BM105" i="38" s="1"/>
  <c r="BG71" i="38"/>
  <c r="BG60" i="38"/>
  <c r="BG62" i="38"/>
  <c r="BG18" i="38"/>
  <c r="BG124" i="38"/>
  <c r="BK103" i="38"/>
  <c r="BK104" i="38"/>
  <c r="BM104" i="38" s="1"/>
  <c r="AT63" i="38"/>
  <c r="AT65" i="38" s="1"/>
  <c r="BM38" i="38"/>
  <c r="BM41" i="38" s="1"/>
  <c r="BK41" i="38"/>
  <c r="BK36" i="38"/>
  <c r="BF71" i="38"/>
  <c r="BL61" i="38"/>
  <c r="BM61" i="38" s="1"/>
  <c r="BM177" i="38"/>
  <c r="BM185" i="38" s="1"/>
  <c r="BK175" i="38"/>
  <c r="BJ127" i="38"/>
  <c r="U16" i="32" s="1"/>
  <c r="BG38" i="38"/>
  <c r="BG207" i="38"/>
  <c r="BM59" i="38"/>
  <c r="BK57" i="38"/>
  <c r="BM215" i="38"/>
  <c r="BK217" i="38"/>
  <c r="BK213" i="38"/>
  <c r="BG73" i="38"/>
  <c r="BG39" i="38"/>
  <c r="BG178" i="38"/>
  <c r="BG30" i="38"/>
  <c r="BG184" i="38"/>
  <c r="BG17" i="38"/>
  <c r="BF216" i="38"/>
  <c r="BG40" i="38"/>
  <c r="BG70" i="38"/>
  <c r="AT41" i="38"/>
  <c r="AT43" i="38" s="1"/>
  <c r="AT21" i="38"/>
  <c r="AT23" i="38" s="1"/>
  <c r="AU119" i="38"/>
  <c r="AV43" i="38"/>
  <c r="AU54" i="38"/>
  <c r="AV229" i="38"/>
  <c r="AV162" i="38"/>
  <c r="S48" i="32"/>
  <c r="AU109" i="38"/>
  <c r="AU162" i="38"/>
  <c r="AU187" i="38"/>
  <c r="AU23" i="38"/>
  <c r="BJ117" i="38"/>
  <c r="U15" i="32" s="1"/>
  <c r="AV151" i="38"/>
  <c r="AU33" i="38"/>
  <c r="AV172" i="38"/>
  <c r="BF172" i="38" s="1"/>
  <c r="AU76" i="38"/>
  <c r="L12" i="32"/>
  <c r="AV219" i="38"/>
  <c r="AV187" i="38"/>
  <c r="AV33" i="38"/>
  <c r="AU151" i="38"/>
  <c r="AV54" i="38"/>
  <c r="AV76" i="38"/>
  <c r="AV210" i="38"/>
  <c r="AU210" i="38"/>
  <c r="AV23" i="38"/>
  <c r="AU219" i="38"/>
  <c r="AU140" i="38"/>
  <c r="AV65" i="38"/>
  <c r="AV109" i="38"/>
  <c r="AU65" i="38"/>
  <c r="AU229" i="38"/>
  <c r="BI51" i="38"/>
  <c r="BG116" i="38"/>
  <c r="BJ208" i="38"/>
  <c r="U23" i="32" s="1"/>
  <c r="BI147" i="38"/>
  <c r="AF31" i="38"/>
  <c r="AF41" i="38"/>
  <c r="BJ31" i="38"/>
  <c r="U7" i="32" s="1"/>
  <c r="BJ41" i="38"/>
  <c r="U8" i="32" s="1"/>
  <c r="AF160" i="38"/>
  <c r="AF185" i="38"/>
  <c r="BG145" i="38"/>
  <c r="BJ217" i="38"/>
  <c r="U24" i="32" s="1"/>
  <c r="AF170" i="38"/>
  <c r="BF206" i="38"/>
  <c r="AF21" i="38"/>
  <c r="BI105" i="38"/>
  <c r="AF217" i="38"/>
  <c r="AT52" i="38"/>
  <c r="AT54" i="38" s="1"/>
  <c r="BF70" i="38"/>
  <c r="AF149" i="38"/>
  <c r="BI137" i="38"/>
  <c r="AF138" i="38"/>
  <c r="AT185" i="38"/>
  <c r="BF215" i="38"/>
  <c r="AT217" i="38"/>
  <c r="AT219" i="38" s="1"/>
  <c r="AT160" i="38"/>
  <c r="AT162" i="38" s="1"/>
  <c r="BF59" i="38"/>
  <c r="BJ107" i="38"/>
  <c r="U14" i="32" s="1"/>
  <c r="AF117" i="38"/>
  <c r="BG50" i="38"/>
  <c r="AF52" i="38"/>
  <c r="BG19" i="38"/>
  <c r="BG159" i="38"/>
  <c r="U11" i="32"/>
  <c r="C15" i="32"/>
  <c r="G15" i="32" s="1"/>
  <c r="C16" i="32"/>
  <c r="G16" i="32" s="1"/>
  <c r="C9" i="32"/>
  <c r="G9" i="32" s="1"/>
  <c r="C17" i="32"/>
  <c r="G17" i="32" s="1"/>
  <c r="BJ21" i="38"/>
  <c r="U6" i="32" s="1"/>
  <c r="BJ149" i="38"/>
  <c r="U18" i="32" s="1"/>
  <c r="BF124" i="38"/>
  <c r="C18" i="32"/>
  <c r="G18" i="32" s="1"/>
  <c r="C19" i="32"/>
  <c r="G19" i="32" s="1"/>
  <c r="C20" i="32"/>
  <c r="G20" i="32" s="1"/>
  <c r="BJ170" i="38"/>
  <c r="U20" i="32" s="1"/>
  <c r="BJ52" i="38"/>
  <c r="U9" i="32" s="1"/>
  <c r="AF107" i="38"/>
  <c r="AF208" i="38"/>
  <c r="C25" i="32"/>
  <c r="G25" i="32" s="1"/>
  <c r="AF127" i="38"/>
  <c r="BJ227" i="38"/>
  <c r="U25" i="32" s="1"/>
  <c r="AF63" i="38"/>
  <c r="BJ63" i="38"/>
  <c r="U10" i="32" s="1"/>
  <c r="AF74" i="38"/>
  <c r="AT109" i="38"/>
  <c r="BF17" i="38"/>
  <c r="BF38" i="38"/>
  <c r="AT149" i="38"/>
  <c r="AT151" i="38" s="1"/>
  <c r="BJ138" i="38"/>
  <c r="U17" i="32" s="1"/>
  <c r="AT127" i="38"/>
  <c r="AT129" i="38" s="1"/>
  <c r="BF114" i="38"/>
  <c r="BG114" i="38" s="1"/>
  <c r="AT138" i="38"/>
  <c r="AT140" i="38" s="1"/>
  <c r="BG146" i="38"/>
  <c r="AT74" i="38"/>
  <c r="AT76" i="38" s="1"/>
  <c r="AT208" i="38"/>
  <c r="AT210" i="38" s="1"/>
  <c r="BG115" i="38"/>
  <c r="AT117" i="38"/>
  <c r="AT119" i="38" s="1"/>
  <c r="BF119" i="38" s="1"/>
  <c r="AT31" i="38"/>
  <c r="AT33" i="38" s="1"/>
  <c r="BG148" i="38"/>
  <c r="BI148" i="38"/>
  <c r="BG136" i="38"/>
  <c r="BG167" i="38"/>
  <c r="H21" i="32"/>
  <c r="BG179" i="38"/>
  <c r="BI179" i="38"/>
  <c r="BI185" i="38" s="1"/>
  <c r="BG105" i="38"/>
  <c r="BI157" i="38"/>
  <c r="BG157" i="38"/>
  <c r="BF138" i="38"/>
  <c r="M17" i="32" s="1"/>
  <c r="Q17" i="32" s="1"/>
  <c r="BG168" i="38"/>
  <c r="BI106" i="38"/>
  <c r="BG137" i="38"/>
  <c r="BI136" i="38"/>
  <c r="BG169" i="38"/>
  <c r="BF170" i="38"/>
  <c r="M20" i="32" s="1"/>
  <c r="Q20" i="32" s="1"/>
  <c r="H7" i="32"/>
  <c r="H10" i="32"/>
  <c r="BG147" i="38"/>
  <c r="BF160" i="38"/>
  <c r="M19" i="32" s="1"/>
  <c r="Q19" i="32" s="1"/>
  <c r="BG156" i="38"/>
  <c r="BI159" i="38"/>
  <c r="BI156" i="38"/>
  <c r="BI145" i="38"/>
  <c r="BF149" i="38"/>
  <c r="M18" i="32" s="1"/>
  <c r="Q18" i="32" s="1"/>
  <c r="BI116" i="38"/>
  <c r="BI146" i="38"/>
  <c r="BI135" i="38"/>
  <c r="BI134" i="38"/>
  <c r="BG134" i="38"/>
  <c r="BG135" i="38"/>
  <c r="BI115" i="38"/>
  <c r="H15" i="32"/>
  <c r="BI104" i="38"/>
  <c r="H14" i="32"/>
  <c r="BI103" i="38"/>
  <c r="BG103" i="38"/>
  <c r="BG104" i="38"/>
  <c r="AS217" i="38"/>
  <c r="H24" i="32" s="1"/>
  <c r="AS208" i="38"/>
  <c r="H23" i="32" s="1"/>
  <c r="BG51" i="38"/>
  <c r="H11" i="32"/>
  <c r="BI50" i="38"/>
  <c r="BF52" i="38"/>
  <c r="M9" i="32" s="1"/>
  <c r="Q9" i="32" s="1"/>
  <c r="BI49" i="38"/>
  <c r="BI48" i="38"/>
  <c r="BG48" i="38"/>
  <c r="BG49" i="38"/>
  <c r="H8" i="32"/>
  <c r="BF31" i="38"/>
  <c r="M7" i="32" s="1"/>
  <c r="Q7" i="32" s="1"/>
  <c r="H6" i="32"/>
  <c r="BI19" i="38"/>
  <c r="BI21" i="38" s="1"/>
  <c r="BG31" i="38" l="1"/>
  <c r="BF43" i="38"/>
  <c r="BG185" i="38"/>
  <c r="R21" i="32" s="1"/>
  <c r="BH22" i="38"/>
  <c r="BH23" i="38" s="1"/>
  <c r="BK63" i="38"/>
  <c r="BG149" i="38"/>
  <c r="BG128" i="38"/>
  <c r="BG186" i="38"/>
  <c r="BH186" i="38"/>
  <c r="BH187" i="38" s="1"/>
  <c r="BG138" i="38"/>
  <c r="M25" i="32"/>
  <c r="BG160" i="38"/>
  <c r="BI114" i="38"/>
  <c r="BI117" i="38" s="1"/>
  <c r="BH32" i="38"/>
  <c r="BH33" i="38" s="1"/>
  <c r="BF74" i="38"/>
  <c r="M11" i="32" s="1"/>
  <c r="Q11" i="32" s="1"/>
  <c r="BG208" i="38"/>
  <c r="BG209" i="38"/>
  <c r="BM63" i="38"/>
  <c r="BM216" i="38"/>
  <c r="BM217" i="38" s="1"/>
  <c r="BG52" i="38"/>
  <c r="BG22" i="38"/>
  <c r="BG75" i="38"/>
  <c r="R11" i="32"/>
  <c r="BG42" i="38"/>
  <c r="BM103" i="38"/>
  <c r="BM107" i="38" s="1"/>
  <c r="BK107" i="38"/>
  <c r="BK101" i="38"/>
  <c r="BF162" i="38"/>
  <c r="BG170" i="38"/>
  <c r="BI171" i="38" s="1"/>
  <c r="BG32" i="38"/>
  <c r="BG21" i="38"/>
  <c r="BF23" i="38"/>
  <c r="BF129" i="38"/>
  <c r="BF219" i="38"/>
  <c r="BF187" i="38"/>
  <c r="BF33" i="38"/>
  <c r="BF151" i="38"/>
  <c r="Z12" i="32"/>
  <c r="T12" i="32"/>
  <c r="S12" i="32" s="1"/>
  <c r="BF76" i="38"/>
  <c r="BF109" i="38"/>
  <c r="BF54" i="38"/>
  <c r="BF140" i="38"/>
  <c r="BF65" i="38"/>
  <c r="BF210" i="38"/>
  <c r="V21" i="32"/>
  <c r="L21" i="32"/>
  <c r="L24" i="32"/>
  <c r="L23" i="32"/>
  <c r="T23" i="32" s="1"/>
  <c r="L11" i="32"/>
  <c r="L10" i="32"/>
  <c r="L8" i="32"/>
  <c r="L7" i="32"/>
  <c r="V7" i="32"/>
  <c r="L14" i="32"/>
  <c r="L6" i="32"/>
  <c r="BF171" i="38"/>
  <c r="BG171" i="38"/>
  <c r="G22" i="32"/>
  <c r="BI74" i="38"/>
  <c r="BF217" i="38"/>
  <c r="M24" i="32" s="1"/>
  <c r="Q24" i="32" s="1"/>
  <c r="BF208" i="38"/>
  <c r="M23" i="32" s="1"/>
  <c r="Q23" i="32" s="1"/>
  <c r="BI208" i="38"/>
  <c r="BH209" i="38" s="1"/>
  <c r="BF21" i="38"/>
  <c r="M6" i="32" s="1"/>
  <c r="Q6" i="32" s="1"/>
  <c r="BF41" i="38"/>
  <c r="M8" i="32" s="1"/>
  <c r="Q8" i="32" s="1"/>
  <c r="BF117" i="38"/>
  <c r="BF127" i="38"/>
  <c r="BF63" i="38"/>
  <c r="M10" i="32" s="1"/>
  <c r="Q10" i="32" s="1"/>
  <c r="BG127" i="38"/>
  <c r="H9" i="32"/>
  <c r="V9" i="32" s="1"/>
  <c r="H19" i="32"/>
  <c r="V19" i="32" s="1"/>
  <c r="L15" i="32"/>
  <c r="H16" i="32"/>
  <c r="H17" i="32"/>
  <c r="V17" i="32" s="1"/>
  <c r="H18" i="32"/>
  <c r="V18" i="32" s="1"/>
  <c r="H20" i="32"/>
  <c r="V20" i="32" s="1"/>
  <c r="H25" i="32"/>
  <c r="BI127" i="38"/>
  <c r="BF139" i="38"/>
  <c r="BF186" i="38"/>
  <c r="BI170" i="38"/>
  <c r="BH171" i="38" s="1"/>
  <c r="BF107" i="38"/>
  <c r="BG161" i="38"/>
  <c r="BI138" i="38"/>
  <c r="BH139" i="38" s="1"/>
  <c r="BI52" i="38"/>
  <c r="BH53" i="38" s="1"/>
  <c r="BF53" i="38"/>
  <c r="BF32" i="38"/>
  <c r="BI160" i="38"/>
  <c r="BF161" i="38"/>
  <c r="BG106" i="38"/>
  <c r="BF150" i="38"/>
  <c r="BG150" i="38"/>
  <c r="BI149" i="38"/>
  <c r="BG139" i="38"/>
  <c r="BI63" i="38"/>
  <c r="BI107" i="38"/>
  <c r="BH108" i="38" s="1"/>
  <c r="BH218" i="38"/>
  <c r="BG53" i="38"/>
  <c r="R7" i="32"/>
  <c r="T16" i="32" l="1"/>
  <c r="BK132" i="38"/>
  <c r="Q25" i="32"/>
  <c r="V11" i="32"/>
  <c r="BF75" i="38"/>
  <c r="BH42" i="38"/>
  <c r="R6" i="32"/>
  <c r="BI22" i="38"/>
  <c r="BH64" i="38"/>
  <c r="T10" i="32"/>
  <c r="T25" i="32"/>
  <c r="BH75" i="38"/>
  <c r="T11" i="32"/>
  <c r="S11" i="32" s="1"/>
  <c r="M14" i="32"/>
  <c r="Q14" i="32" s="1"/>
  <c r="Q22" i="32"/>
  <c r="Z22" i="32" s="1"/>
  <c r="V22" i="32"/>
  <c r="V25" i="32"/>
  <c r="Z21" i="32"/>
  <c r="S21" i="32"/>
  <c r="Z24" i="32"/>
  <c r="V24" i="32"/>
  <c r="V23" i="32"/>
  <c r="Z23" i="32"/>
  <c r="Z11" i="32"/>
  <c r="Z10" i="32"/>
  <c r="V10" i="32"/>
  <c r="V8" i="32"/>
  <c r="Z8" i="32"/>
  <c r="S7" i="32"/>
  <c r="Z7" i="32"/>
  <c r="V6" i="32"/>
  <c r="Z6" i="32"/>
  <c r="BI172" i="38"/>
  <c r="R23" i="32"/>
  <c r="BF209" i="38"/>
  <c r="L18" i="32"/>
  <c r="Z18" i="32" s="1"/>
  <c r="L19" i="32"/>
  <c r="Z19" i="32" s="1"/>
  <c r="L9" i="32"/>
  <c r="Z9" i="32" s="1"/>
  <c r="M16" i="32"/>
  <c r="V16" i="32" s="1"/>
  <c r="L20" i="32"/>
  <c r="Z20" i="32" s="1"/>
  <c r="BG118" i="38"/>
  <c r="M15" i="32"/>
  <c r="V15" i="32" s="1"/>
  <c r="L16" i="32"/>
  <c r="BG218" i="38"/>
  <c r="L17" i="32"/>
  <c r="Z17" i="32" s="1"/>
  <c r="BF42" i="38"/>
  <c r="BF218" i="38"/>
  <c r="BF22" i="38"/>
  <c r="Q15" i="32"/>
  <c r="BF118" i="38"/>
  <c r="R8" i="32"/>
  <c r="Q16" i="32"/>
  <c r="R10" i="32"/>
  <c r="BF128" i="38"/>
  <c r="BF64" i="38"/>
  <c r="R14" i="32"/>
  <c r="BH128" i="38"/>
  <c r="R20" i="32"/>
  <c r="L25" i="32"/>
  <c r="BI150" i="38"/>
  <c r="BI151" i="38" s="1"/>
  <c r="R18" i="32"/>
  <c r="BI161" i="38"/>
  <c r="BI162" i="38" s="1"/>
  <c r="R19" i="32"/>
  <c r="BI139" i="38"/>
  <c r="BI140" i="38" s="1"/>
  <c r="R17" i="32"/>
  <c r="BI75" i="38"/>
  <c r="BI76" i="38" s="1"/>
  <c r="R25" i="32"/>
  <c r="BI32" i="38"/>
  <c r="BI33" i="38" s="1"/>
  <c r="BI53" i="38"/>
  <c r="BI54" i="38" s="1"/>
  <c r="R9" i="32"/>
  <c r="BI186" i="38"/>
  <c r="BI187" i="38" s="1"/>
  <c r="BG108" i="38"/>
  <c r="BF108" i="38"/>
  <c r="BH161" i="38"/>
  <c r="BH118" i="38"/>
  <c r="BH150" i="38"/>
  <c r="Z14" i="32" l="1"/>
  <c r="V14" i="32"/>
  <c r="S22" i="32"/>
  <c r="S23" i="32"/>
  <c r="S10" i="32"/>
  <c r="S8" i="32"/>
  <c r="Z16" i="32"/>
  <c r="S14" i="32"/>
  <c r="S6" i="32"/>
  <c r="Z25" i="32"/>
  <c r="S18" i="32"/>
  <c r="S17" i="32"/>
  <c r="T20" i="32"/>
  <c r="S20" i="32" s="1"/>
  <c r="BI23" i="38"/>
  <c r="S9" i="32"/>
  <c r="BI218" i="38"/>
  <c r="BI219" i="38" s="1"/>
  <c r="BI209" i="38"/>
  <c r="BI210" i="38" s="1"/>
  <c r="S19" i="32"/>
  <c r="Z15" i="32"/>
  <c r="R15" i="32"/>
  <c r="S15" i="32" s="1"/>
  <c r="BI118" i="38"/>
  <c r="BI119" i="38" s="1"/>
  <c r="BI42" i="38"/>
  <c r="BI43" i="38" s="1"/>
  <c r="BI64" i="38"/>
  <c r="BI65" i="38" s="1"/>
  <c r="R16" i="32"/>
  <c r="BI128" i="38"/>
  <c r="BI129" i="38" s="1"/>
  <c r="BI108" i="38"/>
  <c r="BI109" i="38" s="1"/>
  <c r="BH9" i="38"/>
  <c r="AI9" i="38"/>
  <c r="AV9" i="38" s="1"/>
  <c r="AH9" i="38"/>
  <c r="AU9" i="38" s="1"/>
  <c r="AT9" i="38"/>
  <c r="Q9" i="38"/>
  <c r="AI8" i="38"/>
  <c r="AV8" i="38" s="1"/>
  <c r="AH8" i="38"/>
  <c r="AU8" i="38" s="1"/>
  <c r="AT8" i="38"/>
  <c r="BH7" i="38"/>
  <c r="AI7" i="38"/>
  <c r="AV7" i="38" s="1"/>
  <c r="AH7" i="38"/>
  <c r="AU7" i="38" s="1"/>
  <c r="AT7" i="38"/>
  <c r="Q7" i="38"/>
  <c r="AV6" i="38"/>
  <c r="Q6" i="38"/>
  <c r="V6" i="36"/>
  <c r="AP6" i="36" s="1"/>
  <c r="CA6" i="36" s="1"/>
  <c r="BI25" i="36"/>
  <c r="CB6" i="36"/>
  <c r="CC6" i="36" s="1"/>
  <c r="S25" i="32" l="1"/>
  <c r="S16" i="32"/>
  <c r="BF9" i="38"/>
  <c r="BF7" i="38"/>
  <c r="CD6" i="36"/>
  <c r="BJ9" i="38"/>
  <c r="AF9" i="38"/>
  <c r="BF8" i="38"/>
  <c r="BJ7" i="38"/>
  <c r="AF7" i="38"/>
  <c r="BJ6" i="38"/>
  <c r="AF6" i="38"/>
  <c r="AU6" i="38"/>
  <c r="AU10" i="38" s="1"/>
  <c r="AV10" i="38"/>
  <c r="AI10" i="38"/>
  <c r="AS7" i="38"/>
  <c r="Q8" i="38"/>
  <c r="AS8" i="38"/>
  <c r="AS9" i="38"/>
  <c r="BH8" i="38"/>
  <c r="AH10" i="38"/>
  <c r="AV12" i="38" l="1"/>
  <c r="AU12" i="38"/>
  <c r="BG9" i="38"/>
  <c r="BI7" i="38"/>
  <c r="BJ8" i="38"/>
  <c r="BJ10" i="38" s="1"/>
  <c r="U5" i="32" s="1"/>
  <c r="U28" i="32" s="1"/>
  <c r="AF8" i="38"/>
  <c r="AF10" i="38" s="1"/>
  <c r="AS6" i="38"/>
  <c r="BF6" i="38"/>
  <c r="AT10" i="38"/>
  <c r="BI8" i="38"/>
  <c r="BI9" i="38"/>
  <c r="BG7" i="38"/>
  <c r="BH10" i="38"/>
  <c r="AT12" i="38" l="1"/>
  <c r="BF12" i="38" s="1"/>
  <c r="C5" i="32"/>
  <c r="C28" i="32" s="1"/>
  <c r="BI6" i="38"/>
  <c r="BI10" i="38" s="1"/>
  <c r="BG8" i="38"/>
  <c r="BG6" i="38"/>
  <c r="BF10" i="38"/>
  <c r="M5" i="32" s="1"/>
  <c r="M28" i="32" s="1"/>
  <c r="M107" i="32" s="1"/>
  <c r="Q108" i="32" l="1"/>
  <c r="W8" i="40"/>
  <c r="BG10" i="38"/>
  <c r="R5" i="32" s="1"/>
  <c r="R28" i="32" s="1"/>
  <c r="Q5" i="32"/>
  <c r="Q28" i="32" s="1"/>
  <c r="Q107" i="32" s="1"/>
  <c r="H5" i="32"/>
  <c r="BF11" i="38"/>
  <c r="BG11" i="38"/>
  <c r="BH11" i="38"/>
  <c r="G98" i="32"/>
  <c r="G94" i="32"/>
  <c r="G97" i="32"/>
  <c r="G96" i="32"/>
  <c r="G95" i="32"/>
  <c r="G100" i="32"/>
  <c r="H28" i="32" l="1"/>
  <c r="V28" i="32" s="1"/>
  <c r="V5" i="32"/>
  <c r="T94" i="32"/>
  <c r="S94" i="32" s="1"/>
  <c r="Z94" i="32"/>
  <c r="Z95" i="32"/>
  <c r="T98" i="32"/>
  <c r="S98" i="32" s="1"/>
  <c r="Z98" i="32"/>
  <c r="S100" i="32"/>
  <c r="Z100" i="32"/>
  <c r="Z96" i="32"/>
  <c r="S97" i="32"/>
  <c r="Z97" i="32"/>
  <c r="BI11" i="38"/>
  <c r="BI12" i="38" s="1"/>
  <c r="L5" i="32"/>
  <c r="L28" i="32" s="1"/>
  <c r="BH70" i="37"/>
  <c r="G80" i="32"/>
  <c r="S96" i="32" l="1"/>
  <c r="S95" i="32"/>
  <c r="S80" i="32"/>
  <c r="Z80" i="32"/>
  <c r="G81" i="32"/>
  <c r="G77" i="32"/>
  <c r="Z77" i="32" s="1"/>
  <c r="Z81" i="32" l="1"/>
  <c r="S77" i="32"/>
  <c r="G83" i="32"/>
  <c r="G79" i="32"/>
  <c r="G78" i="32"/>
  <c r="S81" i="32" l="1"/>
  <c r="S78" i="32"/>
  <c r="Z78" i="32"/>
  <c r="S79" i="32"/>
  <c r="Z79" i="32"/>
  <c r="T83" i="32"/>
  <c r="S83" i="32" s="1"/>
  <c r="Z83" i="32"/>
  <c r="BF127" i="37" l="1"/>
  <c r="M45" i="32" s="1"/>
  <c r="Q45" i="32" s="1"/>
  <c r="BH126" i="37"/>
  <c r="AT127" i="37"/>
  <c r="Q126" i="37"/>
  <c r="BF119" i="37"/>
  <c r="M44" i="32" s="1"/>
  <c r="Q44" i="32" s="1"/>
  <c r="BH118" i="37"/>
  <c r="AT119" i="37"/>
  <c r="Q118" i="37"/>
  <c r="BF111" i="37"/>
  <c r="M43" i="32" s="1"/>
  <c r="Q43" i="32" s="1"/>
  <c r="BH110" i="37"/>
  <c r="AT111" i="37"/>
  <c r="Q110" i="37"/>
  <c r="BF103" i="37"/>
  <c r="M42" i="32" s="1"/>
  <c r="Q42" i="32" s="1"/>
  <c r="BH102" i="37"/>
  <c r="AT103" i="37"/>
  <c r="BF71" i="37"/>
  <c r="M38" i="32" s="1"/>
  <c r="Q38" i="32" s="1"/>
  <c r="AT71" i="37"/>
  <c r="Q70" i="37"/>
  <c r="BF47" i="37"/>
  <c r="M35" i="32" s="1"/>
  <c r="Q35" i="32" s="1"/>
  <c r="BH46" i="37"/>
  <c r="AT47" i="37"/>
  <c r="BF63" i="37"/>
  <c r="M37" i="32" s="1"/>
  <c r="Q37" i="32" s="1"/>
  <c r="BH62" i="37"/>
  <c r="AT63" i="37"/>
  <c r="Q62" i="37"/>
  <c r="BF39" i="37"/>
  <c r="M34" i="32" s="1"/>
  <c r="Q34" i="32" s="1"/>
  <c r="BH38" i="37"/>
  <c r="AV39" i="37"/>
  <c r="AV41" i="37" s="1"/>
  <c r="AT39" i="37"/>
  <c r="BF15" i="37"/>
  <c r="M31" i="32" s="1"/>
  <c r="Q31" i="32" s="1"/>
  <c r="BH14" i="37"/>
  <c r="AT15" i="37"/>
  <c r="Q14" i="37"/>
  <c r="BJ14" i="37" s="1"/>
  <c r="BJ15" i="37" s="1"/>
  <c r="U31" i="32" s="1"/>
  <c r="BF7" i="37"/>
  <c r="M30" i="32" s="1"/>
  <c r="BH6" i="37"/>
  <c r="AT7" i="37"/>
  <c r="Q6" i="37"/>
  <c r="Q30" i="32" l="1"/>
  <c r="BJ38" i="37"/>
  <c r="U34" i="32" s="1"/>
  <c r="AF38" i="37"/>
  <c r="BG38" i="37" s="1"/>
  <c r="BJ70" i="37"/>
  <c r="U38" i="32" s="1"/>
  <c r="AF70" i="37"/>
  <c r="BJ118" i="37"/>
  <c r="BJ119" i="37" s="1"/>
  <c r="U44" i="32" s="1"/>
  <c r="AF118" i="37"/>
  <c r="BJ102" i="37"/>
  <c r="BJ103" i="37" s="1"/>
  <c r="U42" i="32" s="1"/>
  <c r="AF102" i="37"/>
  <c r="BJ126" i="37"/>
  <c r="BJ127" i="37" s="1"/>
  <c r="U45" i="32" s="1"/>
  <c r="AF126" i="37"/>
  <c r="BJ62" i="37"/>
  <c r="U37" i="32" s="1"/>
  <c r="AF62" i="37"/>
  <c r="BJ46" i="37"/>
  <c r="U35" i="32" s="1"/>
  <c r="AF46" i="37"/>
  <c r="BJ110" i="37"/>
  <c r="BJ111" i="37" s="1"/>
  <c r="U43" i="32" s="1"/>
  <c r="AF110" i="37"/>
  <c r="BG110" i="37" s="1"/>
  <c r="AF14" i="37"/>
  <c r="BJ6" i="37"/>
  <c r="BJ7" i="37" s="1"/>
  <c r="U30" i="32" s="1"/>
  <c r="AF6" i="37"/>
  <c r="AU15" i="37"/>
  <c r="AV15" i="37"/>
  <c r="AV17" i="37" s="1"/>
  <c r="AU39" i="37"/>
  <c r="BH71" i="37"/>
  <c r="BH63" i="37"/>
  <c r="BH39" i="37"/>
  <c r="AH71" i="37"/>
  <c r="AU73" i="37" s="1"/>
  <c r="AH127" i="37"/>
  <c r="AU129" i="37" s="1"/>
  <c r="BH119" i="37"/>
  <c r="AH103" i="37"/>
  <c r="AU105" i="37" s="1"/>
  <c r="AG127" i="37"/>
  <c r="AT129" i="37" s="1"/>
  <c r="BI126" i="37"/>
  <c r="BH111" i="37"/>
  <c r="BI102" i="37"/>
  <c r="AG111" i="37"/>
  <c r="AT113" i="37" s="1"/>
  <c r="BF113" i="37" s="1"/>
  <c r="AG119" i="37"/>
  <c r="AT121" i="37" s="1"/>
  <c r="AH119" i="37"/>
  <c r="AU121" i="37" s="1"/>
  <c r="BI118" i="37"/>
  <c r="AG103" i="37"/>
  <c r="AT105" i="37" s="1"/>
  <c r="BH103" i="37"/>
  <c r="BH127" i="37"/>
  <c r="AG71" i="37"/>
  <c r="AT73" i="37" s="1"/>
  <c r="BI46" i="37"/>
  <c r="BI70" i="37"/>
  <c r="AH47" i="37"/>
  <c r="AU49" i="37" s="1"/>
  <c r="AG47" i="37"/>
  <c r="AT49" i="37" s="1"/>
  <c r="BH47" i="37"/>
  <c r="AG63" i="37"/>
  <c r="AT65" i="37" s="1"/>
  <c r="AH63" i="37"/>
  <c r="AU65" i="37" s="1"/>
  <c r="AG39" i="37"/>
  <c r="AT41" i="37" s="1"/>
  <c r="AH39" i="37"/>
  <c r="AH15" i="37"/>
  <c r="BH15" i="37"/>
  <c r="AG15" i="37"/>
  <c r="AT17" i="37" s="1"/>
  <c r="AG7" i="37"/>
  <c r="AT9" i="37" s="1"/>
  <c r="AH7" i="37"/>
  <c r="AU9" i="37" s="1"/>
  <c r="BH7" i="37"/>
  <c r="BF65" i="37" l="1"/>
  <c r="AU41" i="37"/>
  <c r="BF73" i="37"/>
  <c r="BF9" i="37"/>
  <c r="BF105" i="37"/>
  <c r="BF129" i="37"/>
  <c r="BF121" i="37"/>
  <c r="AU17" i="37"/>
  <c r="BF17" i="37" s="1"/>
  <c r="BF41" i="37"/>
  <c r="BF49" i="37"/>
  <c r="AF63" i="37"/>
  <c r="AF119" i="37"/>
  <c r="AF15" i="37"/>
  <c r="BG14" i="37"/>
  <c r="C30" i="32"/>
  <c r="AF47" i="37"/>
  <c r="C42" i="32"/>
  <c r="C38" i="32"/>
  <c r="AF127" i="37"/>
  <c r="AF103" i="37"/>
  <c r="AF71" i="37"/>
  <c r="AF39" i="37"/>
  <c r="AF111" i="37"/>
  <c r="AF7" i="37"/>
  <c r="C45" i="32"/>
  <c r="G45" i="32" s="1"/>
  <c r="C43" i="32"/>
  <c r="G43" i="32" s="1"/>
  <c r="C44" i="32"/>
  <c r="G44" i="32" s="1"/>
  <c r="C34" i="32"/>
  <c r="G34" i="32" s="1"/>
  <c r="C31" i="32"/>
  <c r="G31" i="32" s="1"/>
  <c r="C35" i="32"/>
  <c r="G35" i="32" s="1"/>
  <c r="C37" i="32"/>
  <c r="G37" i="32" s="1"/>
  <c r="BI38" i="37"/>
  <c r="BI110" i="37"/>
  <c r="AS111" i="37"/>
  <c r="BG118" i="37"/>
  <c r="AS119" i="37"/>
  <c r="BG102" i="37"/>
  <c r="AS103" i="37"/>
  <c r="AS127" i="37"/>
  <c r="BG126" i="37"/>
  <c r="AS47" i="37"/>
  <c r="BG46" i="37"/>
  <c r="AS71" i="37"/>
  <c r="BG70" i="37"/>
  <c r="BI14" i="37"/>
  <c r="AS63" i="37"/>
  <c r="AS39" i="37"/>
  <c r="BI62" i="37"/>
  <c r="BG62" i="37"/>
  <c r="AS15" i="37"/>
  <c r="AS7" i="37"/>
  <c r="BG6" i="37"/>
  <c r="BI6" i="37"/>
  <c r="BF8" i="37" l="1"/>
  <c r="H30" i="32"/>
  <c r="BF128" i="37"/>
  <c r="H45" i="32"/>
  <c r="V45" i="32" s="1"/>
  <c r="BF120" i="37"/>
  <c r="H44" i="32"/>
  <c r="V44" i="32" s="1"/>
  <c r="BF112" i="37"/>
  <c r="H43" i="32"/>
  <c r="V43" i="32" s="1"/>
  <c r="BG104" i="37"/>
  <c r="H42" i="32"/>
  <c r="H38" i="32"/>
  <c r="V38" i="32" s="1"/>
  <c r="BF48" i="37"/>
  <c r="H35" i="32"/>
  <c r="V35" i="32" s="1"/>
  <c r="BF64" i="37"/>
  <c r="H37" i="32"/>
  <c r="V37" i="32" s="1"/>
  <c r="H34" i="32"/>
  <c r="V34" i="32" s="1"/>
  <c r="BF16" i="37"/>
  <c r="H31" i="32"/>
  <c r="V31" i="32" s="1"/>
  <c r="BG8" i="37"/>
  <c r="BF72" i="37"/>
  <c r="BG48" i="37"/>
  <c r="BG72" i="37"/>
  <c r="BF40" i="37"/>
  <c r="BG40" i="37"/>
  <c r="BG64" i="37"/>
  <c r="BG16" i="37"/>
  <c r="BG128" i="37"/>
  <c r="BF104" i="37"/>
  <c r="BG112" i="37"/>
  <c r="BG120" i="37"/>
  <c r="BI127" i="37"/>
  <c r="BH128" i="37" s="1"/>
  <c r="BI119" i="37"/>
  <c r="BI103" i="37"/>
  <c r="BH104" i="37" s="1"/>
  <c r="BG71" i="37"/>
  <c r="BG111" i="37"/>
  <c r="BI112" i="37" s="1"/>
  <c r="BG119" i="37"/>
  <c r="BI120" i="37" s="1"/>
  <c r="BG127" i="37"/>
  <c r="BI128" i="37" s="1"/>
  <c r="BG39" i="37"/>
  <c r="BG15" i="37"/>
  <c r="BG63" i="37"/>
  <c r="BG47" i="37"/>
  <c r="BG103" i="37"/>
  <c r="BI104" i="37" s="1"/>
  <c r="BI111" i="37"/>
  <c r="BH112" i="37" s="1"/>
  <c r="BI47" i="37"/>
  <c r="BH48" i="37" s="1"/>
  <c r="BI71" i="37"/>
  <c r="BI39" i="37"/>
  <c r="BH40" i="37" s="1"/>
  <c r="BG7" i="37"/>
  <c r="BI63" i="37"/>
  <c r="BH64" i="37" s="1"/>
  <c r="BI15" i="37"/>
  <c r="BH16" i="37" s="1"/>
  <c r="G32" i="32" s="1"/>
  <c r="BI7" i="37"/>
  <c r="BH8" i="37" s="1"/>
  <c r="R32" i="32" l="1"/>
  <c r="V42" i="32"/>
  <c r="V30" i="32"/>
  <c r="Q32" i="32"/>
  <c r="V32" i="32"/>
  <c r="L34" i="32"/>
  <c r="L44" i="32"/>
  <c r="L37" i="32"/>
  <c r="L42" i="32"/>
  <c r="L45" i="32"/>
  <c r="L38" i="32"/>
  <c r="L31" i="32"/>
  <c r="L35" i="32"/>
  <c r="L43" i="32"/>
  <c r="BI105" i="37"/>
  <c r="BI48" i="37"/>
  <c r="BI49" i="37" s="1"/>
  <c r="L30" i="32"/>
  <c r="BI129" i="37"/>
  <c r="R30" i="32"/>
  <c r="BI8" i="37"/>
  <c r="BI9" i="37" s="1"/>
  <c r="BH72" i="37"/>
  <c r="R37" i="32"/>
  <c r="BI64" i="37"/>
  <c r="BI65" i="37" s="1"/>
  <c r="R31" i="32"/>
  <c r="BI16" i="37"/>
  <c r="BI17" i="37" s="1"/>
  <c r="R34" i="32"/>
  <c r="BI40" i="37"/>
  <c r="BI41" i="37" s="1"/>
  <c r="R38" i="32"/>
  <c r="BI72" i="37"/>
  <c r="BI73" i="37" s="1"/>
  <c r="BI121" i="37"/>
  <c r="BH120" i="37"/>
  <c r="BI113" i="37"/>
  <c r="R35" i="32"/>
  <c r="BI193" i="37"/>
  <c r="BG193" i="37"/>
  <c r="BF193" i="37"/>
  <c r="BF55" i="37"/>
  <c r="M36" i="32" s="1"/>
  <c r="Q36" i="32" s="1"/>
  <c r="BH54" i="37"/>
  <c r="AT55" i="37"/>
  <c r="Q54" i="37"/>
  <c r="BF31" i="37"/>
  <c r="BH30" i="37"/>
  <c r="AU31" i="37"/>
  <c r="AT31" i="37"/>
  <c r="BJ30" i="37"/>
  <c r="Z32" i="32" l="1"/>
  <c r="T32" i="32"/>
  <c r="S32" i="32" s="1"/>
  <c r="T35" i="32"/>
  <c r="S35" i="32" s="1"/>
  <c r="Z35" i="32"/>
  <c r="M33" i="32"/>
  <c r="T31" i="32"/>
  <c r="S31" i="32" s="1"/>
  <c r="Z31" i="32"/>
  <c r="T37" i="32"/>
  <c r="S37" i="32" s="1"/>
  <c r="Z37" i="32"/>
  <c r="T44" i="32"/>
  <c r="S44" i="32" s="1"/>
  <c r="Z44" i="32"/>
  <c r="Z43" i="32"/>
  <c r="T43" i="32"/>
  <c r="S43" i="32" s="1"/>
  <c r="T45" i="32"/>
  <c r="S45" i="32" s="1"/>
  <c r="Z45" i="32"/>
  <c r="T34" i="32"/>
  <c r="S34" i="32" s="1"/>
  <c r="Z34" i="32"/>
  <c r="BJ31" i="37"/>
  <c r="U33" i="32" s="1"/>
  <c r="AF30" i="37"/>
  <c r="BG30" i="37" s="1"/>
  <c r="BJ54" i="37"/>
  <c r="BJ55" i="37" s="1"/>
  <c r="U36" i="32" s="1"/>
  <c r="AF54" i="37"/>
  <c r="AI31" i="37"/>
  <c r="AV31" i="37"/>
  <c r="AU55" i="37"/>
  <c r="AV55" i="37"/>
  <c r="BI194" i="37"/>
  <c r="AI55" i="37"/>
  <c r="BH31" i="37"/>
  <c r="BI54" i="37"/>
  <c r="AH55" i="37"/>
  <c r="AG31" i="37"/>
  <c r="AT33" i="37" s="1"/>
  <c r="BH55" i="37"/>
  <c r="AH31" i="37"/>
  <c r="AU33" i="37" s="1"/>
  <c r="AG55" i="37"/>
  <c r="AT57" i="37" s="1"/>
  <c r="AU57" i="37" l="1"/>
  <c r="AV33" i="37"/>
  <c r="BF33" i="37" s="1"/>
  <c r="AV57" i="37"/>
  <c r="Q33" i="32"/>
  <c r="AF55" i="37"/>
  <c r="C33" i="32"/>
  <c r="AF31" i="37"/>
  <c r="C36" i="32"/>
  <c r="G36" i="32" s="1"/>
  <c r="BG54" i="37"/>
  <c r="AS55" i="37"/>
  <c r="AS31" i="37"/>
  <c r="BI30" i="37"/>
  <c r="G33" i="32" l="1"/>
  <c r="C50" i="32"/>
  <c r="BF57" i="37"/>
  <c r="BF56" i="37"/>
  <c r="H36" i="32"/>
  <c r="V36" i="32" s="1"/>
  <c r="BF32" i="37"/>
  <c r="H33" i="32"/>
  <c r="BG56" i="37"/>
  <c r="BG32" i="37"/>
  <c r="BG55" i="37"/>
  <c r="BG31" i="37"/>
  <c r="BI55" i="37"/>
  <c r="BH56" i="37" s="1"/>
  <c r="BI31" i="37"/>
  <c r="BH32" i="37" l="1"/>
  <c r="V50" i="32"/>
  <c r="V33" i="32"/>
  <c r="L36" i="32"/>
  <c r="BI32" i="37"/>
  <c r="BI33" i="37" s="1"/>
  <c r="L33" i="32"/>
  <c r="R36" i="32"/>
  <c r="BI56" i="37"/>
  <c r="BI57" i="37" s="1"/>
  <c r="R33" i="32"/>
  <c r="Z106" i="32"/>
  <c r="G101" i="32"/>
  <c r="V91" i="32"/>
  <c r="W64" i="32"/>
  <c r="G76" i="32"/>
  <c r="K8" i="40" l="1"/>
  <c r="AS8" i="40" s="1"/>
  <c r="Y64" i="32"/>
  <c r="T33" i="32"/>
  <c r="S33" i="32" s="1"/>
  <c r="Z33" i="32"/>
  <c r="T36" i="32"/>
  <c r="S36" i="32" s="1"/>
  <c r="Z36" i="32"/>
  <c r="T76" i="32"/>
  <c r="Z76" i="32"/>
  <c r="S101" i="32"/>
  <c r="Z101" i="32"/>
  <c r="G30" i="32"/>
  <c r="G5" i="32"/>
  <c r="S76" i="32" l="1"/>
  <c r="AA76" i="32"/>
  <c r="AA108" i="32" s="1"/>
  <c r="AA110" i="32" s="1"/>
  <c r="Z30" i="32"/>
  <c r="Z28" i="32"/>
  <c r="Z5" i="32"/>
  <c r="T30" i="32"/>
  <c r="G66" i="32"/>
  <c r="V16" i="36"/>
  <c r="V15" i="36"/>
  <c r="V13" i="36"/>
  <c r="V12" i="36"/>
  <c r="T28" i="32" l="1"/>
  <c r="S5" i="32"/>
  <c r="S28" i="32" s="1"/>
  <c r="S30" i="32"/>
  <c r="Z66" i="32"/>
  <c r="CD15" i="36"/>
  <c r="AP15" i="36"/>
  <c r="CD16" i="36"/>
  <c r="AP16" i="36"/>
  <c r="CD12" i="36"/>
  <c r="AP12" i="36"/>
  <c r="CD13" i="36"/>
  <c r="AP13" i="36"/>
  <c r="G67" i="32"/>
  <c r="CB13" i="36"/>
  <c r="CB16" i="36"/>
  <c r="CB15" i="36"/>
  <c r="CB12" i="36"/>
  <c r="CC12" i="36" s="1"/>
  <c r="S66" i="32" l="1"/>
  <c r="T67" i="32"/>
  <c r="S67" i="32" s="1"/>
  <c r="Z67" i="32"/>
  <c r="CC16" i="36"/>
  <c r="CC15" i="36"/>
  <c r="CA16" i="36"/>
  <c r="CA12" i="36" l="1"/>
  <c r="CA15" i="36"/>
  <c r="CB10" i="36" l="1"/>
  <c r="CB9" i="36"/>
  <c r="V9" i="36"/>
  <c r="CB8" i="36"/>
  <c r="CB7" i="36"/>
  <c r="BJ25" i="36"/>
  <c r="V7" i="36"/>
  <c r="CB25" i="36" l="1"/>
  <c r="CD7" i="36"/>
  <c r="AP7" i="36"/>
  <c r="CA7" i="36" s="1"/>
  <c r="CD9" i="36"/>
  <c r="AP9" i="36"/>
  <c r="CA9" i="36" s="1"/>
  <c r="BK25" i="36"/>
  <c r="AR25" i="36"/>
  <c r="BJ27" i="36" s="1"/>
  <c r="AS25" i="36"/>
  <c r="AQ25" i="36"/>
  <c r="BI27" i="36" s="1"/>
  <c r="V8" i="36"/>
  <c r="V10" i="36"/>
  <c r="BK27" i="36" l="1"/>
  <c r="BZ27" i="36" s="1"/>
  <c r="C93" i="32"/>
  <c r="CD10" i="36"/>
  <c r="AP10" i="36"/>
  <c r="CA10" i="36" s="1"/>
  <c r="CD8" i="36"/>
  <c r="AP8" i="36"/>
  <c r="CA8" i="36" s="1"/>
  <c r="CC10" i="36"/>
  <c r="CC9" i="36"/>
  <c r="CC8" i="36"/>
  <c r="CC7" i="36"/>
  <c r="CI6" i="36" l="1"/>
  <c r="CU6" i="36" s="1"/>
  <c r="BT28" i="36"/>
  <c r="C103" i="32"/>
  <c r="U93" i="32"/>
  <c r="U103" i="32" s="1"/>
  <c r="AP25" i="36"/>
  <c r="G93" i="32"/>
  <c r="H93" i="32"/>
  <c r="H103" i="32" s="1"/>
  <c r="H107" i="32" s="1"/>
  <c r="M8" i="40" s="1"/>
  <c r="L93" i="32" l="1"/>
  <c r="Q6" i="34"/>
  <c r="L103" i="32" l="1"/>
  <c r="T93" i="32"/>
  <c r="BJ6" i="34"/>
  <c r="BJ7" i="34" s="1"/>
  <c r="U75" i="32" s="1"/>
  <c r="AF6" i="34"/>
  <c r="BH6" i="34"/>
  <c r="AI7" i="34"/>
  <c r="AV9" i="34" s="1"/>
  <c r="AH7" i="34"/>
  <c r="AU9" i="34" s="1"/>
  <c r="AT7" i="34"/>
  <c r="AG7" i="34" l="1"/>
  <c r="AT9" i="34" s="1"/>
  <c r="BF9" i="34" s="1"/>
  <c r="AF7" i="34"/>
  <c r="BF7" i="34"/>
  <c r="O75" i="32" s="1"/>
  <c r="BH7" i="34"/>
  <c r="Q75" i="32" l="1"/>
  <c r="J75" i="32"/>
  <c r="J91" i="32" s="1"/>
  <c r="J107" i="32" s="1"/>
  <c r="Q8" i="40" s="1"/>
  <c r="E75" i="32"/>
  <c r="BG6" i="34"/>
  <c r="BI6" i="34"/>
  <c r="BI7" i="34" s="1"/>
  <c r="BH8" i="34" s="1"/>
  <c r="BF8" i="34"/>
  <c r="BG8" i="34"/>
  <c r="X75" i="32" l="1"/>
  <c r="R75" i="32"/>
  <c r="R91" i="32" s="1"/>
  <c r="R107" i="32" s="1"/>
  <c r="L75" i="32"/>
  <c r="L91" i="32" s="1"/>
  <c r="L107" i="32" s="1"/>
  <c r="G75" i="32"/>
  <c r="BI8" i="34"/>
  <c r="BI9" i="34" s="1"/>
  <c r="G8" i="40" l="1"/>
  <c r="X91" i="32"/>
  <c r="Z75" i="32"/>
  <c r="S75" i="32" l="1"/>
  <c r="Q11" i="40" l="1"/>
  <c r="M11" i="40" l="1"/>
  <c r="W11" i="40" l="1"/>
  <c r="G38" i="32" l="1"/>
  <c r="Z38" i="32" l="1"/>
  <c r="T38" i="32"/>
  <c r="S38" i="32" l="1"/>
  <c r="G42" i="32" l="1"/>
  <c r="Z42" i="32" l="1"/>
  <c r="T42" i="32"/>
  <c r="S42" i="32" l="1"/>
  <c r="G49" i="32"/>
  <c r="Z49" i="32" l="1"/>
  <c r="T49" i="32"/>
  <c r="Z50" i="32" l="1"/>
  <c r="S49" i="32"/>
  <c r="W73" i="32" l="1"/>
  <c r="Z73" i="32" l="1"/>
  <c r="BH127" i="34" l="1"/>
  <c r="BH136" i="34" l="1"/>
  <c r="BG127" i="34"/>
  <c r="BG136" i="34" s="1"/>
  <c r="D85" i="32"/>
  <c r="G85" i="32" l="1"/>
  <c r="BI136" i="34" l="1"/>
  <c r="T85" i="32" s="1"/>
  <c r="T91" i="32" s="1"/>
  <c r="D8" i="40"/>
  <c r="N85" i="32"/>
  <c r="AT138" i="34"/>
  <c r="BF138" i="34" s="1"/>
  <c r="BF139" i="34" s="1"/>
  <c r="BK141" i="34" l="1"/>
  <c r="BL139" i="34"/>
  <c r="D11" i="40"/>
  <c r="I85" i="32"/>
  <c r="Q85" i="32"/>
  <c r="U85" i="32" l="1"/>
  <c r="U91" i="32" s="1"/>
  <c r="U107" i="32" s="1"/>
  <c r="L85" i="32"/>
  <c r="W85" i="32"/>
  <c r="BI137" i="34"/>
  <c r="BI138" i="34" s="1"/>
  <c r="R85" i="32"/>
  <c r="X11" i="40" l="1"/>
  <c r="I109" i="32"/>
  <c r="W91" i="32"/>
  <c r="Z85" i="32"/>
  <c r="AJ8" i="40" l="1"/>
  <c r="AJ11" i="40" s="1"/>
  <c r="Z91" i="32"/>
  <c r="N8" i="40"/>
  <c r="AL8" i="40" s="1"/>
  <c r="L108" i="32"/>
  <c r="W107" i="32"/>
  <c r="S85" i="32"/>
  <c r="S91" i="32" s="1"/>
  <c r="V8" i="40" l="1"/>
  <c r="N11" i="40"/>
  <c r="N14" i="40" l="1"/>
  <c r="AL11" i="40"/>
  <c r="Q63" i="32"/>
  <c r="X64" i="32"/>
  <c r="Z63" i="32" l="1"/>
  <c r="T63" i="32"/>
  <c r="X107" i="32" l="1"/>
  <c r="J109" i="32"/>
  <c r="S63" i="32"/>
  <c r="AO8" i="40" l="1"/>
  <c r="AF8" i="40"/>
  <c r="AA11" i="40"/>
  <c r="AF4" i="40" l="1"/>
  <c r="J11" i="40"/>
  <c r="AR11" i="40" l="1"/>
  <c r="T14" i="40"/>
  <c r="G11" i="40" l="1"/>
  <c r="AO11" i="40" l="1"/>
  <c r="Q14" i="40"/>
  <c r="H11" i="40"/>
  <c r="I11" i="40" l="1"/>
  <c r="E11" i="40" l="1"/>
  <c r="K11" i="40" l="1"/>
  <c r="F11" i="40" l="1"/>
  <c r="C52" i="32" l="1"/>
  <c r="G52" i="32" s="1"/>
  <c r="V52" i="32" l="1"/>
  <c r="C64" i="32"/>
  <c r="BZ87" i="18"/>
  <c r="CA87" i="18"/>
  <c r="Z52" i="32"/>
  <c r="C8" i="40" l="1"/>
  <c r="V64" i="32"/>
  <c r="S52" i="32"/>
  <c r="S64" i="32" s="1"/>
  <c r="Z64" i="32"/>
  <c r="C11" i="40" l="1"/>
  <c r="M14" i="40" s="1"/>
  <c r="AK8" i="40"/>
  <c r="AT8" i="40" s="1"/>
  <c r="L8" i="40"/>
  <c r="L11" i="40" s="1"/>
  <c r="AK11" i="40" l="1"/>
  <c r="Z11" i="40" l="1"/>
  <c r="P11" i="40" l="1"/>
  <c r="AN11" i="40" l="1"/>
  <c r="P14" i="40"/>
  <c r="N17" i="40" s="1"/>
  <c r="N18" i="40" s="1"/>
  <c r="S11" i="40" l="1"/>
  <c r="AC11" i="40" l="1"/>
  <c r="S14" i="40" l="1"/>
  <c r="S17" i="40" s="1"/>
  <c r="S18" i="40" s="1"/>
  <c r="AQ11" i="40"/>
  <c r="O9" i="40" l="1"/>
  <c r="AM9" i="40" s="1"/>
  <c r="AT9" i="40" s="1"/>
  <c r="O11" i="40" l="1"/>
  <c r="Y11" i="40" l="1"/>
  <c r="O14" i="40" l="1"/>
  <c r="M17" i="40" s="1"/>
  <c r="M18" i="40" s="1"/>
  <c r="AM11" i="40"/>
  <c r="AB11" i="40" l="1"/>
  <c r="AF12" i="40" s="1"/>
  <c r="AF11" i="40" l="1"/>
  <c r="R11" i="40" l="1"/>
  <c r="AP11" i="40" l="1"/>
  <c r="R14" i="40"/>
  <c r="Q17" i="40" s="1"/>
  <c r="Q18" i="40" s="1"/>
  <c r="U11" i="40" l="1"/>
  <c r="V12" i="40" s="1"/>
  <c r="V9" i="40"/>
  <c r="AF5" i="40" l="1"/>
  <c r="U14" i="40"/>
  <c r="U17" i="40" s="1"/>
  <c r="U18" i="40" s="1"/>
  <c r="V18" i="40" s="1"/>
  <c r="V11" i="40"/>
  <c r="AS11" i="40"/>
  <c r="AT11" i="40" s="1"/>
  <c r="CA13" i="36" l="1"/>
  <c r="CA25" i="36" s="1"/>
  <c r="BZ25" i="36"/>
  <c r="CA26" i="36" s="1"/>
  <c r="CC26" i="36" l="1"/>
  <c r="CC27" i="36" s="1"/>
  <c r="CB26" i="36"/>
  <c r="M93" i="32"/>
  <c r="BZ26" i="36"/>
  <c r="R93" i="32"/>
  <c r="CK12" i="36" l="1"/>
  <c r="CU12" i="36" s="1"/>
  <c r="CU25" i="36" s="1"/>
  <c r="V93" i="32"/>
  <c r="Q93" i="32"/>
  <c r="AG8" i="40"/>
  <c r="AG11" i="40" l="1"/>
  <c r="T103" i="32"/>
  <c r="T107" i="32" s="1"/>
  <c r="AI8" i="40" s="1"/>
  <c r="Z93" i="32"/>
  <c r="V103" i="32"/>
  <c r="V14" i="40" l="1"/>
  <c r="AI11" i="40"/>
  <c r="L12" i="40" s="1"/>
  <c r="H109" i="32"/>
  <c r="L109" i="32" s="1"/>
  <c r="V107" i="32"/>
  <c r="S93" i="32"/>
  <c r="S103" i="32" s="1"/>
  <c r="S107" i="32" s="1"/>
  <c r="Z103" i="32"/>
  <c r="L13" i="40" l="1"/>
  <c r="Z107" i="32"/>
  <c r="G110" i="32"/>
  <c r="AH8" i="40"/>
  <c r="AH11" i="40" s="1"/>
  <c r="AI12" i="40" s="1"/>
  <c r="T108" i="32"/>
</calcChain>
</file>

<file path=xl/sharedStrings.xml><?xml version="1.0" encoding="utf-8"?>
<sst xmlns="http://schemas.openxmlformats.org/spreadsheetml/2006/main" count="4470" uniqueCount="745">
  <si>
    <t>Dos</t>
  </si>
  <si>
    <t>Liter</t>
  </si>
  <si>
    <t>Buah</t>
  </si>
  <si>
    <t>Psg</t>
  </si>
  <si>
    <t>JUMLAH TOTAL</t>
  </si>
  <si>
    <t>Hari</t>
  </si>
  <si>
    <t>JUMLAH (Rp)</t>
  </si>
  <si>
    <t>Lembar</t>
  </si>
  <si>
    <t>KEGIATAN</t>
  </si>
  <si>
    <t>SUMBER DANA</t>
  </si>
  <si>
    <t>NO</t>
  </si>
  <si>
    <t>URAIAN</t>
  </si>
  <si>
    <t>VOLUME</t>
  </si>
  <si>
    <t>JUMLAH</t>
  </si>
  <si>
    <t>Ls</t>
  </si>
  <si>
    <t xml:space="preserve">         </t>
  </si>
  <si>
    <t>Meter</t>
  </si>
  <si>
    <t>HARGA (Rp)</t>
  </si>
  <si>
    <t>RAB</t>
  </si>
  <si>
    <t>REALISASI</t>
  </si>
  <si>
    <t>SAT</t>
  </si>
  <si>
    <t>JML</t>
  </si>
  <si>
    <t xml:space="preserve">SUMBER DA NA </t>
  </si>
  <si>
    <t>REALISASI-1</t>
  </si>
  <si>
    <t>DDs</t>
  </si>
  <si>
    <t>ADD</t>
  </si>
  <si>
    <t>BELANJA</t>
  </si>
  <si>
    <t xml:space="preserve">Buah </t>
  </si>
  <si>
    <t>Unit</t>
  </si>
  <si>
    <t>Pulpen</t>
  </si>
  <si>
    <t>ls</t>
  </si>
  <si>
    <t>Kotak</t>
  </si>
  <si>
    <t>Spanduk</t>
  </si>
  <si>
    <t>Paket</t>
  </si>
  <si>
    <t>Pak</t>
  </si>
  <si>
    <t>Jam</t>
  </si>
  <si>
    <t>unit</t>
  </si>
  <si>
    <t>SISA PAGU</t>
  </si>
  <si>
    <t>SELISIH BELANJA</t>
  </si>
  <si>
    <t>TOTAL SISA ANGGARAN</t>
  </si>
  <si>
    <t>SELISIH REALISASI</t>
  </si>
  <si>
    <t>PAJAK</t>
  </si>
  <si>
    <t>Jumlah</t>
  </si>
  <si>
    <t>JUMLAH SISA ANGGARAN</t>
  </si>
  <si>
    <t>SPPD Luar Daerah dalam Propinsi</t>
  </si>
  <si>
    <t>kotak</t>
  </si>
  <si>
    <t>Buku Agenda</t>
  </si>
  <si>
    <t>Tinta Stempel</t>
  </si>
  <si>
    <t>Air mineral</t>
  </si>
  <si>
    <t xml:space="preserve">SPPD dalam Kabupaten/kota </t>
  </si>
  <si>
    <t>Kali</t>
  </si>
  <si>
    <t>KAUR UMUM</t>
  </si>
  <si>
    <t>NON BELANJA</t>
  </si>
  <si>
    <t>KASI KESRA</t>
  </si>
  <si>
    <t>BHP</t>
  </si>
  <si>
    <t>PADes</t>
  </si>
  <si>
    <t>I</t>
  </si>
  <si>
    <t>II</t>
  </si>
  <si>
    <t xml:space="preserve">Jumlah </t>
  </si>
  <si>
    <t>KASI PEMERINTAHAN</t>
  </si>
  <si>
    <t>III</t>
  </si>
  <si>
    <t>KAUR REN</t>
  </si>
  <si>
    <t>KAUR KEU</t>
  </si>
  <si>
    <t>IV</t>
  </si>
  <si>
    <t>V</t>
  </si>
  <si>
    <t>VI</t>
  </si>
  <si>
    <t>KASI PELAYANAN</t>
  </si>
  <si>
    <t>PKK</t>
  </si>
  <si>
    <t>Org</t>
  </si>
  <si>
    <t>: SILTAP SEKDES</t>
  </si>
  <si>
    <t>:TUNJANGAN SEKDES</t>
  </si>
  <si>
    <t>: SILTAP KADES</t>
  </si>
  <si>
    <t>: TUNJANGAN KADES</t>
  </si>
  <si>
    <t>: SILTAP PERANGKAT KAUR/KASI</t>
  </si>
  <si>
    <t>: TUNJANGAN PERANGKAT KAUR/KASI</t>
  </si>
  <si>
    <t>KPM</t>
  </si>
  <si>
    <t>: SILTAP PERANGKAT KADUS</t>
  </si>
  <si>
    <t>: TUNJANGAN PERANGKAT KADUS</t>
  </si>
  <si>
    <t>Siltap Kades</t>
  </si>
  <si>
    <t>Tunjangan Kades</t>
  </si>
  <si>
    <t>Siltap Sekdes</t>
  </si>
  <si>
    <t>Tunjangan Sekdes</t>
  </si>
  <si>
    <t>Siltap Perangkat (Kaur/Kasi)</t>
  </si>
  <si>
    <t>Tunjangan Perangkat (Kaur/Kasi)</t>
  </si>
  <si>
    <t>Siltap Perangkat (Kadus)</t>
  </si>
  <si>
    <t>Tunjangan Perangkat (Kadus)</t>
  </si>
  <si>
    <t>Siltap Anggota BPD</t>
  </si>
  <si>
    <t>:  APBDesa 2024</t>
  </si>
  <si>
    <t xml:space="preserve"> </t>
  </si>
  <si>
    <t>Snack</t>
  </si>
  <si>
    <t>Makan/Minum</t>
  </si>
  <si>
    <t xml:space="preserve">Kue Bosara </t>
  </si>
  <si>
    <t>Spanduk 1 x 2 M</t>
  </si>
  <si>
    <t xml:space="preserve">: Musyawarah Pertanggungjawaban APBDesa Semester I </t>
  </si>
  <si>
    <t>Foto Copy</t>
  </si>
  <si>
    <t>Jilid</t>
  </si>
  <si>
    <t>Rangkap</t>
  </si>
  <si>
    <t>: Penyusunan Dokumen APBDesa Pokok 2025</t>
  </si>
  <si>
    <t>: Penyusunan Dokumen LPJ APBDesa 2024</t>
  </si>
  <si>
    <t>Materai</t>
  </si>
  <si>
    <t>Foto Copy LPJ</t>
  </si>
  <si>
    <t>: Dokumen RKPDes</t>
  </si>
  <si>
    <t xml:space="preserve">Foto Copy </t>
  </si>
  <si>
    <t>Koordinator ( 1 org x 3 bulan )</t>
  </si>
  <si>
    <t>Ketua Tim  ( 1 org x 3 bulan )</t>
  </si>
  <si>
    <t>Sekretaris Tim ( 1 org x 3 bulan )</t>
  </si>
  <si>
    <t>Anggota ( 6 org x 3 bulan )</t>
  </si>
  <si>
    <t>Bulan</t>
  </si>
  <si>
    <t>: Musyawarah Desa Mappalili dan penyusunan Program Pertanian</t>
  </si>
  <si>
    <t>Kue Bosara</t>
  </si>
  <si>
    <t xml:space="preserve">: Musyawarah Dadakan </t>
  </si>
  <si>
    <t xml:space="preserve">: Musyawarah Verivikasi Bantuan Sosial </t>
  </si>
  <si>
    <t>: Musrenbang Anak</t>
  </si>
  <si>
    <t>: Rembuk Stunting</t>
  </si>
  <si>
    <t>: Musrenbang Perempuan</t>
  </si>
  <si>
    <t>OB</t>
  </si>
  <si>
    <t>: Jaminan Sosial Ketenaga Kerjagaan Perangkat Desa</t>
  </si>
  <si>
    <t>Penjepit kertas</t>
  </si>
  <si>
    <t>dos</t>
  </si>
  <si>
    <t>buah</t>
  </si>
  <si>
    <t>: Forum Anak</t>
  </si>
  <si>
    <t>Id Card panitia</t>
  </si>
  <si>
    <t>Lomba Lari Karung</t>
  </si>
  <si>
    <t>Honorarium Eselon II</t>
  </si>
  <si>
    <t xml:space="preserve">Spanduk </t>
  </si>
  <si>
    <t>: Kontingen Group Kesenian &amp; Kebudayaan (Festival to Berru)</t>
  </si>
  <si>
    <t xml:space="preserve">Sewa Kendaraan </t>
  </si>
  <si>
    <t xml:space="preserve">: Penyelenggaraan Posyandu </t>
  </si>
  <si>
    <t>DDS</t>
  </si>
  <si>
    <t xml:space="preserve">Bulan </t>
  </si>
  <si>
    <t>Botol</t>
  </si>
  <si>
    <t>: Terselenggaranya Operasional Pos Kesehatan Desa</t>
  </si>
  <si>
    <t xml:space="preserve"> Evaluasi Penanganan Stunting</t>
  </si>
  <si>
    <t>Snack (2 Keg x 40 Org)</t>
  </si>
  <si>
    <t>Makan/Minum (2 Keg x 40 Org)</t>
  </si>
  <si>
    <t>Spanduk ( 1 x2 meter)</t>
  </si>
  <si>
    <t>Eselon III</t>
  </si>
  <si>
    <t>: Gotong Royong</t>
  </si>
  <si>
    <t>: Pembinaan LPM</t>
  </si>
  <si>
    <t xml:space="preserve">Penjepit Kertas </t>
  </si>
  <si>
    <t>Lmbr</t>
  </si>
  <si>
    <t xml:space="preserve">: Penyuluhan dan Pelatihan Bidang Kesehatan </t>
  </si>
  <si>
    <t>Honorarium ( 2 jam x 12 bulan x 1 kali/bln)</t>
  </si>
  <si>
    <t xml:space="preserve">: Pembinaan Karang taruna </t>
  </si>
  <si>
    <t>SPPD dalam daerah Dalam Kab.</t>
  </si>
  <si>
    <t xml:space="preserve">Pelatihan Bela diri </t>
  </si>
  <si>
    <t>: BLT Desa</t>
  </si>
  <si>
    <t xml:space="preserve">: Honorarium Staf </t>
  </si>
  <si>
    <t xml:space="preserve">: Jaminan sosial Staf </t>
  </si>
  <si>
    <t>: Jaminan Sosial Lembaga Lainnya (RT)</t>
  </si>
  <si>
    <t>: Jaminan Sosial BPD</t>
  </si>
  <si>
    <t>: Oprasional RT dan Insentif RT</t>
  </si>
  <si>
    <t>: Oprasional Dana Desa 3%</t>
  </si>
  <si>
    <t xml:space="preserve">: Pengelolaan Administrasi/Inventarisasi/Penilaian Aset Desa </t>
  </si>
  <si>
    <t>: Operasional Pemdes</t>
  </si>
  <si>
    <t>Tinta print Epson warna hitam L380,L310,L5190</t>
  </si>
  <si>
    <t>Tinta print Epson warna kuning L380,L310,L5190</t>
  </si>
  <si>
    <t>Tinta print warna merah L380,L310,L5190</t>
  </si>
  <si>
    <t>Tinta print warna biru L380,L310,L5190,</t>
  </si>
  <si>
    <t>Anak Hekter Kecil</t>
  </si>
  <si>
    <t>Anak Hekter Besar</t>
  </si>
  <si>
    <t>Mistar Besi</t>
  </si>
  <si>
    <t>Tipe X Kenko</t>
  </si>
  <si>
    <t>Pulpen Paster</t>
  </si>
  <si>
    <t>Sapu ijuk</t>
  </si>
  <si>
    <t>Sekop sampah</t>
  </si>
  <si>
    <t>Sabun Cuci piring</t>
  </si>
  <si>
    <t>Pel Lantai</t>
  </si>
  <si>
    <t>Belanja Perlengkapan Alat Rumah Tangga dan Bahan Kebersihan</t>
  </si>
  <si>
    <t>Belanja Bahan Bakar Minyak/Gas/Isi Ulang Tabung Pemadam Kebakaran</t>
  </si>
  <si>
    <t>Isi ulang tabung gas elpiji 3 kg</t>
  </si>
  <si>
    <t>Isi ulang Air galong</t>
  </si>
  <si>
    <t>Belanja Barang Cetak dan Penggandaan</t>
  </si>
  <si>
    <t xml:space="preserve">Foto copy </t>
  </si>
  <si>
    <t>Belanja Barang Konsumsi (Makan/Minum)</t>
  </si>
  <si>
    <t>Makan dan minum staf  ( 17 org  x 240 hari)</t>
  </si>
  <si>
    <t>Belanja Jasa Honorarium Tim Pelaksana Kegiatan</t>
  </si>
  <si>
    <t>Kades PKPKD</t>
  </si>
  <si>
    <t>Sekdes PPKD(Koordinator)</t>
  </si>
  <si>
    <t>Kaur dan Kasi PKA ( 5 org x 12 bulan)</t>
  </si>
  <si>
    <t>Langganan Listrik</t>
  </si>
  <si>
    <t>Kasus</t>
  </si>
  <si>
    <t>AK 77</t>
  </si>
  <si>
    <t>Belanja Jasa Langganan Majalah/Surat Kabar</t>
  </si>
  <si>
    <t>Motor Dinas Perangkat</t>
  </si>
  <si>
    <t>Rim</t>
  </si>
  <si>
    <t>: Operasional BPD</t>
  </si>
  <si>
    <t xml:space="preserve">Tinta hitam </t>
  </si>
  <si>
    <t>Tinta warna Kuning</t>
  </si>
  <si>
    <t>Tinta warna Merah</t>
  </si>
  <si>
    <t>Tinta warna Biru</t>
  </si>
  <si>
    <t>SPPD Dalam Kabupaten/Kota</t>
  </si>
  <si>
    <t xml:space="preserve">Belanja kegiatan jaringan aspirasi reses </t>
  </si>
  <si>
    <t>Belanja Pembahasan dan penetapan peraturan desa</t>
  </si>
  <si>
    <t>Snack ( 5 Keg x 30 org )</t>
  </si>
  <si>
    <t>Belanja Musyawarah BPD</t>
  </si>
  <si>
    <t>Snack  ( 10 keg x 9 0rg )</t>
  </si>
  <si>
    <t>Belanja evaluasi LKPPD</t>
  </si>
  <si>
    <t>Belanja pengawasan pemerintah desa</t>
  </si>
  <si>
    <t>Musyawarah penyampaian laporan Kinerja BPD</t>
  </si>
  <si>
    <t xml:space="preserve">Musyawarah Pertanggungjawaban APBDesa Semester I </t>
  </si>
  <si>
    <t xml:space="preserve">Musyawarah Dadakan </t>
  </si>
  <si>
    <t xml:space="preserve">Musyawarah Verivikasi Bantuan Sosial </t>
  </si>
  <si>
    <t>Musrenbang Anak</t>
  </si>
  <si>
    <t>Musrenbang Perempuan</t>
  </si>
  <si>
    <t>Rembuk Stunting</t>
  </si>
  <si>
    <t>Dokumen RKPDes</t>
  </si>
  <si>
    <t>Musyawarah Desa Mappalili dan penyusunan Program Pertanian</t>
  </si>
  <si>
    <t>: Administrasi Umum dan Kependudukan</t>
  </si>
  <si>
    <t>Kertas HVS A4 80 gram</t>
  </si>
  <si>
    <t>: Penyusunan,Pendataan, dan Pemutakhiran Profil Desa</t>
  </si>
  <si>
    <t>Petugas Entry Data Online</t>
  </si>
  <si>
    <t>KK</t>
  </si>
  <si>
    <t>Paket Data Penginputan Online</t>
  </si>
  <si>
    <t>: Kegiatan Penyusunan Kebijakan Desa</t>
  </si>
  <si>
    <t>: Koord/Kerjasama Penyelenggaraan Pemerintah dan Pembangunan</t>
  </si>
  <si>
    <t>Keg</t>
  </si>
  <si>
    <t>: Rapat Internal Pemerintah Desa</t>
  </si>
  <si>
    <t>:   Terlaksananya Kegiatan Informasi Publik Desa</t>
  </si>
  <si>
    <t>Makan Minum</t>
  </si>
  <si>
    <t xml:space="preserve">: Mediasi Konflik Pertanahan </t>
  </si>
  <si>
    <t>: Penanggulangan Bencana</t>
  </si>
  <si>
    <t>Jaminan Sosial Ketenagakerjaan Sekretaris</t>
  </si>
  <si>
    <t>Jaminan Sosial Ketenagakerjaan Kadus</t>
  </si>
  <si>
    <t>Jaminan Sosial Ketenagakerjaan Kaur/Kasi</t>
  </si>
  <si>
    <t>Jaminan Sosial Ketenagakerjaan Kepala Desa</t>
  </si>
  <si>
    <t>Operasional Pemdes</t>
  </si>
  <si>
    <t>Operasional BPD</t>
  </si>
  <si>
    <t xml:space="preserve">Honorarium Staf </t>
  </si>
  <si>
    <t xml:space="preserve">Jaminan sosial Staf </t>
  </si>
  <si>
    <t>Jaminan Sosial Lembaga Lainnya (RT)</t>
  </si>
  <si>
    <t>Jaminan Sosial BPD</t>
  </si>
  <si>
    <t>Oprasional RT dan Insentif RT</t>
  </si>
  <si>
    <t>Oprasional Dana Desa 3%</t>
  </si>
  <si>
    <t xml:space="preserve">Pembinaan Karang taruna </t>
  </si>
  <si>
    <t>BLT Desa</t>
  </si>
  <si>
    <t>Administrasi Umum dan Kependudukan</t>
  </si>
  <si>
    <t>Penyusunan,Pendataan, dan Pemutakhiran Profil Desa</t>
  </si>
  <si>
    <t>Pemutakhiran Data SDGs Desa</t>
  </si>
  <si>
    <t>Pengimputan IDM</t>
  </si>
  <si>
    <t>Rapat Internal Pemerintah Desa</t>
  </si>
  <si>
    <t>Terlaksananya Kegiatan Informasi Publik Desa</t>
  </si>
  <si>
    <t xml:space="preserve">Mediasi Konflik Pertanahan </t>
  </si>
  <si>
    <t>Penanggulangan Bencana</t>
  </si>
  <si>
    <t>Forum Anak</t>
  </si>
  <si>
    <t>Kontingen Group Kesenian &amp; Kebudayaan (Festival to Berru)</t>
  </si>
  <si>
    <t xml:space="preserve">Penyelenggaraan Posyandu </t>
  </si>
  <si>
    <t>Terselenggaranya Operasional Pos Kesehatan Desa</t>
  </si>
  <si>
    <t>Gotong Royong</t>
  </si>
  <si>
    <t>Pembinaan LPM</t>
  </si>
  <si>
    <t>Fotocopy</t>
  </si>
  <si>
    <t xml:space="preserve">Jilid </t>
  </si>
  <si>
    <t>VII</t>
  </si>
  <si>
    <t xml:space="preserve">PEMBIAYAAN </t>
  </si>
  <si>
    <t xml:space="preserve">: Pembiyaan </t>
  </si>
  <si>
    <t>Penyertaan Modal Bumdes</t>
  </si>
  <si>
    <t>TOTAL PAGU ANGGARAN</t>
  </si>
  <si>
    <t xml:space="preserve">Penyertaan Modal BUM Desa </t>
  </si>
  <si>
    <t>REALISASI ANGGARAN</t>
  </si>
  <si>
    <t xml:space="preserve">Belanja Tidak Terduga </t>
  </si>
  <si>
    <t>Makan/Minum (100 Org x 12 bulan x 1 kali/bln)</t>
  </si>
  <si>
    <t>Belanja Jasa Langganan Internet</t>
  </si>
  <si>
    <t xml:space="preserve">Mobil desa  STNK </t>
  </si>
  <si>
    <t>Motor Dinas STNK ( Kades dan Kadus)</t>
  </si>
  <si>
    <t>Motor Dinas Perangkat STNK (RT)</t>
  </si>
  <si>
    <t xml:space="preserve">Pemeliharaan Kendaraan </t>
  </si>
  <si>
    <t xml:space="preserve">Perpajakan </t>
  </si>
  <si>
    <t>Kaur Keuangan</t>
  </si>
  <si>
    <t>Honorarium Unsur Staf Lainnya</t>
  </si>
  <si>
    <t>Jaminan Sosial Unsur Staf Lainnya</t>
  </si>
  <si>
    <t>Jaminan Sosisal BPD</t>
  </si>
  <si>
    <t>Siltap Perangkat Kaur/Kasi</t>
  </si>
  <si>
    <t>Tunjangan Perangkat Kaur/Kasi</t>
  </si>
  <si>
    <t>Siltap Perangkat Kadus</t>
  </si>
  <si>
    <t>Tunjangan Perangkat Kadus</t>
  </si>
  <si>
    <t>: Jaminan Sosial Ketenagakerjaan Kepala Desa</t>
  </si>
  <si>
    <t>Jaminan Sostek Kepala Desa</t>
  </si>
  <si>
    <t>Jaminan Sostek Sekdes</t>
  </si>
  <si>
    <t>Jaminan Sostek Kaur/Kasi</t>
  </si>
  <si>
    <t>Jaminan Sostek Kadus</t>
  </si>
  <si>
    <t>: Jaminan Sosial Ketenaga Kerjaan Perangkat Desa</t>
  </si>
  <si>
    <t>Kertas HVS A4</t>
  </si>
  <si>
    <t xml:space="preserve">Pemeliharaan Peralatan </t>
  </si>
  <si>
    <t>SPPD RT dalam Kabupaten</t>
  </si>
  <si>
    <t xml:space="preserve">Penanggulangan Bencana </t>
  </si>
  <si>
    <t>% GIAT</t>
  </si>
  <si>
    <t>% ANGGARAN</t>
  </si>
  <si>
    <t>REALISASI KEGIATAN APBDesa PERUBAHAN TA. 2024</t>
  </si>
  <si>
    <t>SADD</t>
  </si>
  <si>
    <t>SDDs</t>
  </si>
  <si>
    <t>PBH</t>
  </si>
  <si>
    <t>SPBH</t>
  </si>
  <si>
    <t>PLL/JAGIR</t>
  </si>
  <si>
    <t>SBHP</t>
  </si>
  <si>
    <t>APBDes POKOK</t>
  </si>
  <si>
    <t>APBDes PERUBAHAN</t>
  </si>
  <si>
    <t>JUMLAH SISA ANGGARAN (SiLPA)</t>
  </si>
  <si>
    <t>M</t>
  </si>
  <si>
    <t>: Musyawarah Desa Penyusunan RKPDesa Tahun 2026</t>
  </si>
  <si>
    <t>: Musrenbang RKPDes Tahun 2026</t>
  </si>
  <si>
    <t>: Musyawarah Desa Pembahasan Rancangan  RKPDes dgn BPD Tahun 2026</t>
  </si>
  <si>
    <t>: Musyawarah Pembahasan Perubahan APBDes Dengan BPD 2025</t>
  </si>
  <si>
    <t>: Musyawarah Pertanggungjawaban APBDesa Akhir tahun 2025</t>
  </si>
  <si>
    <t>: Musyawarah BPD P'bahas Perdes APBDesa Pokok thn 2026</t>
  </si>
  <si>
    <t>Musyawarah Desa Penyusunan RKPDesa Tahun 2026</t>
  </si>
  <si>
    <t>Musrenbang RKPDes Tahun 2026</t>
  </si>
  <si>
    <t>Musyawarah Desa Pembahasan Rancangan  RKPDes dgn BPD Tahun 2026</t>
  </si>
  <si>
    <t>Musyawarah Pembahasan Perubahan APBDes Dengan BPD 2025</t>
  </si>
  <si>
    <t>Musyawarah BPD P'bahas Perdes APBDesa Pokok thn 2026</t>
  </si>
  <si>
    <t xml:space="preserve">Revisi Perubahan RPJMDes </t>
  </si>
  <si>
    <t>: Penyusunan Dokumen Perubahan APBDesa 2025</t>
  </si>
  <si>
    <t xml:space="preserve">: Revisi Perubahan RPJMDes </t>
  </si>
  <si>
    <t>: Musyawarah Pembahasan Revisi Perubahan RPJMDes</t>
  </si>
  <si>
    <t>Musyawarah Pembahasan Revisi Perubahan RPJMDes</t>
  </si>
  <si>
    <t>: Musyawarah Dusun untuk Masyarkat Kelompok Penyusunan RKPDesa Tahun 2026</t>
  </si>
  <si>
    <t>Kontribusi Tim penyusun RKPDesa</t>
  </si>
  <si>
    <t>Makan/Minum Tim Penyusun (9 Org x 3 hari)</t>
  </si>
  <si>
    <t>: Dokumen Revisi RPJMDes</t>
  </si>
  <si>
    <t>Dokumen Revisi RPJMDes</t>
  </si>
  <si>
    <t>Penyusunan Dokumen LPPD/LKPPD</t>
  </si>
  <si>
    <t>: Penyusunan Dokumen LPPD/LKPPD</t>
  </si>
  <si>
    <t>: Penerimaan Lain Kepala  Desa yang sah</t>
  </si>
  <si>
    <t>Penerimaan Lain Kepala  Desa yang sah</t>
  </si>
  <si>
    <t>: Penerimaan Lain Perangkat Desa yang sah</t>
  </si>
  <si>
    <t>Penerimaan Lain Kaur / Kasi ( 6 Orang x 12 Bulan ) yang sah</t>
  </si>
  <si>
    <t>Penerimaan Lain Sekdes yang sah</t>
  </si>
  <si>
    <t>Sekdes</t>
  </si>
  <si>
    <t xml:space="preserve"> Kaur / Kasi ( 6 Orang x 12 Bulan )</t>
  </si>
  <si>
    <t>Penerimaan Lain Kadus ( 4 Orang x 12 Bulan ) yang sah</t>
  </si>
  <si>
    <t xml:space="preserve"> Kepala Dusun ( 4 Orang x 12 Bulan )</t>
  </si>
  <si>
    <t xml:space="preserve">Tunjangan Ketua BPD </t>
  </si>
  <si>
    <t xml:space="preserve">: Tunjangan Ketua BPD </t>
  </si>
  <si>
    <t xml:space="preserve"> Tunjangan Ketua BPD </t>
  </si>
  <si>
    <t xml:space="preserve">Tunjangan Wakil Ketua BPD </t>
  </si>
  <si>
    <t>Tunjangan Wakil Ketua BPD</t>
  </si>
  <si>
    <t xml:space="preserve">: Tunjangan Wakil Ketua BPD </t>
  </si>
  <si>
    <t xml:space="preserve">Tunjangan Sekretaris BPD </t>
  </si>
  <si>
    <t xml:space="preserve">: Tunjangan Sekretaris BPD </t>
  </si>
  <si>
    <t>Tunjangan Sekretaris BPD</t>
  </si>
  <si>
    <t xml:space="preserve">Tunjangan Anggota BPD </t>
  </si>
  <si>
    <t xml:space="preserve">: Tunjangan Anggota BPD </t>
  </si>
  <si>
    <t>Kertas HVS A4 GSM Folio</t>
  </si>
  <si>
    <t>Buku Agenda Besar</t>
  </si>
  <si>
    <t>Hekter Kecil/Stafler kecil</t>
  </si>
  <si>
    <t>Lakban 5 cm</t>
  </si>
  <si>
    <t>Lem Kertas besar</t>
  </si>
  <si>
    <t>Mistar Besi 30 cm</t>
  </si>
  <si>
    <t xml:space="preserve">Sapu lidi </t>
  </si>
  <si>
    <t>Pembersih Lantai</t>
  </si>
  <si>
    <t xml:space="preserve">Pembersih Kaca </t>
  </si>
  <si>
    <t>Pembersih WC harfic</t>
  </si>
  <si>
    <t xml:space="preserve">Kamoceng </t>
  </si>
  <si>
    <t>Belanja Perjalanan Dinas</t>
  </si>
  <si>
    <t>Merpos Grup</t>
  </si>
  <si>
    <t>Pena Rakyat</t>
  </si>
  <si>
    <t>Dimensi TV  New Darman</t>
  </si>
  <si>
    <t>Refortase .com  A.Ikbal</t>
  </si>
  <si>
    <t>Tipikor RI</t>
  </si>
  <si>
    <t>Top News</t>
  </si>
  <si>
    <t>mata Jurnalis</t>
  </si>
  <si>
    <t xml:space="preserve">Go Indonesia </t>
  </si>
  <si>
    <t>Mobil Desa</t>
  </si>
  <si>
    <t>Motor Dinas</t>
  </si>
  <si>
    <t>Servis komputer dan laptop</t>
  </si>
  <si>
    <t>Servis printer</t>
  </si>
  <si>
    <t>Pulpen paster</t>
  </si>
  <si>
    <t>Buku agenda</t>
  </si>
  <si>
    <t>Nasi Kotak  (5 Keg x 30 Org)</t>
  </si>
  <si>
    <t>Nasi Kotak (  4 Keg x 9 org )</t>
  </si>
  <si>
    <t>BPJS Ketegakerjaan bagi pekerja Rentan ( 50 x 12 bulan )</t>
  </si>
  <si>
    <t>: Lembaga Sosial Lainnya  JKK,JKM,JHT</t>
  </si>
  <si>
    <t xml:space="preserve">Pengajian Rutin </t>
  </si>
  <si>
    <t xml:space="preserve"> Air Mineral (2 kali/Bulan x 3 Dos x 10Bulan )</t>
  </si>
  <si>
    <t>Makan Minum Pelatih ( 2 kali x 3 Org X 10 bulan )</t>
  </si>
  <si>
    <t>Honorarium (2 kali/Bulan x 3 Org  x 10 Bulan)</t>
  </si>
  <si>
    <t>Kontribusi SKBKT</t>
  </si>
  <si>
    <t>Foto Copy Kusionel Profil DDK</t>
  </si>
  <si>
    <t>Petugas pencacah DDK</t>
  </si>
  <si>
    <t>Musyawarah Pertanggungjawaban APBDesa Akhir tahun 2024</t>
  </si>
  <si>
    <t>Musyawarah Dusun untuk Masyarkat Kelompok Penyusunan RKPDesa Tahun 2026</t>
  </si>
  <si>
    <t>Penyusunan Dokumen Perubahan APBDesa 2025</t>
  </si>
  <si>
    <t>Penyusunan Dokumen APBDesa Pokok 2026</t>
  </si>
  <si>
    <t>Penyusunan Dokumen LPJ APBDesa 2025</t>
  </si>
  <si>
    <t>Jagir</t>
  </si>
  <si>
    <t xml:space="preserve">Kertas HVS F4 </t>
  </si>
  <si>
    <t>Amplpo besar</t>
  </si>
  <si>
    <t>Amplpo kecil</t>
  </si>
  <si>
    <t>Paku Buku</t>
  </si>
  <si>
    <t>Kertas Jilid</t>
  </si>
  <si>
    <t>Plastik Jild</t>
  </si>
  <si>
    <t>Nota 3 Ply</t>
  </si>
  <si>
    <t>Penjepit Kertas No 3</t>
  </si>
  <si>
    <t>Kwitansi</t>
  </si>
  <si>
    <t>Pensil 2 B</t>
  </si>
  <si>
    <t>Pelatihan  Eco Emzyme dan pemilihan sampah</t>
  </si>
  <si>
    <t>: Pelatihan  Eco Emzyme dan pemilihan sampah</t>
  </si>
  <si>
    <t xml:space="preserve">Makan Minum </t>
  </si>
  <si>
    <t>Honorarium Eselon II Propinsi</t>
  </si>
  <si>
    <t xml:space="preserve">Honorarium Eselon III </t>
  </si>
  <si>
    <t>Bahan perlengkapan</t>
  </si>
  <si>
    <t>Pengadaan Tempat Sampah &amp; Bak Sampah</t>
  </si>
  <si>
    <t>Karung untuk  sampah</t>
  </si>
  <si>
    <t>Pembangunan/Reh/Peningkatan fasilitas Pengelolaan sampah</t>
  </si>
  <si>
    <t>: Pembangunan/Reh/Peningkatan fasilitas Pengelolaan sampah</t>
  </si>
  <si>
    <t>Pembangunan  Tempat Bank Sampah</t>
  </si>
  <si>
    <t>Pengadaan Mesin Pencacah dan Mesin Pres sampah</t>
  </si>
  <si>
    <t>paket</t>
  </si>
  <si>
    <t>REALISASI KEGIATAN APBDesa TA. 2025</t>
  </si>
  <si>
    <t>Makan Minum Validasi dan Penginfutan Data</t>
  </si>
  <si>
    <t>Snack  penetapan hasil Pemutakhiran Data SDGs</t>
  </si>
  <si>
    <t xml:space="preserve">Makan Minum penetapan hasil Pemutkhiran Data SDGS </t>
  </si>
  <si>
    <t>Biaya petugas Penginfutan Data keluarga (KK)</t>
  </si>
  <si>
    <t>Snack penginputan IDM</t>
  </si>
  <si>
    <t>Makan Minum Kotak penginputan IDM</t>
  </si>
  <si>
    <t>Rapat Koordinasi Tingkat Kecamatan</t>
  </si>
  <si>
    <t>Kontribusi Makan/Minum rapat tingkat Kecamatan</t>
  </si>
  <si>
    <t>Snack (10 Org x 10 Keg)</t>
  </si>
  <si>
    <t>Baliho APBDesa ( 4 x 2 Meter )</t>
  </si>
  <si>
    <t>Baliho APBDesa Perubahan ( 4 x 2 m)</t>
  </si>
  <si>
    <t>Baliho APBDesa  Realisasi (4 x 2 Meter )</t>
  </si>
  <si>
    <t>: Kegiatan Pelatihan Tanggap Bencana Skala Desa</t>
  </si>
  <si>
    <t>Pelatihan Tanggap Bencana</t>
  </si>
  <si>
    <t xml:space="preserve">Blook Note </t>
  </si>
  <si>
    <t>Pulpen Faster</t>
  </si>
  <si>
    <t>Narasumber Eselon III</t>
  </si>
  <si>
    <t>: Pelatihan/Penyuluhan/Sosialisasi Kepada Masy. Di Bid. Hukum &amp; Perlindungan Masyarakat Masyarakat</t>
  </si>
  <si>
    <t>Penyuluhan Hukum</t>
  </si>
  <si>
    <t>: Kegiatan Peningkatan Kapasitas Perangkat  Desa</t>
  </si>
  <si>
    <t>Bimtek Pengelolaan Keuangan Desa</t>
  </si>
  <si>
    <t>Blook Note</t>
  </si>
  <si>
    <t xml:space="preserve">Tissu </t>
  </si>
  <si>
    <t>Narasumber Eselon II</t>
  </si>
  <si>
    <t xml:space="preserve">Pengangkatan Perangkat Desa </t>
  </si>
  <si>
    <t>: Pengangkatan Perangkat Desa</t>
  </si>
  <si>
    <t>Pengangkatan Perangkat Desa</t>
  </si>
  <si>
    <t>Kertas HVS F4 70 gram</t>
  </si>
  <si>
    <t xml:space="preserve">Pulpen </t>
  </si>
  <si>
    <t xml:space="preserve">Id Card </t>
  </si>
  <si>
    <t xml:space="preserve">Map Plastik </t>
  </si>
  <si>
    <t xml:space="preserve">Fotocopy </t>
  </si>
  <si>
    <t>Snack Rapat Panitia(4 Keg x 5 Org)</t>
  </si>
  <si>
    <t>Makan Minum Rapat Panitia(4 Keg x 5 Org)</t>
  </si>
  <si>
    <t>Makan Minum Peserta Penjaringan (30 Org)</t>
  </si>
  <si>
    <t>Snack Peserta Penjaringan (30 Org)</t>
  </si>
  <si>
    <t>Makan Minum Pelantikan Perangkat Desa</t>
  </si>
  <si>
    <t>Snack Pelantikan Perangkat Desa</t>
  </si>
  <si>
    <t>Spanduk Pengumuman Penjaringan</t>
  </si>
  <si>
    <t>Spanduk Sekretariat</t>
  </si>
  <si>
    <t>Spanduk Pelantikan Perangkat Desa</t>
  </si>
  <si>
    <t xml:space="preserve">Ketua </t>
  </si>
  <si>
    <t xml:space="preserve">Sekretaris </t>
  </si>
  <si>
    <t>Anggota (3Org x 3 Bulan)</t>
  </si>
  <si>
    <t>Rapat Kebijakan Desa</t>
  </si>
  <si>
    <t>Snack ( 5 keg x 20 org )</t>
  </si>
  <si>
    <t>Oprasional PKK</t>
  </si>
  <si>
    <t>Mistar besi</t>
  </si>
  <si>
    <t>Penjepit</t>
  </si>
  <si>
    <t>Kegiatan Rutin TP PKK</t>
  </si>
  <si>
    <t>Kue Kotak ( 10 Keg x 35 org )</t>
  </si>
  <si>
    <t>Nasi Kotak ( 10 Keg x 35 org )</t>
  </si>
  <si>
    <t>Kegiatan Jambore dasawisma</t>
  </si>
  <si>
    <t>Kue Kotak  jambore ( 3 hari  x 35 org )</t>
  </si>
  <si>
    <t>Nasi Kotak Jambore ( 3 hari  x 2 kali makan x 35 org )</t>
  </si>
  <si>
    <t>Baju seragam Jambore</t>
  </si>
  <si>
    <t>kali</t>
  </si>
  <si>
    <t>lembar</t>
  </si>
  <si>
    <t xml:space="preserve">Penjepit </t>
  </si>
  <si>
    <t>Kue Kotak ( 1 Keg x 40 org )</t>
  </si>
  <si>
    <t>Nasi Kotak ( 1 Keg x 40 org )</t>
  </si>
  <si>
    <t xml:space="preserve">Air Dos </t>
  </si>
  <si>
    <t>Honorarium/Insentif Pelayanan Desa</t>
  </si>
  <si>
    <t>Insentif Kader Posyandu (48 Org x 12 Bulan )</t>
  </si>
  <si>
    <t>Insentif kader ILP ( 2 Org  x 12 bln )</t>
  </si>
  <si>
    <t>Tambahan bagi Belita (PMT)</t>
  </si>
  <si>
    <t>PMT Berbahan Lokal (5 posyandu x 12 Bulan)</t>
  </si>
  <si>
    <t xml:space="preserve">Penanganan  anak Stunting </t>
  </si>
  <si>
    <t>Pemberian makanan untuk ibu hamil</t>
  </si>
  <si>
    <t>bulan</t>
  </si>
  <si>
    <t>Perlengkapan ATK Posyandu</t>
  </si>
  <si>
    <t xml:space="preserve">Buku Agenda Besar </t>
  </si>
  <si>
    <t>Tipex</t>
  </si>
  <si>
    <t>Penjepit Buku</t>
  </si>
  <si>
    <t>Bahan Perlengkapan  diserahkan kepada Masyarakat</t>
  </si>
  <si>
    <t>Pengadaan Strip Gula Darah</t>
  </si>
  <si>
    <t>Pengadaan Strip Asam Urat</t>
  </si>
  <si>
    <t>Pengadaan Strip Kolestrol</t>
  </si>
  <si>
    <t>Snack (2 Keg x 40 Orang)</t>
  </si>
  <si>
    <t>Makan/minum (2 Keg x 40 Orang)</t>
  </si>
  <si>
    <t xml:space="preserve">Dos </t>
  </si>
  <si>
    <t>Penyuluhan Bahaya Rokok</t>
  </si>
  <si>
    <t>Kue Kotak</t>
  </si>
  <si>
    <t xml:space="preserve">Nasi Kotak </t>
  </si>
  <si>
    <t>Peningkatan Kapasitas Kader Posyandu</t>
  </si>
  <si>
    <t>Snack ( 2 hari  x 55 kotak )</t>
  </si>
  <si>
    <t>Makan minum</t>
  </si>
  <si>
    <t>Eselon II</t>
  </si>
  <si>
    <t xml:space="preserve"> Id Card Panitia</t>
  </si>
  <si>
    <t>Makan dan Minum</t>
  </si>
  <si>
    <t>Air Dos</t>
  </si>
  <si>
    <t>Air Mineral</t>
  </si>
  <si>
    <t>Juri 3 org 3 hari</t>
  </si>
  <si>
    <t>Hadiah</t>
  </si>
  <si>
    <t xml:space="preserve">kali </t>
  </si>
  <si>
    <t>Festifal To Berru</t>
  </si>
  <si>
    <t>Kue kotak (1 Hari x 50 Org)</t>
  </si>
  <si>
    <t>Nampang</t>
  </si>
  <si>
    <t xml:space="preserve">Pengadaan Baju kaos </t>
  </si>
  <si>
    <t>Peringatan Hari Jadi Barru</t>
  </si>
  <si>
    <t xml:space="preserve">Sewa Jas Tutup dan Baju Bodoh </t>
  </si>
  <si>
    <t>Kegiatan senam Massal HUT RI</t>
  </si>
  <si>
    <t>Kue kotak (1 Hari x 40 Org)</t>
  </si>
  <si>
    <t>Pengadaan Baju  senam</t>
  </si>
  <si>
    <t>mobil</t>
  </si>
  <si>
    <t xml:space="preserve">Kotak </t>
  </si>
  <si>
    <t>Pembinaan anak</t>
  </si>
  <si>
    <t>Kue Kotak  Kegaiatan  ( 1 Keg x 50 org )</t>
  </si>
  <si>
    <t>Nasi Kotak  Krgiatan  ( 1 Keg X 50 org )</t>
  </si>
  <si>
    <t>Perjalanan Dinas</t>
  </si>
  <si>
    <t xml:space="preserve"> Pakaian PDH Forum anak</t>
  </si>
  <si>
    <t>Kegiatan lomba-lomba</t>
  </si>
  <si>
    <t xml:space="preserve">Kue Kotak  </t>
  </si>
  <si>
    <t>Lomba Makan biskuit dari jidat</t>
  </si>
  <si>
    <t>Biskuit</t>
  </si>
  <si>
    <t>Lomba Makan Krupuk</t>
  </si>
  <si>
    <t>Kerupuk</t>
  </si>
  <si>
    <t>Tali Rapiah</t>
  </si>
  <si>
    <t>Karung</t>
  </si>
  <si>
    <t>Helem</t>
  </si>
  <si>
    <t>Lomba PensiL paku Masukan dalam Botol</t>
  </si>
  <si>
    <t>Pensil</t>
  </si>
  <si>
    <t xml:space="preserve">lmbr </t>
  </si>
  <si>
    <t>bungkus</t>
  </si>
  <si>
    <t>krng</t>
  </si>
  <si>
    <t>Penyuluhan dan Pelatihan Kesehatan</t>
  </si>
  <si>
    <t>Kontribusi Pelatihan Mencukur ( Barber Shop)</t>
  </si>
  <si>
    <t>: Penyuluhan dan Pelatihan bagi Masyarakat</t>
  </si>
  <si>
    <t>: Rehab Saluran Drainase Dusun Batupute RT. 02</t>
  </si>
  <si>
    <t>BIAYA PEKERJAAN NON FISIK</t>
  </si>
  <si>
    <t>Papan Informasi Kegiatan</t>
  </si>
  <si>
    <t>Prasasti</t>
  </si>
  <si>
    <t>BIAYA PEKERJAAN FISIK</t>
  </si>
  <si>
    <t>BAHAN</t>
  </si>
  <si>
    <t>Semen PC @40 Kg</t>
  </si>
  <si>
    <t>Batu Belah/ Cipping</t>
  </si>
  <si>
    <t>Batu Kali/ Gunung</t>
  </si>
  <si>
    <t xml:space="preserve">Pasir </t>
  </si>
  <si>
    <t>Besi Beton Polos Ø12</t>
  </si>
  <si>
    <t>Kawat Beton</t>
  </si>
  <si>
    <t>Paku 5-12 Cm</t>
  </si>
  <si>
    <t>Kayu Kls III (mal)</t>
  </si>
  <si>
    <t>UPAH KERJA</t>
  </si>
  <si>
    <t>Pekerja</t>
  </si>
  <si>
    <t>Tukang</t>
  </si>
  <si>
    <t>Kepala Tukang</t>
  </si>
  <si>
    <t>OPERASIONAL TPK (2,5%)</t>
  </si>
  <si>
    <t>Bh</t>
  </si>
  <si>
    <t>Zak</t>
  </si>
  <si>
    <t>M3</t>
  </si>
  <si>
    <t>Btg</t>
  </si>
  <si>
    <t>Kg</t>
  </si>
  <si>
    <t>HOK</t>
  </si>
  <si>
    <t>Rehab Saluran Drainase Dusun Batupute RT. 02</t>
  </si>
  <si>
    <t xml:space="preserve">Penjept kertas </t>
  </si>
  <si>
    <t>Belender</t>
  </si>
  <si>
    <t>Belanja konsumsi makan/minum</t>
  </si>
  <si>
    <t>Snack tamu</t>
  </si>
  <si>
    <t>Makan /minum tamu</t>
  </si>
  <si>
    <t>Kue Kotak gotong royong ( 2 Keg x30 org x 12 RT )</t>
  </si>
  <si>
    <t>Kegiatan kampung KB</t>
  </si>
  <si>
    <t>Snack 4 Kegiatan x 40 org)</t>
  </si>
  <si>
    <t>Makan dan Minum ( 4 Keg X 40 org )</t>
  </si>
  <si>
    <t>Kuota Pokja Kampung KB</t>
  </si>
  <si>
    <t>Kuota Internet kader KPM ( 14 Org x 12 bulan)</t>
  </si>
  <si>
    <t>Bln</t>
  </si>
  <si>
    <t>Pengelolaan Administrasi/Inventarisasi/Penilaian Aset Desa</t>
  </si>
  <si>
    <t>Brangkas</t>
  </si>
  <si>
    <t>Proyektor/LCD</t>
  </si>
  <si>
    <t>Layar LCD</t>
  </si>
  <si>
    <t>Lemari Arsip</t>
  </si>
  <si>
    <t>SPPD Luar Daerah luar Propinsi</t>
  </si>
  <si>
    <t>Perjalanan Dinas Kepala Desa (1 Org * 1 Keg)</t>
  </si>
  <si>
    <t>Kontribusi  Kepala Desa</t>
  </si>
  <si>
    <t>Peningkatan Kapasitas Kepala Desa</t>
  </si>
  <si>
    <t>: Peningkatan Kapasitas Kepala Desa</t>
  </si>
  <si>
    <t>Peningkatan Kapasitas BPD</t>
  </si>
  <si>
    <t>Peningkatan Kapasitas Perangkat Desa</t>
  </si>
  <si>
    <t>: Peningkatan Kapasitas BPD</t>
  </si>
  <si>
    <t>: Peningkatan Kapasitas Perangkat Desa</t>
  </si>
  <si>
    <t>Perjalanan Dinas DPD (1 Org * 1 Keg)</t>
  </si>
  <si>
    <t>Perjalanan Dinas Perangkat Desa (1 Org * 1 Keg)</t>
  </si>
  <si>
    <t>: Kegiatan rutin kelompok tani/nelayan</t>
  </si>
  <si>
    <t>Kegiatan rutin kelompok tani/nelayan</t>
  </si>
  <si>
    <t>BLT Dana Desa (35 KPM)</t>
  </si>
  <si>
    <t>Biaya akomodasi dan transportasi ke RS. Type B Parepare An. Sumarni (miskin)</t>
  </si>
  <si>
    <t>Pembelian terpal Posyandu Mawar Putih-2 Ujunge</t>
  </si>
  <si>
    <t>Pembelian kue musyawarah calon KPM BPJS Ketenagakerjaan Rentan</t>
  </si>
  <si>
    <t>Pengerukan jalan dan saluran air pasca banjir di RT. 04 Dusun Batupute</t>
  </si>
  <si>
    <t>PMT MP Asi Usia 6 Bulan s.d 23 Bulan</t>
  </si>
  <si>
    <t>SiLPA</t>
  </si>
  <si>
    <t xml:space="preserve">Pembelian terpal Posyandu </t>
  </si>
  <si>
    <t>Pembelian Air TM  MMD</t>
  </si>
  <si>
    <t>Kegiatan Festival Ramadhan BTP</t>
  </si>
  <si>
    <t xml:space="preserve">Akomodasi Kecelakaan </t>
  </si>
  <si>
    <t>Kegiatan Festival Ramadhan Awerange</t>
  </si>
  <si>
    <t>Pembelian Bingkai Foto Bupati dan Wakil Bupati</t>
  </si>
  <si>
    <t>Kader KPM HDW</t>
  </si>
  <si>
    <t>Insentif Kader KPM</t>
  </si>
  <si>
    <t xml:space="preserve">Kouta Internet Kader KPM </t>
  </si>
  <si>
    <t xml:space="preserve">: Lomba Tahfiz Al Quran/Kegiatan Keagamaan </t>
  </si>
  <si>
    <t xml:space="preserve"> Lomba Tahfiz Al Quran/ Kegiatan Keagamaan (Pengajian Rutin)</t>
  </si>
  <si>
    <t>Bayar Snack Pengukuhan Ketua RT</t>
  </si>
  <si>
    <t xml:space="preserve">Bayar Snack Pembentukan Karang Taruna </t>
  </si>
  <si>
    <t xml:space="preserve">Bayar Pembelian Bola lampu Jalan </t>
  </si>
  <si>
    <t xml:space="preserve">Bayar Snack Musyawarah khusus Koperasi Merah Putih </t>
  </si>
  <si>
    <t xml:space="preserve">Snack  </t>
  </si>
  <si>
    <t>Makan Minum 1 keg x 40 org</t>
  </si>
  <si>
    <t xml:space="preserve">Bayar Air Dos Kegiatan TPPS tingkat Kabupaten </t>
  </si>
  <si>
    <t>Biaya Sewa Kipas Angin 2 unit dlm rangka pertemuan TPPS (tim percepatan penurunan stunting)</t>
  </si>
  <si>
    <t xml:space="preserve">Biaya Benner Stop anti Korupsi </t>
  </si>
  <si>
    <t xml:space="preserve">Biaya Perlengkapan Ruangan Posbankum </t>
  </si>
  <si>
    <t>Biaya Transfortasi SDN 122 Barru (Awerange)</t>
  </si>
  <si>
    <t xml:space="preserve">Biaya Transfortasi Karate Go do Jukai dlm rangka pelatihan untuk mengikuti perlombaan </t>
  </si>
  <si>
    <t>Multi vitamin syrup (232 sasaran)</t>
  </si>
  <si>
    <t>Belanja jasa honorarium/transpor kader ke sasaran</t>
  </si>
  <si>
    <t>PMT Ibu Hamil KEK (5 Org x56 hari)</t>
  </si>
  <si>
    <t>: Operasional Pemerintah Desa (PBH)</t>
  </si>
  <si>
    <t>Snack Penetapan ID</t>
  </si>
  <si>
    <t xml:space="preserve">Makan/Minum Penetapan ID </t>
  </si>
  <si>
    <t xml:space="preserve">Spanduk Penetapan ID </t>
  </si>
  <si>
    <t xml:space="preserve">: Bantuan Bibit Tanaman </t>
  </si>
  <si>
    <t>Benih padi</t>
  </si>
  <si>
    <t>KG</t>
  </si>
  <si>
    <t xml:space="preserve">Bantuan Bibit Tanaman (Benih Padi) </t>
  </si>
  <si>
    <t xml:space="preserve">: Pemanfaatan Pekarangan Rumah </t>
  </si>
  <si>
    <t>Tissu</t>
  </si>
  <si>
    <t>Spanduk RT</t>
  </si>
  <si>
    <t>Spanduk Dusun</t>
  </si>
  <si>
    <t>Hadiah Dusun</t>
  </si>
  <si>
    <t>Hadiah Rumah Tangga</t>
  </si>
  <si>
    <t>Bibit Tanaman Sayur-Sayuran</t>
  </si>
  <si>
    <t xml:space="preserve">Pemanfaatan Pekarangan Rumah </t>
  </si>
  <si>
    <t xml:space="preserve">Operasional Pemdes </t>
  </si>
  <si>
    <t xml:space="preserve">Biaya Koperasi Merah putih perbaikan kantor </t>
  </si>
  <si>
    <t>Biaya Pembelian racun</t>
  </si>
  <si>
    <t>Biaya Terpal</t>
  </si>
  <si>
    <t xml:space="preserve">Biaya Sumbangan 17 Agustus </t>
  </si>
  <si>
    <t xml:space="preserve">Biaya Akta Notaris </t>
  </si>
  <si>
    <t>Pemutakhiran Data SDGs Desa dan IDM/ID</t>
  </si>
  <si>
    <t>SPADes</t>
  </si>
  <si>
    <t>Jagir/ PLL</t>
  </si>
  <si>
    <t>Jagir/PLL</t>
  </si>
  <si>
    <t>JAGIR/PLL</t>
  </si>
  <si>
    <t>1. Pangkep</t>
  </si>
  <si>
    <t>2. Makassar</t>
  </si>
  <si>
    <t>3.pare-pare</t>
  </si>
  <si>
    <t>Januari</t>
  </si>
  <si>
    <t>Februari</t>
  </si>
  <si>
    <t>Maret</t>
  </si>
  <si>
    <t>April</t>
  </si>
  <si>
    <t xml:space="preserve">SPPD dalam Kabupaten/kota Kabupaten </t>
  </si>
  <si>
    <t>Mei</t>
  </si>
  <si>
    <t>Juni</t>
  </si>
  <si>
    <t>Juli</t>
  </si>
  <si>
    <t>1. Barru</t>
  </si>
  <si>
    <t>2. Kec. Sopri</t>
  </si>
  <si>
    <t>Agustus</t>
  </si>
  <si>
    <t>September</t>
  </si>
  <si>
    <t>Oktober</t>
  </si>
  <si>
    <t>November</t>
  </si>
  <si>
    <t>Desember</t>
  </si>
  <si>
    <t xml:space="preserve">Proposal Karang Taruna </t>
  </si>
  <si>
    <t>Proposal Pembelian Bola Pemuda Awerange</t>
  </si>
  <si>
    <t>Proposal Alkap Futsal Pemuda Ujunge</t>
  </si>
  <si>
    <t>Pembinaan PKK</t>
  </si>
  <si>
    <t>Biaya konsumsi kunjungan rumah Gizi</t>
  </si>
  <si>
    <t>PMT Anak Stunting Berbahan Lokal  31 orang X 56 hari</t>
  </si>
  <si>
    <t>PMT Anak Gizi Buruk 4 orang X 56 hari</t>
  </si>
  <si>
    <t>PMT Anak tidak naik berat badan 93 orang X 14 hari</t>
  </si>
  <si>
    <t>PMT Anak gizi kurang 20 orang X 14 hari</t>
  </si>
  <si>
    <t>PMT Anak BB kurang gizi normal 34 orang X 14 hari</t>
  </si>
  <si>
    <t>PMT Anak underwight 12 orang X 14 hari</t>
  </si>
  <si>
    <t>Akomodasi kegiatan Run To Barru</t>
  </si>
  <si>
    <t>DISPENSER</t>
  </si>
  <si>
    <t>SETRIKA</t>
  </si>
  <si>
    <t>Baju Seragam Panitia 7 Org</t>
  </si>
  <si>
    <t>Grobak Artco untuk kerja bakti</t>
  </si>
  <si>
    <t>SISKEUDES</t>
  </si>
  <si>
    <t>DAERAH</t>
  </si>
  <si>
    <t>Pembuatan batas tanah kuburan Dusun Ujunge</t>
  </si>
  <si>
    <t>Akomadasi Pengantaran Sekolah Rakyat di Desa Harapan</t>
  </si>
  <si>
    <t>Biaya Tim  Volly Putri antar desa kab barru</t>
  </si>
  <si>
    <t>Biaya Penyuluhan Hukum terkait KDMP</t>
  </si>
  <si>
    <t>Partisipasi kegiatan Maulid Akbar</t>
  </si>
  <si>
    <t>01. Snack (12 Keg x 21 org )</t>
  </si>
  <si>
    <t>Proposal Futsal Tarkam Kab. Barru</t>
  </si>
  <si>
    <t>Kontribusi  perangkat desa</t>
  </si>
  <si>
    <t>Seragam SKBKT</t>
  </si>
  <si>
    <t>Makan Minum SKBKT</t>
  </si>
  <si>
    <t>Sewa Mobil</t>
  </si>
  <si>
    <t>Mbl</t>
  </si>
  <si>
    <t>STUNTING</t>
  </si>
  <si>
    <t>GIZI KURANG</t>
  </si>
  <si>
    <t>BB TIDAK NAIK</t>
  </si>
  <si>
    <t>BB KURANG</t>
  </si>
  <si>
    <t>BUMIL KEK</t>
  </si>
  <si>
    <t>TRANSPOR</t>
  </si>
  <si>
    <t>SPPD Kecamatan</t>
  </si>
  <si>
    <t>SPPD Kabupaten</t>
  </si>
  <si>
    <t>SPPD luar Kabupaten dalam Provinsi</t>
  </si>
  <si>
    <t>Besi Beton Polos Ø 6</t>
  </si>
  <si>
    <t>Besi Beton Polos Ø 10</t>
  </si>
  <si>
    <t>Kawat  17-10</t>
  </si>
  <si>
    <t>Kawat  18-10</t>
  </si>
  <si>
    <t>Hollow</t>
  </si>
  <si>
    <t>Spandek 0,35 x 1 M</t>
  </si>
  <si>
    <t>Spandek 0,35 x 13 M</t>
  </si>
  <si>
    <t>Harmonika</t>
  </si>
  <si>
    <t>Baut spandek 5 cm</t>
  </si>
  <si>
    <t>Baut spandek 2 cm</t>
  </si>
  <si>
    <t>Cipping</t>
  </si>
  <si>
    <t>`</t>
  </si>
  <si>
    <t>Perbaikan Jalanan di RT. 04 Dusun Batupute</t>
  </si>
  <si>
    <t xml:space="preserve">\ </t>
  </si>
  <si>
    <t>BPJS</t>
  </si>
  <si>
    <t>Upah Tukang</t>
  </si>
  <si>
    <t>ttl sampah</t>
  </si>
  <si>
    <t>sisa</t>
  </si>
  <si>
    <t>Pemasangan lampu</t>
  </si>
  <si>
    <t>Pembeliaan Karung untuk pengisian pasir yg longsor</t>
  </si>
  <si>
    <t>Jilid LPJ ( 1 bulan x 3 rangkap x 10 bulan )</t>
  </si>
  <si>
    <t>PAJAKNYA BERMASLAH</t>
  </si>
  <si>
    <t>SPPD Luar Kabupaten dalam Provinsi</t>
  </si>
  <si>
    <t>POKOK</t>
  </si>
  <si>
    <t>PERUBAHAN</t>
  </si>
  <si>
    <t>Honor Praktisi Khusus (6 Jam x 2 Hari)</t>
  </si>
  <si>
    <t>Penjepit Kertas</t>
  </si>
  <si>
    <t>DATA WEBSITE</t>
  </si>
  <si>
    <t>Eselonj II</t>
  </si>
  <si>
    <t>Penebangan pohon  Konsumsi</t>
  </si>
  <si>
    <t>Rumah kena angin kencang ( An. Sudirman)</t>
  </si>
  <si>
    <t>Rumah kena angin kencang ( An. Muliadi)</t>
  </si>
  <si>
    <t>pkt</t>
  </si>
  <si>
    <t>akomodasi tranfor masyarakat kecelakaan</t>
  </si>
  <si>
    <t>Perbaikan Jalanan di RT. 01 Dusun Awerange</t>
  </si>
  <si>
    <t>Perlengkapan Posko Bencana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</si>
</sst>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_);\(&quot;$&quot;#,##0.00\)"/>
    <numFmt numFmtId="165" formatCode="_(* #,##0_);_(* \(#,##0\);_(* &quot;-&quot;_);_(@_)"/>
    <numFmt numFmtId="166" formatCode="_(* #,##0.00_);_(* \(#,##0.00\);_(* &quot;-&quot;??_);_(@_)"/>
    <numFmt numFmtId="167" formatCode="_(* #,##0.00_);_(* \(#,##0.00\);_(* &quot;-&quot;_);_(@_)"/>
    <numFmt numFmtId="168" formatCode="_-[$Rp-421]* #,##0.00_-;\-[$Rp-421]* #,##0.00_-;_-[$Rp-421]* &quot;-&quot;??_-;_-@_-"/>
    <numFmt numFmtId="169" formatCode="_(* #,##0_);_(* \(#,##0\);_(* &quot;-&quot;??_);_(@_)"/>
    <numFmt numFmtId="170" formatCode="_(* #,##0.00000000_);_(* \(#,##0.00000000\);_(* &quot;-&quot;_);_(@_)"/>
    <numFmt numFmtId="171" formatCode="_-* #,##0.0_-;\-* #,##0.0_-;_-* &quot;-&quot;?_-;_-@_-"/>
    <numFmt numFmtId="172" formatCode="0,000.00"/>
    <numFmt numFmtId="173" formatCode="00,"/>
    <numFmt numFmtId="174" formatCode="00,000.00"/>
    <numFmt numFmtId="175" formatCode="_-* #,##0_-;\-* #,##0_-;_-* &quot;-&quot;??_-;_-@_-"/>
    <numFmt numFmtId="176" formatCode="0,000"/>
    <numFmt numFmtId="177" formatCode="_(* #,##0.00000000_);_(* \(#,##0.00000000\);_(* &quot;-&quot;??_);_(@_)"/>
    <numFmt numFmtId="178" formatCode="000.00"/>
    <numFmt numFmtId="179" formatCode="000"/>
    <numFmt numFmtId="180" formatCode="0,000,000.00"/>
    <numFmt numFmtId="181" formatCode="_-* #,##0_-;\-* #,##0_-;_-* &quot;-&quot;?_-;_-@_-"/>
  </numFmts>
  <fonts count="11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sz val="10"/>
      <name val="Helv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2"/>
      <name val="Arial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16"/>
      <color rgb="FF000000"/>
      <name val="Arial"/>
      <family val="2"/>
    </font>
    <font>
      <sz val="11"/>
      <color indexed="8"/>
      <name val="Calibri Light"/>
      <family val="2"/>
    </font>
    <font>
      <sz val="11"/>
      <name val="Calibri Light"/>
      <family val="2"/>
    </font>
    <font>
      <sz val="11"/>
      <color theme="1"/>
      <name val="Calibri Light"/>
      <family val="2"/>
    </font>
    <font>
      <b/>
      <sz val="18"/>
      <name val="Arial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16"/>
      <color rgb="FFFF0000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FF0000"/>
      <name val="Arial"/>
      <family val="2"/>
    </font>
    <font>
      <b/>
      <sz val="14"/>
      <color rgb="FF00B050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rgb="FF00B050"/>
      <name val="Arial"/>
      <family val="2"/>
    </font>
    <font>
      <b/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4"/>
      <color rgb="FFFF0066"/>
      <name val="Times New Roman"/>
      <family val="1"/>
    </font>
    <font>
      <b/>
      <sz val="14"/>
      <name val="Times New Roman"/>
      <family val="1"/>
    </font>
    <font>
      <sz val="12"/>
      <color rgb="FF000000"/>
      <name val="Times New Roman"/>
      <family val="1"/>
    </font>
    <font>
      <b/>
      <sz val="16"/>
      <color rgb="FFFF0000"/>
      <name val="Calibri"/>
      <family val="2"/>
    </font>
    <font>
      <b/>
      <sz val="11"/>
      <color indexed="8"/>
      <name val="Calibri Light"/>
      <family val="2"/>
    </font>
    <font>
      <b/>
      <sz val="11"/>
      <name val="Calibri Light"/>
      <family val="2"/>
    </font>
    <font>
      <sz val="12"/>
      <color indexed="8"/>
      <name val="Calibri Light"/>
      <family val="2"/>
    </font>
    <font>
      <sz val="13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</font>
    <font>
      <sz val="26"/>
      <color rgb="FF000000"/>
      <name val="Arial"/>
      <family val="2"/>
    </font>
    <font>
      <sz val="10"/>
      <color indexed="8"/>
      <name val="Calibri Light"/>
      <family val="2"/>
    </font>
    <font>
      <sz val="12"/>
      <name val="Bookman Old Style"/>
      <family val="1"/>
    </font>
    <font>
      <sz val="12"/>
      <name val="Calibri Light"/>
      <family val="2"/>
    </font>
    <font>
      <sz val="13"/>
      <name val="Calibri Light"/>
      <family val="2"/>
    </font>
    <font>
      <b/>
      <sz val="12"/>
      <name val="Bookman Old Style"/>
      <family val="1"/>
    </font>
    <font>
      <sz val="10"/>
      <name val="Bookman Old Style"/>
      <family val="1"/>
    </font>
    <font>
      <sz val="10"/>
      <name val="Times New Roman"/>
      <family val="1"/>
    </font>
    <font>
      <b/>
      <sz val="12"/>
      <name val="Trebuchet MS"/>
      <family val="2"/>
    </font>
    <font>
      <sz val="12"/>
      <name val="Trebuchet MS"/>
      <family val="2"/>
    </font>
    <font>
      <sz val="11"/>
      <name val="Calibri"/>
      <family val="2"/>
      <scheme val="minor"/>
    </font>
    <font>
      <sz val="13"/>
      <color indexed="8"/>
      <name val="Calibri Light"/>
      <family val="2"/>
    </font>
    <font>
      <b/>
      <sz val="12"/>
      <color rgb="FFFF0066"/>
      <name val="Times New Roman"/>
      <family val="1"/>
    </font>
    <font>
      <b/>
      <sz val="14"/>
      <color rgb="FFFF0000"/>
      <name val="Times New Roman"/>
      <family val="1"/>
    </font>
    <font>
      <sz val="10"/>
      <name val="Calibri Light"/>
      <family val="2"/>
    </font>
    <font>
      <sz val="12"/>
      <name val="Calibri"/>
      <family val="2"/>
    </font>
    <font>
      <sz val="9"/>
      <name val="Bookman Old Style"/>
      <family val="1"/>
    </font>
    <font>
      <sz val="11"/>
      <color rgb="FFFF0000"/>
      <name val="Calibri Light"/>
      <family val="2"/>
    </font>
    <font>
      <sz val="12"/>
      <color theme="2"/>
      <name val="Arial"/>
      <family val="2"/>
    </font>
    <font>
      <sz val="16"/>
      <color rgb="FF000000"/>
      <name val="Times New Roman"/>
      <family val="1"/>
    </font>
    <font>
      <b/>
      <sz val="16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name val="Times New Roman"/>
      <charset val="204"/>
    </font>
    <font>
      <b/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rgb="FF000000"/>
      <name val="Times New Roman"/>
      <family val="1"/>
    </font>
    <font>
      <sz val="14"/>
      <color rgb="FFFF0000"/>
      <name val="Times New Roman"/>
      <family val="1"/>
    </font>
    <font>
      <b/>
      <sz val="14"/>
      <color rgb="FFFF0000"/>
      <name val="Calibri"/>
      <family val="2"/>
    </font>
    <font>
      <sz val="22"/>
      <color theme="1"/>
      <name val="Arial"/>
      <family val="2"/>
    </font>
    <font>
      <sz val="12"/>
      <color rgb="FFFF0000"/>
      <name val="Calibri Light"/>
      <family val="2"/>
    </font>
    <font>
      <sz val="13"/>
      <color rgb="FFFF0000"/>
      <name val="Calibri Light"/>
      <family val="2"/>
    </font>
    <font>
      <sz val="12"/>
      <color rgb="FFFF0000"/>
      <name val="Bookman Old Style"/>
      <family val="1"/>
    </font>
    <font>
      <b/>
      <sz val="16"/>
      <color rgb="FFFF000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2"/>
      <color rgb="FF00B050"/>
      <name val="Times New Roman"/>
      <family val="1"/>
    </font>
    <font>
      <sz val="9"/>
      <color rgb="FF000000"/>
      <name val="Arial"/>
      <family val="2"/>
    </font>
    <font>
      <b/>
      <sz val="16"/>
      <name val="Times New Roman"/>
      <family val="1"/>
    </font>
    <font>
      <b/>
      <sz val="14"/>
      <color rgb="FF00B05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7030A0"/>
        <bgColor indexed="64"/>
      </patternFill>
    </fill>
  </fills>
  <borders count="8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ck">
        <color auto="1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rgb="FF000000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</borders>
  <cellStyleXfs count="29">
    <xf numFmtId="0" fontId="0" fillId="0" borderId="0"/>
    <xf numFmtId="165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12" fillId="0" borderId="0"/>
    <xf numFmtId="40" fontId="13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0" fillId="0" borderId="0"/>
    <xf numFmtId="0" fontId="21" fillId="0" borderId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" fillId="0" borderId="0"/>
    <xf numFmtId="0" fontId="14" fillId="0" borderId="0"/>
    <xf numFmtId="165" fontId="1" fillId="0" borderId="0" applyFont="0" applyFill="0" applyBorder="0" applyAlignment="0" applyProtection="0"/>
    <xf numFmtId="166" fontId="14" fillId="0" borderId="0" applyFont="0" applyFill="0" applyBorder="0" applyAlignment="0" applyProtection="0"/>
  </cellStyleXfs>
  <cellXfs count="1843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7" fillId="0" borderId="0" xfId="0" applyFont="1" applyAlignment="1">
      <alignment horizontal="left" vertical="top"/>
    </xf>
    <xf numFmtId="167" fontId="0" fillId="0" borderId="0" xfId="1" applyNumberFormat="1" applyFont="1" applyAlignment="1">
      <alignment horizontal="left" vertical="top"/>
    </xf>
    <xf numFmtId="0" fontId="0" fillId="0" borderId="0" xfId="0" applyAlignment="1">
      <alignment horizontal="center" vertical="center"/>
    </xf>
    <xf numFmtId="167" fontId="7" fillId="0" borderId="0" xfId="1" applyNumberFormat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168" fontId="4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0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left" vertical="center"/>
    </xf>
    <xf numFmtId="0" fontId="10" fillId="0" borderId="35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7" fontId="23" fillId="0" borderId="0" xfId="1" applyNumberFormat="1" applyFont="1" applyAlignment="1">
      <alignment horizontal="left" vertical="center"/>
    </xf>
    <xf numFmtId="167" fontId="10" fillId="0" borderId="0" xfId="1" applyNumberFormat="1" applyFont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167" fontId="10" fillId="0" borderId="0" xfId="1" applyNumberFormat="1" applyFont="1" applyAlignment="1">
      <alignment horizontal="left" vertical="top"/>
    </xf>
    <xf numFmtId="1" fontId="16" fillId="0" borderId="25" xfId="0" applyNumberFormat="1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wrapText="1"/>
    </xf>
    <xf numFmtId="0" fontId="16" fillId="0" borderId="8" xfId="1" applyNumberFormat="1" applyFont="1" applyFill="1" applyBorder="1" applyAlignment="1">
      <alignment horizontal="center" vertical="center" shrinkToFit="1"/>
    </xf>
    <xf numFmtId="0" fontId="24" fillId="0" borderId="8" xfId="1" applyNumberFormat="1" applyFont="1" applyFill="1" applyBorder="1" applyAlignment="1">
      <alignment horizontal="center" vertical="center" shrinkToFit="1"/>
    </xf>
    <xf numFmtId="169" fontId="16" fillId="0" borderId="13" xfId="3" applyNumberFormat="1" applyFont="1" applyFill="1" applyBorder="1" applyAlignment="1" applyProtection="1">
      <alignment horizontal="right" vertical="center"/>
      <protection locked="0"/>
    </xf>
    <xf numFmtId="165" fontId="16" fillId="0" borderId="10" xfId="0" applyNumberFormat="1" applyFont="1" applyBorder="1" applyAlignment="1">
      <alignment horizontal="right" vertical="center" shrinkToFit="1"/>
    </xf>
    <xf numFmtId="165" fontId="16" fillId="0" borderId="8" xfId="3" applyNumberFormat="1" applyFont="1" applyFill="1" applyBorder="1" applyAlignment="1">
      <alignment horizontal="right" vertical="center" shrinkToFit="1"/>
    </xf>
    <xf numFmtId="165" fontId="24" fillId="0" borderId="8" xfId="3" applyNumberFormat="1" applyFont="1" applyFill="1" applyBorder="1" applyAlignment="1">
      <alignment horizontal="right" vertical="center" shrinkToFit="1"/>
    </xf>
    <xf numFmtId="167" fontId="16" fillId="0" borderId="0" xfId="1" applyNumberFormat="1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" fontId="16" fillId="0" borderId="13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/>
    </xf>
    <xf numFmtId="1" fontId="10" fillId="0" borderId="25" xfId="0" applyNumberFormat="1" applyFont="1" applyBorder="1" applyAlignment="1">
      <alignment horizontal="center" vertical="center" shrinkToFit="1"/>
    </xf>
    <xf numFmtId="1" fontId="22" fillId="0" borderId="13" xfId="0" applyNumberFormat="1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165" fontId="11" fillId="0" borderId="31" xfId="0" applyNumberFormat="1" applyFont="1" applyBorder="1" applyAlignment="1">
      <alignment horizontal="left" vertical="center"/>
    </xf>
    <xf numFmtId="165" fontId="11" fillId="0" borderId="31" xfId="1" applyFont="1" applyFill="1" applyBorder="1" applyAlignment="1">
      <alignment horizontal="center" vertical="center" shrinkToFit="1"/>
    </xf>
    <xf numFmtId="0" fontId="25" fillId="0" borderId="31" xfId="1" applyNumberFormat="1" applyFont="1" applyFill="1" applyBorder="1" applyAlignment="1">
      <alignment horizontal="center" vertical="center" shrinkToFit="1"/>
    </xf>
    <xf numFmtId="165" fontId="11" fillId="0" borderId="31" xfId="0" applyNumberFormat="1" applyFont="1" applyBorder="1" applyAlignment="1">
      <alignment horizontal="right" vertical="center" shrinkToFit="1"/>
    </xf>
    <xf numFmtId="167" fontId="11" fillId="0" borderId="0" xfId="1" applyNumberFormat="1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5" fillId="0" borderId="0" xfId="1" applyFont="1" applyAlignment="1">
      <alignment horizontal="left" vertical="center"/>
    </xf>
    <xf numFmtId="165" fontId="26" fillId="0" borderId="0" xfId="1" applyFont="1" applyAlignment="1">
      <alignment horizontal="left" vertical="center"/>
    </xf>
    <xf numFmtId="165" fontId="26" fillId="0" borderId="0" xfId="0" applyNumberFormat="1" applyFont="1" applyAlignment="1">
      <alignment horizontal="left" vertical="center"/>
    </xf>
    <xf numFmtId="3" fontId="26" fillId="0" borderId="0" xfId="0" applyNumberFormat="1" applyFont="1" applyAlignment="1">
      <alignment horizontal="right" vertical="center"/>
    </xf>
    <xf numFmtId="165" fontId="25" fillId="0" borderId="20" xfId="0" applyNumberFormat="1" applyFont="1" applyBorder="1" applyAlignment="1">
      <alignment horizontal="left" vertical="center"/>
    </xf>
    <xf numFmtId="171" fontId="24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top"/>
    </xf>
    <xf numFmtId="1" fontId="16" fillId="0" borderId="0" xfId="1" applyNumberFormat="1" applyFont="1" applyFill="1" applyBorder="1" applyAlignment="1">
      <alignment horizontal="center" vertical="center" shrinkToFit="1"/>
    </xf>
    <xf numFmtId="1" fontId="24" fillId="0" borderId="0" xfId="1" applyNumberFormat="1" applyFont="1" applyFill="1" applyBorder="1" applyAlignment="1">
      <alignment horizontal="center" vertical="center" shrinkToFit="1"/>
    </xf>
    <xf numFmtId="165" fontId="16" fillId="0" borderId="0" xfId="0" applyNumberFormat="1" applyFont="1" applyAlignment="1">
      <alignment horizontal="right" vertical="center" shrinkToFit="1"/>
    </xf>
    <xf numFmtId="168" fontId="10" fillId="0" borderId="0" xfId="0" applyNumberFormat="1" applyFont="1" applyAlignment="1">
      <alignment horizontal="left" vertical="top"/>
    </xf>
    <xf numFmtId="165" fontId="24" fillId="0" borderId="0" xfId="1" applyFont="1" applyFill="1" applyBorder="1" applyAlignment="1">
      <alignment horizontal="right"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11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165" fontId="26" fillId="2" borderId="0" xfId="1" applyFont="1" applyFill="1" applyAlignment="1">
      <alignment horizontal="left" vertical="center"/>
    </xf>
    <xf numFmtId="165" fontId="10" fillId="0" borderId="8" xfId="20" applyNumberFormat="1" applyFont="1" applyFill="1" applyBorder="1" applyAlignment="1">
      <alignment horizontal="left" vertical="center"/>
    </xf>
    <xf numFmtId="165" fontId="16" fillId="0" borderId="8" xfId="20" applyNumberFormat="1" applyFont="1" applyBorder="1" applyAlignment="1">
      <alignment horizontal="right" vertical="center" shrinkToFit="1"/>
    </xf>
    <xf numFmtId="165" fontId="24" fillId="0" borderId="8" xfId="20" applyNumberFormat="1" applyFont="1" applyBorder="1" applyAlignment="1">
      <alignment horizontal="right" vertical="center" shrinkToFit="1"/>
    </xf>
    <xf numFmtId="165" fontId="24" fillId="0" borderId="10" xfId="20" applyNumberFormat="1" applyFont="1" applyBorder="1" applyAlignment="1">
      <alignment horizontal="right" vertical="center" shrinkToFit="1"/>
    </xf>
    <xf numFmtId="165" fontId="24" fillId="0" borderId="10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/>
    </xf>
    <xf numFmtId="165" fontId="24" fillId="0" borderId="26" xfId="20" applyNumberFormat="1" applyFont="1" applyFill="1" applyBorder="1" applyAlignment="1">
      <alignment horizontal="right" vertical="center"/>
    </xf>
    <xf numFmtId="0" fontId="28" fillId="0" borderId="18" xfId="0" applyFont="1" applyBorder="1" applyAlignment="1">
      <alignment vertical="center"/>
    </xf>
    <xf numFmtId="165" fontId="11" fillId="0" borderId="31" xfId="0" applyNumberFormat="1" applyFont="1" applyBorder="1" applyAlignment="1">
      <alignment horizontal="center" vertical="center"/>
    </xf>
    <xf numFmtId="165" fontId="25" fillId="0" borderId="31" xfId="20" applyNumberFormat="1" applyFont="1" applyBorder="1" applyAlignment="1">
      <alignment horizontal="right" vertical="center"/>
    </xf>
    <xf numFmtId="165" fontId="25" fillId="0" borderId="31" xfId="20" applyNumberFormat="1" applyFont="1" applyBorder="1" applyAlignment="1">
      <alignment horizontal="right" vertical="center" shrinkToFit="1"/>
    </xf>
    <xf numFmtId="169" fontId="27" fillId="0" borderId="0" xfId="20" applyNumberFormat="1" applyFont="1" applyFill="1" applyBorder="1" applyAlignment="1" applyProtection="1">
      <alignment horizontal="center" vertical="center"/>
      <protection locked="0"/>
    </xf>
    <xf numFmtId="169" fontId="27" fillId="0" borderId="0" xfId="20" applyNumberFormat="1" applyFont="1" applyFill="1" applyBorder="1" applyAlignment="1" applyProtection="1">
      <alignment vertical="center"/>
      <protection locked="0"/>
    </xf>
    <xf numFmtId="1" fontId="22" fillId="0" borderId="14" xfId="0" applyNumberFormat="1" applyFont="1" applyBorder="1" applyAlignment="1" applyProtection="1">
      <alignment horizontal="center" vertical="center"/>
      <protection locked="0"/>
    </xf>
    <xf numFmtId="1" fontId="16" fillId="0" borderId="15" xfId="0" applyNumberFormat="1" applyFont="1" applyBorder="1" applyAlignment="1" applyProtection="1">
      <alignment horizontal="center" vertical="center"/>
      <protection locked="0"/>
    </xf>
    <xf numFmtId="169" fontId="22" fillId="0" borderId="15" xfId="20" applyNumberFormat="1" applyFont="1" applyFill="1" applyBorder="1" applyAlignment="1" applyProtection="1">
      <alignment horizontal="right" vertical="center"/>
      <protection locked="0"/>
    </xf>
    <xf numFmtId="1" fontId="28" fillId="0" borderId="25" xfId="0" applyNumberFormat="1" applyFont="1" applyBorder="1" applyAlignment="1">
      <alignment horizontal="center" vertical="center" shrinkToFit="1"/>
    </xf>
    <xf numFmtId="0" fontId="28" fillId="0" borderId="8" xfId="0" applyFont="1" applyBorder="1" applyAlignment="1">
      <alignment horizontal="center" vertical="center" wrapText="1"/>
    </xf>
    <xf numFmtId="169" fontId="28" fillId="0" borderId="14" xfId="23" applyNumberFormat="1" applyFont="1" applyFill="1" applyBorder="1" applyAlignment="1" applyProtection="1">
      <alignment vertical="center"/>
      <protection locked="0"/>
    </xf>
    <xf numFmtId="0" fontId="28" fillId="0" borderId="8" xfId="1" applyNumberFormat="1" applyFont="1" applyFill="1" applyBorder="1" applyAlignment="1">
      <alignment horizontal="center" vertical="center" shrinkToFit="1"/>
    </xf>
    <xf numFmtId="0" fontId="26" fillId="0" borderId="8" xfId="1" applyNumberFormat="1" applyFont="1" applyFill="1" applyBorder="1" applyAlignment="1">
      <alignment horizontal="center" vertical="center" shrinkToFit="1"/>
    </xf>
    <xf numFmtId="165" fontId="28" fillId="0" borderId="0" xfId="1" applyFont="1" applyFill="1" applyBorder="1" applyAlignment="1">
      <alignment horizontal="left" vertical="center"/>
    </xf>
    <xf numFmtId="167" fontId="28" fillId="0" borderId="0" xfId="1" applyNumberFormat="1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169" fontId="32" fillId="0" borderId="13" xfId="3" applyNumberFormat="1" applyFont="1" applyBorder="1" applyAlignment="1" applyProtection="1">
      <alignment horizontal="right" vertical="center"/>
      <protection locked="0"/>
    </xf>
    <xf numFmtId="169" fontId="28" fillId="0" borderId="10" xfId="3" applyNumberFormat="1" applyFont="1" applyBorder="1" applyAlignment="1">
      <alignment horizontal="right" vertical="center" shrinkToFit="1"/>
    </xf>
    <xf numFmtId="169" fontId="28" fillId="0" borderId="8" xfId="3" applyNumberFormat="1" applyFont="1" applyBorder="1" applyAlignment="1">
      <alignment horizontal="right" vertical="center" shrinkToFit="1"/>
    </xf>
    <xf numFmtId="169" fontId="26" fillId="0" borderId="8" xfId="3" applyNumberFormat="1" applyFont="1" applyBorder="1" applyAlignment="1">
      <alignment horizontal="right" vertical="center" shrinkToFit="1"/>
    </xf>
    <xf numFmtId="169" fontId="26" fillId="0" borderId="10" xfId="3" applyNumberFormat="1" applyFont="1" applyBorder="1" applyAlignment="1">
      <alignment horizontal="right" vertical="center" shrinkToFit="1"/>
    </xf>
    <xf numFmtId="169" fontId="26" fillId="0" borderId="10" xfId="3" applyNumberFormat="1" applyFont="1" applyFill="1" applyBorder="1" applyAlignment="1">
      <alignment horizontal="right" vertical="center" shrinkToFit="1"/>
    </xf>
    <xf numFmtId="169" fontId="26" fillId="0" borderId="8" xfId="3" applyNumberFormat="1" applyFont="1" applyFill="1" applyBorder="1" applyAlignment="1">
      <alignment horizontal="right" vertical="center"/>
    </xf>
    <xf numFmtId="169" fontId="26" fillId="0" borderId="26" xfId="3" applyNumberFormat="1" applyFont="1" applyFill="1" applyBorder="1" applyAlignment="1">
      <alignment horizontal="right" vertical="center"/>
    </xf>
    <xf numFmtId="169" fontId="11" fillId="0" borderId="31" xfId="3" applyNumberFormat="1" applyFont="1" applyBorder="1" applyAlignment="1">
      <alignment horizontal="left" vertical="center"/>
    </xf>
    <xf numFmtId="169" fontId="11" fillId="0" borderId="31" xfId="3" applyNumberFormat="1" applyFont="1" applyBorder="1" applyAlignment="1">
      <alignment horizontal="right" vertical="center" shrinkToFit="1"/>
    </xf>
    <xf numFmtId="169" fontId="25" fillId="0" borderId="31" xfId="3" applyNumberFormat="1" applyFont="1" applyBorder="1" applyAlignment="1">
      <alignment horizontal="right" vertical="center"/>
    </xf>
    <xf numFmtId="169" fontId="25" fillId="0" borderId="31" xfId="3" applyNumberFormat="1" applyFont="1" applyBorder="1" applyAlignment="1">
      <alignment horizontal="right" vertical="center" shrinkToFi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0" fontId="33" fillId="0" borderId="24" xfId="0" applyFont="1" applyBorder="1" applyAlignment="1">
      <alignment horizontal="left" vertical="center" wrapText="1"/>
    </xf>
    <xf numFmtId="167" fontId="35" fillId="0" borderId="0" xfId="1" applyNumberFormat="1" applyFont="1" applyAlignment="1">
      <alignment horizontal="left" vertical="center"/>
    </xf>
    <xf numFmtId="167" fontId="34" fillId="0" borderId="0" xfId="1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3" fillId="0" borderId="5" xfId="0" applyFont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/>
    </xf>
    <xf numFmtId="0" fontId="33" fillId="0" borderId="5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3" fillId="0" borderId="22" xfId="0" applyFont="1" applyBorder="1" applyAlignment="1">
      <alignment horizontal="left" vertical="center" wrapText="1"/>
    </xf>
    <xf numFmtId="0" fontId="23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169" fontId="25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0" xfId="25" applyAlignment="1">
      <alignment horizontal="left" vertical="top"/>
    </xf>
    <xf numFmtId="0" fontId="4" fillId="0" borderId="0" xfId="25" applyFont="1" applyAlignment="1">
      <alignment horizontal="center" vertical="top"/>
    </xf>
    <xf numFmtId="0" fontId="4" fillId="0" borderId="0" xfId="25" applyFont="1" applyAlignment="1">
      <alignment horizontal="left" vertical="top"/>
    </xf>
    <xf numFmtId="0" fontId="4" fillId="0" borderId="0" xfId="25" applyFont="1" applyAlignment="1">
      <alignment horizontal="center" vertical="center"/>
    </xf>
    <xf numFmtId="168" fontId="4" fillId="0" borderId="0" xfId="25" applyNumberFormat="1" applyFont="1" applyAlignment="1">
      <alignment horizontal="left" vertical="top"/>
    </xf>
    <xf numFmtId="0" fontId="5" fillId="0" borderId="0" xfId="25" applyAlignment="1">
      <alignment horizontal="center" vertical="center"/>
    </xf>
    <xf numFmtId="0" fontId="6" fillId="0" borderId="0" xfId="25" applyFont="1" applyAlignment="1">
      <alignment horizontal="center" vertical="center"/>
    </xf>
    <xf numFmtId="0" fontId="7" fillId="0" borderId="0" xfId="25" applyFont="1" applyAlignment="1">
      <alignment horizontal="left" vertical="top"/>
    </xf>
    <xf numFmtId="0" fontId="18" fillId="0" borderId="0" xfId="25" applyFont="1" applyAlignment="1">
      <alignment horizontal="left" vertical="top"/>
    </xf>
    <xf numFmtId="0" fontId="3" fillId="0" borderId="0" xfId="25" applyFont="1" applyAlignment="1">
      <alignment horizontal="left" vertical="top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167" fontId="25" fillId="0" borderId="0" xfId="1" applyNumberFormat="1" applyFont="1" applyAlignment="1">
      <alignment horizontal="left" vertical="center"/>
    </xf>
    <xf numFmtId="0" fontId="31" fillId="0" borderId="18" xfId="0" applyFont="1" applyBorder="1" applyAlignment="1" applyProtection="1">
      <alignment horizontal="left" vertical="center"/>
      <protection locked="0"/>
    </xf>
    <xf numFmtId="169" fontId="31" fillId="0" borderId="13" xfId="15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left" vertical="center"/>
    </xf>
    <xf numFmtId="0" fontId="4" fillId="0" borderId="0" xfId="25" applyFont="1" applyAlignment="1">
      <alignment horizontal="left" vertical="center"/>
    </xf>
    <xf numFmtId="0" fontId="30" fillId="0" borderId="18" xfId="0" applyFont="1" applyBorder="1" applyAlignment="1" applyProtection="1">
      <alignment vertical="center"/>
      <protection locked="0"/>
    </xf>
    <xf numFmtId="0" fontId="37" fillId="0" borderId="15" xfId="0" applyFont="1" applyBorder="1" applyAlignment="1" applyProtection="1">
      <alignment horizontal="center" vertical="center"/>
      <protection locked="0"/>
    </xf>
    <xf numFmtId="0" fontId="30" fillId="0" borderId="14" xfId="0" applyFont="1" applyBorder="1" applyAlignment="1">
      <alignment horizontal="center" vertical="center"/>
    </xf>
    <xf numFmtId="1" fontId="16" fillId="0" borderId="13" xfId="13" applyNumberFormat="1" applyFont="1" applyBorder="1" applyAlignment="1" applyProtection="1">
      <alignment horizontal="center" vertical="center"/>
      <protection locked="0"/>
    </xf>
    <xf numFmtId="0" fontId="39" fillId="0" borderId="14" xfId="19" applyFont="1" applyBorder="1" applyAlignment="1">
      <alignment vertical="center"/>
    </xf>
    <xf numFmtId="1" fontId="22" fillId="0" borderId="14" xfId="0" applyNumberFormat="1" applyFont="1" applyBorder="1" applyAlignment="1" applyProtection="1">
      <alignment vertical="center"/>
      <protection locked="0"/>
    </xf>
    <xf numFmtId="0" fontId="26" fillId="0" borderId="14" xfId="19" applyFont="1" applyBorder="1" applyAlignment="1">
      <alignment vertical="center"/>
    </xf>
    <xf numFmtId="1" fontId="37" fillId="0" borderId="13" xfId="0" applyNumberFormat="1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>
      <alignment horizontal="center" vertical="center" wrapText="1"/>
    </xf>
    <xf numFmtId="0" fontId="22" fillId="0" borderId="8" xfId="0" applyFont="1" applyBorder="1" applyAlignment="1">
      <alignment vertical="center"/>
    </xf>
    <xf numFmtId="173" fontId="24" fillId="0" borderId="8" xfId="0" applyNumberFormat="1" applyFont="1" applyBorder="1" applyAlignment="1" applyProtection="1">
      <alignment vertical="center"/>
      <protection locked="0"/>
    </xf>
    <xf numFmtId="165" fontId="22" fillId="0" borderId="13" xfId="18" applyFont="1" applyFill="1" applyBorder="1" applyAlignment="1" applyProtection="1">
      <alignment horizontal="center" vertical="center"/>
      <protection locked="0"/>
    </xf>
    <xf numFmtId="0" fontId="37" fillId="0" borderId="39" xfId="0" applyFont="1" applyBorder="1" applyAlignment="1">
      <alignment vertical="center"/>
    </xf>
    <xf numFmtId="169" fontId="30" fillId="0" borderId="13" xfId="15" applyNumberFormat="1" applyFont="1" applyFill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0" fontId="16" fillId="0" borderId="44" xfId="0" applyFont="1" applyBorder="1" applyAlignment="1">
      <alignment horizontal="left" vertical="center"/>
    </xf>
    <xf numFmtId="0" fontId="16" fillId="0" borderId="44" xfId="0" applyFont="1" applyBorder="1" applyAlignment="1">
      <alignment horizontal="left" vertical="center" wrapText="1"/>
    </xf>
    <xf numFmtId="169" fontId="0" fillId="0" borderId="0" xfId="0" applyNumberFormat="1" applyAlignment="1">
      <alignment horizontal="left" vertical="top"/>
    </xf>
    <xf numFmtId="9" fontId="26" fillId="0" borderId="0" xfId="2" applyFont="1" applyFill="1" applyBorder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6" fillId="0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33" fillId="0" borderId="0" xfId="0" applyNumberFormat="1" applyFont="1" applyAlignment="1">
      <alignment horizontal="center" vertical="center" wrapText="1"/>
    </xf>
    <xf numFmtId="1" fontId="24" fillId="0" borderId="0" xfId="0" applyNumberFormat="1" applyFont="1" applyAlignment="1">
      <alignment horizontal="center" vertical="center" wrapText="1"/>
    </xf>
    <xf numFmtId="1" fontId="10" fillId="0" borderId="0" xfId="1" applyNumberFormat="1" applyFont="1" applyAlignment="1">
      <alignment horizontal="center" vertical="top"/>
    </xf>
    <xf numFmtId="1" fontId="25" fillId="0" borderId="0" xfId="0" applyNumberFormat="1" applyFont="1" applyAlignment="1">
      <alignment horizontal="center" vertical="center"/>
    </xf>
    <xf numFmtId="1" fontId="0" fillId="0" borderId="0" xfId="1" applyNumberFormat="1" applyFont="1" applyAlignment="1">
      <alignment horizontal="center" vertical="top"/>
    </xf>
    <xf numFmtId="0" fontId="24" fillId="3" borderId="9" xfId="0" applyFont="1" applyFill="1" applyBorder="1" applyAlignment="1">
      <alignment horizontal="center" vertical="center" wrapText="1"/>
    </xf>
    <xf numFmtId="169" fontId="23" fillId="0" borderId="0" xfId="0" applyNumberFormat="1" applyFont="1" applyAlignment="1">
      <alignment horizontal="left" vertical="center"/>
    </xf>
    <xf numFmtId="9" fontId="26" fillId="0" borderId="0" xfId="2" applyFont="1" applyFill="1" applyBorder="1" applyAlignment="1">
      <alignment horizontal="left" vertical="center"/>
    </xf>
    <xf numFmtId="9" fontId="34" fillId="0" borderId="0" xfId="0" applyNumberFormat="1" applyFont="1" applyAlignment="1">
      <alignment horizontal="left" vertical="center"/>
    </xf>
    <xf numFmtId="0" fontId="16" fillId="0" borderId="34" xfId="0" applyFont="1" applyBorder="1" applyAlignment="1">
      <alignment horizontal="left" vertical="center" wrapText="1"/>
    </xf>
    <xf numFmtId="0" fontId="16" fillId="0" borderId="34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169" fontId="16" fillId="0" borderId="34" xfId="3" applyNumberFormat="1" applyFont="1" applyFill="1" applyBorder="1" applyAlignment="1">
      <alignment horizontal="left" vertical="center"/>
    </xf>
    <xf numFmtId="169" fontId="24" fillId="0" borderId="35" xfId="3" applyNumberFormat="1" applyFont="1" applyFill="1" applyBorder="1" applyAlignment="1">
      <alignment horizontal="left" vertical="center"/>
    </xf>
    <xf numFmtId="169" fontId="16" fillId="0" borderId="35" xfId="3" applyNumberFormat="1" applyFont="1" applyFill="1" applyBorder="1" applyAlignment="1">
      <alignment horizontal="left" vertical="center"/>
    </xf>
    <xf numFmtId="0" fontId="22" fillId="0" borderId="15" xfId="0" applyFont="1" applyBorder="1" applyAlignment="1" applyProtection="1">
      <alignment horizontal="center" vertical="center"/>
      <protection locked="0"/>
    </xf>
    <xf numFmtId="169" fontId="28" fillId="0" borderId="13" xfId="3" applyNumberFormat="1" applyFont="1" applyBorder="1" applyAlignment="1" applyProtection="1">
      <alignment horizontal="right" vertical="center"/>
      <protection locked="0"/>
    </xf>
    <xf numFmtId="0" fontId="24" fillId="0" borderId="0" xfId="0" applyFont="1" applyAlignment="1">
      <alignment horizontal="left" vertical="top"/>
    </xf>
    <xf numFmtId="169" fontId="22" fillId="0" borderId="13" xfId="15" applyNumberFormat="1" applyFont="1" applyFill="1" applyBorder="1" applyAlignment="1" applyProtection="1">
      <alignment horizontal="right" vertical="center"/>
      <protection locked="0"/>
    </xf>
    <xf numFmtId="1" fontId="16" fillId="0" borderId="18" xfId="0" applyNumberFormat="1" applyFont="1" applyBorder="1" applyAlignment="1" applyProtection="1">
      <alignment horizontal="center" vertical="center"/>
      <protection locked="0"/>
    </xf>
    <xf numFmtId="165" fontId="16" fillId="0" borderId="18" xfId="18" applyFont="1" applyFill="1" applyBorder="1" applyAlignment="1" applyProtection="1">
      <alignment horizontal="center" vertical="center"/>
      <protection locked="0"/>
    </xf>
    <xf numFmtId="0" fontId="22" fillId="0" borderId="14" xfId="0" applyFont="1" applyBorder="1" applyAlignment="1">
      <alignment horizontal="center" vertical="center"/>
    </xf>
    <xf numFmtId="165" fontId="26" fillId="0" borderId="37" xfId="18" applyFont="1" applyFill="1" applyBorder="1" applyAlignment="1">
      <alignment vertical="center"/>
    </xf>
    <xf numFmtId="0" fontId="22" fillId="0" borderId="39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37" xfId="0" applyFont="1" applyBorder="1" applyAlignment="1">
      <alignment horizontal="center" vertical="center"/>
    </xf>
    <xf numFmtId="165" fontId="22" fillId="0" borderId="16" xfId="0" applyNumberFormat="1" applyFont="1" applyBorder="1" applyAlignment="1">
      <alignment vertical="center"/>
    </xf>
    <xf numFmtId="0" fontId="22" fillId="0" borderId="42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26" fillId="0" borderId="13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175" fontId="11" fillId="0" borderId="31" xfId="0" applyNumberFormat="1" applyFont="1" applyBorder="1" applyAlignment="1">
      <alignment horizontal="left" vertical="center"/>
    </xf>
    <xf numFmtId="175" fontId="11" fillId="0" borderId="31" xfId="0" applyNumberFormat="1" applyFont="1" applyBorder="1" applyAlignment="1">
      <alignment horizontal="right" vertical="center" shrinkToFit="1"/>
    </xf>
    <xf numFmtId="175" fontId="25" fillId="0" borderId="31" xfId="20" applyNumberFormat="1" applyFont="1" applyBorder="1" applyAlignment="1">
      <alignment horizontal="right" vertical="center"/>
    </xf>
    <xf numFmtId="1" fontId="10" fillId="0" borderId="29" xfId="0" applyNumberFormat="1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wrapText="1"/>
    </xf>
    <xf numFmtId="1" fontId="22" fillId="0" borderId="37" xfId="0" applyNumberFormat="1" applyFont="1" applyBorder="1" applyAlignment="1" applyProtection="1">
      <alignment horizontal="center" vertical="center"/>
      <protection locked="0"/>
    </xf>
    <xf numFmtId="0" fontId="16" fillId="0" borderId="3" xfId="1" applyNumberFormat="1" applyFont="1" applyFill="1" applyBorder="1" applyAlignment="1">
      <alignment horizontal="center" vertical="center" shrinkToFit="1"/>
    </xf>
    <xf numFmtId="0" fontId="24" fillId="0" borderId="3" xfId="1" applyNumberFormat="1" applyFont="1" applyFill="1" applyBorder="1" applyAlignment="1">
      <alignment horizontal="center" vertical="center" shrinkToFit="1"/>
    </xf>
    <xf numFmtId="165" fontId="22" fillId="0" borderId="42" xfId="0" applyNumberFormat="1" applyFont="1" applyBorder="1" applyAlignment="1">
      <alignment horizontal="center" vertical="center"/>
    </xf>
    <xf numFmtId="175" fontId="22" fillId="0" borderId="42" xfId="20" applyNumberFormat="1" applyFont="1" applyFill="1" applyBorder="1" applyAlignment="1" applyProtection="1">
      <alignment horizontal="right" vertical="center"/>
      <protection locked="0"/>
    </xf>
    <xf numFmtId="175" fontId="16" fillId="0" borderId="4" xfId="0" applyNumberFormat="1" applyFont="1" applyBorder="1" applyAlignment="1">
      <alignment horizontal="right" vertical="center" shrinkToFit="1"/>
    </xf>
    <xf numFmtId="175" fontId="10" fillId="0" borderId="3" xfId="20" applyNumberFormat="1" applyFont="1" applyFill="1" applyBorder="1" applyAlignment="1">
      <alignment horizontal="left" vertical="center"/>
    </xf>
    <xf numFmtId="175" fontId="16" fillId="0" borderId="3" xfId="20" applyNumberFormat="1" applyFont="1" applyBorder="1" applyAlignment="1">
      <alignment horizontal="right" vertical="center" shrinkToFit="1"/>
    </xf>
    <xf numFmtId="175" fontId="24" fillId="0" borderId="3" xfId="20" applyNumberFormat="1" applyFont="1" applyBorder="1" applyAlignment="1">
      <alignment horizontal="right" vertical="center" shrinkToFit="1"/>
    </xf>
    <xf numFmtId="175" fontId="24" fillId="0" borderId="4" xfId="20" applyNumberFormat="1" applyFont="1" applyBorder="1" applyAlignment="1">
      <alignment horizontal="right" vertical="center" shrinkToFit="1"/>
    </xf>
    <xf numFmtId="175" fontId="24" fillId="0" borderId="4" xfId="20" applyNumberFormat="1" applyFont="1" applyFill="1" applyBorder="1" applyAlignment="1">
      <alignment horizontal="right" vertical="center" shrinkToFit="1"/>
    </xf>
    <xf numFmtId="175" fontId="24" fillId="0" borderId="3" xfId="20" applyNumberFormat="1" applyFont="1" applyFill="1" applyBorder="1" applyAlignment="1">
      <alignment horizontal="right" vertical="center"/>
    </xf>
    <xf numFmtId="175" fontId="24" fillId="0" borderId="51" xfId="20" applyNumberFormat="1" applyFont="1" applyFill="1" applyBorder="1" applyAlignment="1">
      <alignment horizontal="right" vertical="center"/>
    </xf>
    <xf numFmtId="175" fontId="23" fillId="0" borderId="0" xfId="0" applyNumberFormat="1" applyFont="1" applyAlignment="1">
      <alignment horizontal="left" vertical="center"/>
    </xf>
    <xf numFmtId="0" fontId="16" fillId="0" borderId="28" xfId="1" applyNumberFormat="1" applyFont="1" applyFill="1" applyBorder="1" applyAlignment="1">
      <alignment horizontal="center" vertical="center" shrinkToFit="1"/>
    </xf>
    <xf numFmtId="171" fontId="25" fillId="0" borderId="0" xfId="0" applyNumberFormat="1" applyFont="1" applyAlignment="1">
      <alignment horizontal="left" vertical="center"/>
    </xf>
    <xf numFmtId="165" fontId="11" fillId="0" borderId="31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165" fontId="24" fillId="0" borderId="0" xfId="1" applyFont="1" applyAlignment="1">
      <alignment horizontal="center" vertical="center" wrapText="1"/>
    </xf>
    <xf numFmtId="165" fontId="31" fillId="0" borderId="14" xfId="1" applyFont="1" applyFill="1" applyBorder="1" applyAlignment="1" applyProtection="1">
      <alignment horizontal="center" vertical="center"/>
      <protection locked="0"/>
    </xf>
    <xf numFmtId="165" fontId="22" fillId="0" borderId="14" xfId="1" applyFont="1" applyBorder="1" applyAlignment="1" applyProtection="1">
      <alignment horizontal="center" vertical="center"/>
      <protection locked="0"/>
    </xf>
    <xf numFmtId="165" fontId="11" fillId="0" borderId="31" xfId="1" applyFont="1" applyBorder="1" applyAlignment="1">
      <alignment horizontal="center" vertical="center"/>
    </xf>
    <xf numFmtId="165" fontId="23" fillId="0" borderId="0" xfId="1" applyFont="1" applyAlignment="1">
      <alignment horizontal="center" vertical="center"/>
    </xf>
    <xf numFmtId="165" fontId="4" fillId="0" borderId="0" xfId="1" applyFont="1" applyAlignment="1">
      <alignment horizontal="center" vertical="top"/>
    </xf>
    <xf numFmtId="165" fontId="25" fillId="0" borderId="0" xfId="1" applyFont="1" applyAlignment="1">
      <alignment horizontal="center" vertical="center"/>
    </xf>
    <xf numFmtId="165" fontId="31" fillId="0" borderId="18" xfId="1" applyFont="1" applyFill="1" applyBorder="1" applyAlignment="1" applyProtection="1">
      <alignment horizontal="center" vertical="center"/>
      <protection locked="0"/>
    </xf>
    <xf numFmtId="165" fontId="16" fillId="0" borderId="13" xfId="1" applyFont="1" applyFill="1" applyBorder="1" applyAlignment="1">
      <alignment vertical="center"/>
    </xf>
    <xf numFmtId="165" fontId="16" fillId="0" borderId="13" xfId="1" applyFont="1" applyFill="1" applyBorder="1" applyAlignment="1" applyProtection="1">
      <alignment horizontal="right" vertical="center"/>
      <protection locked="0"/>
    </xf>
    <xf numFmtId="165" fontId="11" fillId="0" borderId="31" xfId="1" applyFont="1" applyBorder="1" applyAlignment="1">
      <alignment horizontal="left" vertical="center"/>
    </xf>
    <xf numFmtId="165" fontId="11" fillId="0" borderId="31" xfId="1" applyFont="1" applyBorder="1" applyAlignment="1">
      <alignment horizontal="right" vertical="center" shrinkToFit="1"/>
    </xf>
    <xf numFmtId="165" fontId="23" fillId="0" borderId="0" xfId="1" applyFont="1" applyAlignment="1">
      <alignment horizontal="left" vertical="center"/>
    </xf>
    <xf numFmtId="165" fontId="33" fillId="0" borderId="0" xfId="1" applyFont="1" applyAlignment="1">
      <alignment vertical="center" wrapText="1"/>
    </xf>
    <xf numFmtId="165" fontId="28" fillId="0" borderId="14" xfId="1" applyFont="1" applyFill="1" applyBorder="1" applyAlignment="1" applyProtection="1">
      <alignment vertical="center"/>
      <protection locked="0"/>
    </xf>
    <xf numFmtId="165" fontId="24" fillId="0" borderId="0" xfId="1" applyFont="1" applyAlignment="1">
      <alignment vertical="center" wrapText="1"/>
    </xf>
    <xf numFmtId="165" fontId="28" fillId="0" borderId="13" xfId="1" applyFont="1" applyBorder="1" applyAlignment="1" applyProtection="1">
      <alignment horizontal="right" vertical="center"/>
      <protection locked="0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3" fillId="0" borderId="0" xfId="0" applyFont="1" applyAlignment="1">
      <alignment horizontal="left" vertical="center" wrapText="1"/>
    </xf>
    <xf numFmtId="0" fontId="42" fillId="0" borderId="24" xfId="0" applyFont="1" applyBorder="1" applyAlignment="1">
      <alignment horizontal="left" vertical="center" wrapText="1"/>
    </xf>
    <xf numFmtId="1" fontId="43" fillId="0" borderId="0" xfId="0" applyNumberFormat="1" applyFont="1" applyAlignment="1">
      <alignment horizontal="center" vertical="center" wrapText="1"/>
    </xf>
    <xf numFmtId="0" fontId="37" fillId="0" borderId="18" xfId="0" applyFont="1" applyBorder="1" applyAlignment="1" applyProtection="1">
      <alignment horizontal="left" vertical="center"/>
      <protection locked="0"/>
    </xf>
    <xf numFmtId="1" fontId="37" fillId="0" borderId="14" xfId="0" applyNumberFormat="1" applyFont="1" applyBorder="1" applyAlignment="1" applyProtection="1">
      <alignment horizontal="center" vertical="center"/>
      <protection locked="0"/>
    </xf>
    <xf numFmtId="1" fontId="38" fillId="0" borderId="15" xfId="0" applyNumberFormat="1" applyFont="1" applyBorder="1" applyAlignment="1" applyProtection="1">
      <alignment horizontal="center" vertical="center"/>
      <protection locked="0"/>
    </xf>
    <xf numFmtId="169" fontId="37" fillId="0" borderId="15" xfId="15" applyNumberFormat="1" applyFont="1" applyFill="1" applyBorder="1" applyAlignment="1" applyProtection="1">
      <alignment horizontal="right" vertical="center"/>
      <protection locked="0"/>
    </xf>
    <xf numFmtId="169" fontId="39" fillId="0" borderId="13" xfId="3" applyNumberFormat="1" applyFont="1" applyBorder="1" applyAlignment="1" applyProtection="1">
      <alignment horizontal="right" vertical="center"/>
      <protection locked="0"/>
    </xf>
    <xf numFmtId="0" fontId="41" fillId="0" borderId="18" xfId="0" applyFont="1" applyBorder="1" applyAlignment="1" applyProtection="1">
      <alignment horizontal="left" vertical="center"/>
      <protection locked="0"/>
    </xf>
    <xf numFmtId="0" fontId="43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/>
    </xf>
    <xf numFmtId="1" fontId="43" fillId="0" borderId="0" xfId="0" applyNumberFormat="1" applyFont="1" applyAlignment="1">
      <alignment horizontal="center" vertical="center"/>
    </xf>
    <xf numFmtId="167" fontId="45" fillId="0" borderId="0" xfId="1" applyNumberFormat="1" applyFont="1" applyAlignment="1">
      <alignment horizontal="left" vertical="center"/>
    </xf>
    <xf numFmtId="167" fontId="43" fillId="0" borderId="0" xfId="1" applyNumberFormat="1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167" fontId="46" fillId="0" borderId="0" xfId="1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42" fillId="3" borderId="9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167" fontId="46" fillId="0" borderId="0" xfId="1" applyNumberFormat="1" applyFont="1" applyAlignment="1">
      <alignment horizontal="left" vertical="top"/>
    </xf>
    <xf numFmtId="0" fontId="46" fillId="0" borderId="0" xfId="0" applyFont="1" applyAlignment="1">
      <alignment horizontal="left" vertical="top"/>
    </xf>
    <xf numFmtId="1" fontId="38" fillId="0" borderId="8" xfId="1" applyNumberFormat="1" applyFont="1" applyFill="1" applyBorder="1" applyAlignment="1">
      <alignment horizontal="center" vertical="center" shrinkToFit="1"/>
    </xf>
    <xf numFmtId="165" fontId="46" fillId="0" borderId="8" xfId="20" applyNumberFormat="1" applyFont="1" applyFill="1" applyBorder="1" applyAlignment="1">
      <alignment horizontal="left" vertical="center"/>
    </xf>
    <xf numFmtId="165" fontId="38" fillId="0" borderId="8" xfId="20" applyNumberFormat="1" applyFont="1" applyBorder="1" applyAlignment="1">
      <alignment horizontal="right" vertical="center" shrinkToFit="1"/>
    </xf>
    <xf numFmtId="165" fontId="42" fillId="0" borderId="8" xfId="20" applyNumberFormat="1" applyFont="1" applyBorder="1" applyAlignment="1">
      <alignment horizontal="right" vertical="center" shrinkToFit="1"/>
    </xf>
    <xf numFmtId="165" fontId="42" fillId="0" borderId="8" xfId="1" applyFont="1" applyFill="1" applyBorder="1" applyAlignment="1">
      <alignment horizontal="right" vertical="center"/>
    </xf>
    <xf numFmtId="165" fontId="42" fillId="0" borderId="26" xfId="1" applyFont="1" applyFill="1" applyBorder="1" applyAlignment="1">
      <alignment horizontal="right" vertical="center"/>
    </xf>
    <xf numFmtId="9" fontId="40" fillId="0" borderId="0" xfId="2" applyFont="1" applyFill="1" applyBorder="1" applyAlignment="1">
      <alignment horizontal="center" vertical="center"/>
    </xf>
    <xf numFmtId="167" fontId="38" fillId="0" borderId="0" xfId="1" applyNumberFormat="1" applyFont="1" applyFill="1" applyAlignment="1">
      <alignment horizontal="left" vertical="center"/>
    </xf>
    <xf numFmtId="0" fontId="38" fillId="0" borderId="0" xfId="0" applyFont="1" applyAlignment="1">
      <alignment horizontal="left" vertical="center"/>
    </xf>
    <xf numFmtId="9" fontId="43" fillId="0" borderId="0" xfId="2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38" fillId="0" borderId="8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165" fontId="40" fillId="0" borderId="0" xfId="0" applyNumberFormat="1" applyFont="1" applyAlignment="1">
      <alignment horizontal="left" vertical="center"/>
    </xf>
    <xf numFmtId="165" fontId="43" fillId="0" borderId="20" xfId="0" applyNumberFormat="1" applyFont="1" applyBorder="1" applyAlignment="1">
      <alignment horizontal="left" vertical="center"/>
    </xf>
    <xf numFmtId="171" fontId="42" fillId="0" borderId="0" xfId="0" applyNumberFormat="1" applyFont="1" applyAlignment="1">
      <alignment horizontal="left" vertical="center"/>
    </xf>
    <xf numFmtId="165" fontId="43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center" vertical="top"/>
    </xf>
    <xf numFmtId="170" fontId="43" fillId="0" borderId="0" xfId="1" applyNumberFormat="1" applyFont="1" applyAlignment="1">
      <alignment horizontal="center" vertical="center"/>
    </xf>
    <xf numFmtId="170" fontId="43" fillId="0" borderId="0" xfId="1" applyNumberFormat="1" applyFont="1" applyAlignment="1">
      <alignment horizontal="left" vertical="center"/>
    </xf>
    <xf numFmtId="165" fontId="43" fillId="0" borderId="0" xfId="1" applyFont="1" applyAlignment="1">
      <alignment horizontal="left" vertical="center"/>
    </xf>
    <xf numFmtId="1" fontId="42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1" fontId="39" fillId="0" borderId="25" xfId="0" applyNumberFormat="1" applyFont="1" applyBorder="1" applyAlignment="1">
      <alignment horizontal="center" vertical="center" shrinkToFit="1"/>
    </xf>
    <xf numFmtId="0" fontId="39" fillId="0" borderId="8" xfId="0" applyFont="1" applyBorder="1" applyAlignment="1">
      <alignment horizontal="center" vertical="center" wrapText="1"/>
    </xf>
    <xf numFmtId="169" fontId="39" fillId="0" borderId="14" xfId="23" applyNumberFormat="1" applyFont="1" applyFill="1" applyBorder="1" applyAlignment="1" applyProtection="1">
      <alignment vertical="center"/>
      <protection locked="0"/>
    </xf>
    <xf numFmtId="0" fontId="39" fillId="0" borderId="8" xfId="1" applyNumberFormat="1" applyFont="1" applyFill="1" applyBorder="1" applyAlignment="1">
      <alignment horizontal="center" vertical="center" shrinkToFit="1"/>
    </xf>
    <xf numFmtId="0" fontId="40" fillId="0" borderId="8" xfId="1" applyNumberFormat="1" applyFont="1" applyFill="1" applyBorder="1" applyAlignment="1">
      <alignment horizontal="center" vertical="center" shrinkToFit="1"/>
    </xf>
    <xf numFmtId="165" fontId="42" fillId="0" borderId="10" xfId="20" applyNumberFormat="1" applyFont="1" applyBorder="1" applyAlignment="1">
      <alignment horizontal="right" vertical="center" shrinkToFit="1"/>
    </xf>
    <xf numFmtId="169" fontId="40" fillId="0" borderId="10" xfId="3" applyNumberFormat="1" applyFont="1" applyFill="1" applyBorder="1" applyAlignment="1">
      <alignment horizontal="right" vertical="center" shrinkToFit="1"/>
    </xf>
    <xf numFmtId="169" fontId="40" fillId="0" borderId="8" xfId="3" applyNumberFormat="1" applyFont="1" applyFill="1" applyBorder="1" applyAlignment="1">
      <alignment horizontal="right" vertical="center"/>
    </xf>
    <xf numFmtId="169" fontId="40" fillId="0" borderId="26" xfId="3" applyNumberFormat="1" applyFont="1" applyFill="1" applyBorder="1" applyAlignment="1">
      <alignment horizontal="right" vertical="center"/>
    </xf>
    <xf numFmtId="1" fontId="39" fillId="0" borderId="0" xfId="1" applyNumberFormat="1" applyFont="1" applyFill="1" applyAlignment="1">
      <alignment horizontal="center" vertical="center"/>
    </xf>
    <xf numFmtId="167" fontId="39" fillId="0" borderId="0" xfId="1" applyNumberFormat="1" applyFont="1" applyFill="1" applyAlignment="1">
      <alignment horizontal="left" vertical="center"/>
    </xf>
    <xf numFmtId="0" fontId="39" fillId="0" borderId="0" xfId="0" applyFont="1" applyAlignment="1">
      <alignment horizontal="left" vertical="center"/>
    </xf>
    <xf numFmtId="169" fontId="39" fillId="0" borderId="14" xfId="3" applyNumberFormat="1" applyFont="1" applyFill="1" applyBorder="1" applyAlignment="1" applyProtection="1">
      <alignment vertical="center"/>
      <protection locked="0"/>
    </xf>
    <xf numFmtId="169" fontId="39" fillId="0" borderId="8" xfId="3" applyNumberFormat="1" applyFont="1" applyFill="1" applyBorder="1" applyAlignment="1">
      <alignment horizontal="left" vertical="center"/>
    </xf>
    <xf numFmtId="0" fontId="43" fillId="0" borderId="31" xfId="0" applyFont="1" applyBorder="1" applyAlignment="1">
      <alignment horizontal="center" vertical="center"/>
    </xf>
    <xf numFmtId="165" fontId="44" fillId="0" borderId="31" xfId="0" applyNumberFormat="1" applyFont="1" applyBorder="1" applyAlignment="1">
      <alignment horizontal="left" vertical="center"/>
    </xf>
    <xf numFmtId="165" fontId="44" fillId="0" borderId="31" xfId="1" applyFont="1" applyFill="1" applyBorder="1" applyAlignment="1">
      <alignment horizontal="center" vertical="center" shrinkToFit="1"/>
    </xf>
    <xf numFmtId="0" fontId="43" fillId="0" borderId="31" xfId="1" applyNumberFormat="1" applyFont="1" applyFill="1" applyBorder="1" applyAlignment="1">
      <alignment horizontal="center" vertical="center" shrinkToFit="1"/>
    </xf>
    <xf numFmtId="165" fontId="44" fillId="0" borderId="31" xfId="0" applyNumberFormat="1" applyFont="1" applyBorder="1" applyAlignment="1">
      <alignment horizontal="center" vertical="center"/>
    </xf>
    <xf numFmtId="169" fontId="44" fillId="0" borderId="31" xfId="3" applyNumberFormat="1" applyFont="1" applyBorder="1" applyAlignment="1">
      <alignment horizontal="left" vertical="center"/>
    </xf>
    <xf numFmtId="169" fontId="44" fillId="0" borderId="31" xfId="3" applyNumberFormat="1" applyFont="1" applyBorder="1" applyAlignment="1">
      <alignment horizontal="right" vertical="center" shrinkToFit="1"/>
    </xf>
    <xf numFmtId="169" fontId="43" fillId="0" borderId="31" xfId="3" applyNumberFormat="1" applyFont="1" applyBorder="1" applyAlignment="1">
      <alignment horizontal="right" vertical="center"/>
    </xf>
    <xf numFmtId="169" fontId="43" fillId="0" borderId="31" xfId="3" applyNumberFormat="1" applyFont="1" applyBorder="1" applyAlignment="1">
      <alignment horizontal="right" vertical="center" shrinkToFit="1"/>
    </xf>
    <xf numFmtId="1" fontId="44" fillId="0" borderId="0" xfId="1" applyNumberFormat="1" applyFont="1" applyAlignment="1">
      <alignment horizontal="center" vertical="center"/>
    </xf>
    <xf numFmtId="167" fontId="44" fillId="0" borderId="0" xfId="1" applyNumberFormat="1" applyFont="1" applyAlignment="1">
      <alignment horizontal="left" vertical="center"/>
    </xf>
    <xf numFmtId="165" fontId="40" fillId="0" borderId="0" xfId="1" applyFont="1" applyAlignment="1">
      <alignment horizontal="left" vertical="center"/>
    </xf>
    <xf numFmtId="3" fontId="40" fillId="0" borderId="0" xfId="0" applyNumberFormat="1" applyFont="1" applyAlignment="1">
      <alignment horizontal="right" vertical="center"/>
    </xf>
    <xf numFmtId="1" fontId="38" fillId="0" borderId="0" xfId="1" applyNumberFormat="1" applyFont="1" applyFill="1" applyBorder="1" applyAlignment="1">
      <alignment horizontal="center" vertical="center" shrinkToFit="1"/>
    </xf>
    <xf numFmtId="1" fontId="42" fillId="0" borderId="0" xfId="1" applyNumberFormat="1" applyFont="1" applyFill="1" applyBorder="1" applyAlignment="1">
      <alignment horizontal="center" vertical="center" shrinkToFit="1"/>
    </xf>
    <xf numFmtId="165" fontId="42" fillId="0" borderId="0" xfId="1" applyFont="1" applyFill="1" applyBorder="1" applyAlignment="1">
      <alignment horizontal="right" vertical="center"/>
    </xf>
    <xf numFmtId="176" fontId="37" fillId="0" borderId="13" xfId="0" applyNumberFormat="1" applyFont="1" applyBorder="1" applyAlignment="1" applyProtection="1">
      <alignment horizontal="right" vertical="center"/>
      <protection locked="0"/>
    </xf>
    <xf numFmtId="0" fontId="46" fillId="0" borderId="0" xfId="25" applyFont="1" applyAlignment="1">
      <alignment horizontal="center" vertical="top"/>
    </xf>
    <xf numFmtId="0" fontId="46" fillId="0" borderId="0" xfId="25" applyFont="1" applyAlignment="1">
      <alignment horizontal="left" vertical="top"/>
    </xf>
    <xf numFmtId="0" fontId="46" fillId="0" borderId="0" xfId="25" applyFont="1" applyAlignment="1">
      <alignment horizontal="center" vertical="center"/>
    </xf>
    <xf numFmtId="0" fontId="46" fillId="0" borderId="0" xfId="25" applyFont="1" applyAlignment="1">
      <alignment horizontal="left" vertical="center"/>
    </xf>
    <xf numFmtId="168" fontId="46" fillId="0" borderId="0" xfId="25" applyNumberFormat="1" applyFont="1" applyAlignment="1">
      <alignment horizontal="left" vertical="top"/>
    </xf>
    <xf numFmtId="0" fontId="43" fillId="0" borderId="0" xfId="25" applyFont="1" applyAlignment="1">
      <alignment horizontal="left" vertical="top"/>
    </xf>
    <xf numFmtId="0" fontId="42" fillId="0" borderId="0" xfId="25" applyFont="1" applyAlignment="1">
      <alignment horizontal="left" vertical="top"/>
    </xf>
    <xf numFmtId="169" fontId="37" fillId="0" borderId="15" xfId="20" applyNumberFormat="1" applyFont="1" applyFill="1" applyBorder="1" applyAlignment="1" applyProtection="1">
      <alignment horizontal="right" vertical="center"/>
      <protection locked="0"/>
    </xf>
    <xf numFmtId="1" fontId="37" fillId="0" borderId="14" xfId="25" applyNumberFormat="1" applyFont="1" applyBorder="1" applyAlignment="1" applyProtection="1">
      <alignment horizontal="center" vertical="center"/>
      <protection locked="0"/>
    </xf>
    <xf numFmtId="1" fontId="38" fillId="0" borderId="15" xfId="25" applyNumberFormat="1" applyFont="1" applyBorder="1" applyAlignment="1" applyProtection="1">
      <alignment horizontal="center" vertical="center"/>
      <protection locked="0"/>
    </xf>
    <xf numFmtId="169" fontId="38" fillId="0" borderId="18" xfId="15" applyNumberFormat="1" applyFont="1" applyFill="1" applyBorder="1" applyAlignment="1" applyProtection="1">
      <alignment horizontal="center" vertical="center"/>
      <protection locked="0"/>
    </xf>
    <xf numFmtId="170" fontId="43" fillId="0" borderId="0" xfId="1" applyNumberFormat="1" applyFont="1" applyAlignment="1">
      <alignment horizontal="left" vertical="top"/>
    </xf>
    <xf numFmtId="170" fontId="42" fillId="0" borderId="0" xfId="1" applyNumberFormat="1" applyFont="1" applyAlignment="1">
      <alignment horizontal="left" vertical="top"/>
    </xf>
    <xf numFmtId="0" fontId="45" fillId="0" borderId="0" xfId="25" applyFont="1" applyAlignment="1">
      <alignment horizontal="center" vertical="center"/>
    </xf>
    <xf numFmtId="0" fontId="44" fillId="0" borderId="0" xfId="25" applyFont="1" applyAlignment="1">
      <alignment horizontal="left" vertical="top"/>
    </xf>
    <xf numFmtId="1" fontId="46" fillId="0" borderId="25" xfId="0" applyNumberFormat="1" applyFont="1" applyBorder="1" applyAlignment="1">
      <alignment horizontal="center" vertical="center" shrinkToFit="1"/>
    </xf>
    <xf numFmtId="0" fontId="39" fillId="0" borderId="18" xfId="0" applyFont="1" applyBorder="1" applyAlignment="1">
      <alignment vertical="center"/>
    </xf>
    <xf numFmtId="0" fontId="38" fillId="0" borderId="8" xfId="1" applyNumberFormat="1" applyFont="1" applyFill="1" applyBorder="1" applyAlignment="1">
      <alignment horizontal="center" vertical="center" shrinkToFit="1"/>
    </xf>
    <xf numFmtId="0" fontId="42" fillId="0" borderId="8" xfId="1" applyNumberFormat="1" applyFont="1" applyFill="1" applyBorder="1" applyAlignment="1">
      <alignment horizontal="center" vertical="center" shrinkToFit="1"/>
    </xf>
    <xf numFmtId="165" fontId="42" fillId="0" borderId="10" xfId="20" applyNumberFormat="1" applyFont="1" applyFill="1" applyBorder="1" applyAlignment="1">
      <alignment horizontal="right" vertical="center" shrinkToFit="1"/>
    </xf>
    <xf numFmtId="165" fontId="42" fillId="0" borderId="8" xfId="20" applyNumberFormat="1" applyFont="1" applyFill="1" applyBorder="1" applyAlignment="1">
      <alignment horizontal="right" vertical="center"/>
    </xf>
    <xf numFmtId="165" fontId="42" fillId="0" borderId="26" xfId="20" applyNumberFormat="1" applyFont="1" applyFill="1" applyBorder="1" applyAlignment="1">
      <alignment horizontal="right" vertical="center"/>
    </xf>
    <xf numFmtId="167" fontId="46" fillId="0" borderId="0" xfId="1" applyNumberFormat="1" applyFont="1" applyFill="1" applyAlignment="1">
      <alignment horizontal="left" vertical="center"/>
    </xf>
    <xf numFmtId="165" fontId="44" fillId="0" borderId="31" xfId="0" applyNumberFormat="1" applyFont="1" applyBorder="1" applyAlignment="1">
      <alignment horizontal="right" vertical="center" shrinkToFit="1"/>
    </xf>
    <xf numFmtId="165" fontId="43" fillId="0" borderId="31" xfId="20" applyNumberFormat="1" applyFont="1" applyBorder="1" applyAlignment="1">
      <alignment horizontal="right" vertical="center"/>
    </xf>
    <xf numFmtId="165" fontId="43" fillId="0" borderId="31" xfId="20" applyNumberFormat="1" applyFont="1" applyBorder="1" applyAlignment="1">
      <alignment horizontal="right" vertical="center" shrinkToFit="1"/>
    </xf>
    <xf numFmtId="0" fontId="39" fillId="0" borderId="18" xfId="25" applyFont="1" applyBorder="1" applyAlignment="1">
      <alignment vertical="center"/>
    </xf>
    <xf numFmtId="0" fontId="43" fillId="0" borderId="31" xfId="25" applyFont="1" applyBorder="1" applyAlignment="1">
      <alignment horizontal="center" vertical="center"/>
    </xf>
    <xf numFmtId="165" fontId="44" fillId="0" borderId="31" xfId="25" applyNumberFormat="1" applyFont="1" applyBorder="1" applyAlignment="1">
      <alignment horizontal="left" vertical="center"/>
    </xf>
    <xf numFmtId="165" fontId="44" fillId="0" borderId="31" xfId="25" applyNumberFormat="1" applyFont="1" applyBorder="1" applyAlignment="1">
      <alignment horizontal="center" vertical="center"/>
    </xf>
    <xf numFmtId="165" fontId="44" fillId="0" borderId="31" xfId="25" applyNumberFormat="1" applyFont="1" applyBorder="1" applyAlignment="1">
      <alignment horizontal="right" vertical="center" shrinkToFit="1"/>
    </xf>
    <xf numFmtId="0" fontId="44" fillId="0" borderId="0" xfId="25" applyFont="1" applyAlignment="1">
      <alignment horizontal="left" vertical="center"/>
    </xf>
    <xf numFmtId="165" fontId="38" fillId="0" borderId="0" xfId="25" applyNumberFormat="1" applyFont="1" applyAlignment="1">
      <alignment horizontal="right" vertical="center" shrinkToFit="1"/>
    </xf>
    <xf numFmtId="165" fontId="42" fillId="0" borderId="0" xfId="25" applyNumberFormat="1" applyFont="1" applyAlignment="1">
      <alignment horizontal="right" vertical="center" shrinkToFit="1"/>
    </xf>
    <xf numFmtId="1" fontId="42" fillId="0" borderId="0" xfId="1" applyNumberFormat="1" applyFont="1" applyFill="1" applyBorder="1" applyAlignment="1">
      <alignment horizontal="center" vertical="center" wrapText="1"/>
    </xf>
    <xf numFmtId="165" fontId="42" fillId="0" borderId="0" xfId="25" applyNumberFormat="1" applyFont="1" applyAlignment="1">
      <alignment horizontal="left" vertical="center" wrapText="1"/>
    </xf>
    <xf numFmtId="1" fontId="38" fillId="0" borderId="0" xfId="1" applyNumberFormat="1" applyFont="1" applyFill="1" applyBorder="1" applyAlignment="1">
      <alignment horizontal="center" vertical="center" wrapText="1"/>
    </xf>
    <xf numFmtId="165" fontId="38" fillId="0" borderId="0" xfId="25" applyNumberFormat="1" applyFont="1" applyAlignment="1">
      <alignment horizontal="left" vertical="center" wrapText="1"/>
    </xf>
    <xf numFmtId="165" fontId="42" fillId="0" borderId="0" xfId="25" applyNumberFormat="1" applyFont="1" applyAlignment="1">
      <alignment horizontal="right" vertical="center"/>
    </xf>
    <xf numFmtId="165" fontId="43" fillId="0" borderId="0" xfId="1" applyFont="1" applyAlignment="1">
      <alignment horizontal="left" vertical="top"/>
    </xf>
    <xf numFmtId="165" fontId="43" fillId="0" borderId="0" xfId="25" applyNumberFormat="1" applyFont="1" applyAlignment="1">
      <alignment horizontal="left" vertical="top"/>
    </xf>
    <xf numFmtId="165" fontId="42" fillId="0" borderId="0" xfId="25" applyNumberFormat="1" applyFont="1" applyAlignment="1">
      <alignment horizontal="left" vertical="top"/>
    </xf>
    <xf numFmtId="170" fontId="46" fillId="0" borderId="0" xfId="1" applyNumberFormat="1" applyFont="1" applyAlignment="1">
      <alignment horizontal="center" vertical="center"/>
    </xf>
    <xf numFmtId="170" fontId="45" fillId="0" borderId="0" xfId="1" applyNumberFormat="1" applyFont="1" applyAlignment="1">
      <alignment horizontal="center" vertical="center"/>
    </xf>
    <xf numFmtId="170" fontId="46" fillId="0" borderId="0" xfId="1" applyNumberFormat="1" applyFont="1" applyAlignment="1">
      <alignment horizontal="left" vertical="top"/>
    </xf>
    <xf numFmtId="170" fontId="44" fillId="0" borderId="0" xfId="1" applyNumberFormat="1" applyFont="1" applyAlignment="1">
      <alignment horizontal="left" vertical="top"/>
    </xf>
    <xf numFmtId="9" fontId="40" fillId="0" borderId="0" xfId="2" applyFont="1" applyAlignment="1">
      <alignment horizontal="left" vertical="center"/>
    </xf>
    <xf numFmtId="9" fontId="40" fillId="0" borderId="0" xfId="2" applyFont="1" applyAlignment="1">
      <alignment horizontal="left" vertical="center" wrapText="1"/>
    </xf>
    <xf numFmtId="9" fontId="40" fillId="0" borderId="0" xfId="2" applyFont="1" applyFill="1" applyBorder="1" applyAlignment="1">
      <alignment horizontal="left" vertical="center"/>
    </xf>
    <xf numFmtId="9" fontId="34" fillId="0" borderId="0" xfId="2" applyFont="1" applyAlignment="1">
      <alignment horizontal="left" vertical="center"/>
    </xf>
    <xf numFmtId="9" fontId="43" fillId="0" borderId="0" xfId="2" applyFont="1" applyAlignment="1">
      <alignment horizontal="left" vertical="center"/>
    </xf>
    <xf numFmtId="9" fontId="26" fillId="0" borderId="0" xfId="2" applyFont="1" applyAlignment="1">
      <alignment horizontal="left" vertical="center"/>
    </xf>
    <xf numFmtId="0" fontId="22" fillId="0" borderId="13" xfId="0" applyFont="1" applyBorder="1" applyAlignment="1">
      <alignment horizontal="center" vertical="center"/>
    </xf>
    <xf numFmtId="0" fontId="24" fillId="3" borderId="43" xfId="0" applyFont="1" applyFill="1" applyBorder="1" applyAlignment="1">
      <alignment horizontal="center" vertical="center" wrapText="1"/>
    </xf>
    <xf numFmtId="167" fontId="24" fillId="0" borderId="0" xfId="1" applyNumberFormat="1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0" fontId="24" fillId="0" borderId="0" xfId="2" applyNumberFormat="1" applyFont="1" applyAlignment="1">
      <alignment horizontal="center" vertical="center"/>
    </xf>
    <xf numFmtId="0" fontId="19" fillId="0" borderId="0" xfId="0" applyFont="1" applyAlignment="1">
      <alignment horizontal="left" vertical="top"/>
    </xf>
    <xf numFmtId="0" fontId="43" fillId="0" borderId="0" xfId="0" applyFont="1" applyAlignment="1">
      <alignment horizontal="center" vertical="center"/>
    </xf>
    <xf numFmtId="171" fontId="43" fillId="0" borderId="0" xfId="0" applyNumberFormat="1" applyFont="1" applyAlignment="1">
      <alignment horizontal="left" vertical="center"/>
    </xf>
    <xf numFmtId="0" fontId="28" fillId="0" borderId="18" xfId="19" applyFont="1" applyBorder="1" applyAlignment="1">
      <alignment vertical="center"/>
    </xf>
    <xf numFmtId="169" fontId="45" fillId="0" borderId="0" xfId="0" applyNumberFormat="1" applyFont="1" applyAlignment="1">
      <alignment horizontal="left" vertical="center"/>
    </xf>
    <xf numFmtId="169" fontId="43" fillId="0" borderId="0" xfId="0" applyNumberFormat="1" applyFont="1" applyAlignment="1">
      <alignment horizontal="left" vertical="center"/>
    </xf>
    <xf numFmtId="167" fontId="23" fillId="0" borderId="0" xfId="1" applyNumberFormat="1" applyFont="1" applyFill="1" applyAlignment="1">
      <alignment horizontal="left" vertical="center"/>
    </xf>
    <xf numFmtId="167" fontId="25" fillId="0" borderId="0" xfId="1" applyNumberFormat="1" applyFont="1" applyFill="1" applyAlignment="1">
      <alignment horizontal="left" vertical="center"/>
    </xf>
    <xf numFmtId="1" fontId="22" fillId="0" borderId="8" xfId="0" applyNumberFormat="1" applyFont="1" applyBorder="1" applyAlignment="1" applyProtection="1">
      <alignment horizontal="center" vertical="center"/>
      <protection locked="0"/>
    </xf>
    <xf numFmtId="0" fontId="30" fillId="0" borderId="18" xfId="0" applyFont="1" applyBorder="1" applyAlignment="1" applyProtection="1">
      <alignment horizontal="left" vertical="center"/>
      <protection locked="0"/>
    </xf>
    <xf numFmtId="1" fontId="30" fillId="0" borderId="14" xfId="0" quotePrefix="1" applyNumberFormat="1" applyFont="1" applyBorder="1" applyAlignment="1" applyProtection="1">
      <alignment horizontal="center" vertical="center"/>
      <protection locked="0"/>
    </xf>
    <xf numFmtId="169" fontId="30" fillId="0" borderId="15" xfId="15" applyNumberFormat="1" applyFont="1" applyFill="1" applyBorder="1" applyAlignment="1" applyProtection="1">
      <alignment horizontal="right" vertical="center"/>
      <protection locked="0"/>
    </xf>
    <xf numFmtId="167" fontId="46" fillId="0" borderId="0" xfId="1" applyNumberFormat="1" applyFont="1" applyAlignment="1">
      <alignment horizontal="left" vertical="center"/>
    </xf>
    <xf numFmtId="1" fontId="42" fillId="3" borderId="1" xfId="0" applyNumberFormat="1" applyFont="1" applyFill="1" applyBorder="1" applyAlignment="1">
      <alignment horizontal="center" vertical="center" wrapText="1"/>
    </xf>
    <xf numFmtId="1" fontId="45" fillId="0" borderId="0" xfId="0" applyNumberFormat="1" applyFont="1" applyAlignment="1">
      <alignment horizontal="center" vertical="center"/>
    </xf>
    <xf numFmtId="1" fontId="39" fillId="0" borderId="8" xfId="1" applyNumberFormat="1" applyFont="1" applyFill="1" applyBorder="1" applyAlignment="1">
      <alignment horizontal="center" vertical="center" shrinkToFit="1"/>
    </xf>
    <xf numFmtId="1" fontId="44" fillId="0" borderId="31" xfId="1" applyNumberFormat="1" applyFont="1" applyFill="1" applyBorder="1" applyAlignment="1">
      <alignment horizontal="center" vertical="center" shrinkToFit="1"/>
    </xf>
    <xf numFmtId="1" fontId="46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38" fillId="0" borderId="8" xfId="20" applyNumberFormat="1" applyFont="1" applyFill="1" applyBorder="1" applyAlignment="1">
      <alignment horizontal="right" vertical="center" shrinkToFit="1"/>
    </xf>
    <xf numFmtId="165" fontId="42" fillId="0" borderId="8" xfId="20" applyNumberFormat="1" applyFont="1" applyFill="1" applyBorder="1" applyAlignment="1">
      <alignment horizontal="right" vertical="center" shrinkToFit="1"/>
    </xf>
    <xf numFmtId="165" fontId="23" fillId="0" borderId="0" xfId="0" applyNumberFormat="1" applyFont="1" applyAlignment="1">
      <alignment horizontal="left" vertical="center"/>
    </xf>
    <xf numFmtId="165" fontId="25" fillId="0" borderId="0" xfId="0" applyNumberFormat="1" applyFont="1" applyAlignment="1">
      <alignment horizontal="left" vertical="center" wrapText="1"/>
    </xf>
    <xf numFmtId="165" fontId="24" fillId="0" borderId="0" xfId="0" applyNumberFormat="1" applyFont="1" applyAlignment="1">
      <alignment vertical="center" wrapText="1"/>
    </xf>
    <xf numFmtId="9" fontId="47" fillId="0" borderId="0" xfId="2" applyFont="1" applyAlignment="1">
      <alignment horizontal="center" vertical="center"/>
    </xf>
    <xf numFmtId="169" fontId="25" fillId="0" borderId="0" xfId="2" applyNumberFormat="1" applyFont="1" applyAlignment="1">
      <alignment horizontal="center" vertical="center"/>
    </xf>
    <xf numFmtId="1" fontId="45" fillId="0" borderId="0" xfId="1" applyNumberFormat="1" applyFont="1" applyAlignment="1">
      <alignment horizontal="center" vertical="center"/>
    </xf>
    <xf numFmtId="1" fontId="43" fillId="0" borderId="0" xfId="1" applyNumberFormat="1" applyFont="1" applyAlignment="1">
      <alignment horizontal="center" vertical="center"/>
    </xf>
    <xf numFmtId="1" fontId="46" fillId="0" borderId="0" xfId="1" applyNumberFormat="1" applyFont="1" applyAlignment="1">
      <alignment horizontal="center" vertical="top"/>
    </xf>
    <xf numFmtId="1" fontId="38" fillId="0" borderId="0" xfId="1" applyNumberFormat="1" applyFont="1" applyFill="1" applyAlignment="1">
      <alignment horizontal="center" vertical="center"/>
    </xf>
    <xf numFmtId="1" fontId="46" fillId="0" borderId="0" xfId="1" applyNumberFormat="1" applyFont="1" applyAlignment="1">
      <alignment horizontal="center" vertical="center"/>
    </xf>
    <xf numFmtId="1" fontId="39" fillId="0" borderId="0" xfId="1" applyNumberFormat="1" applyFont="1" applyAlignment="1">
      <alignment horizontal="center" vertical="center"/>
    </xf>
    <xf numFmtId="1" fontId="44" fillId="0" borderId="0" xfId="1" applyNumberFormat="1" applyFont="1" applyAlignment="1">
      <alignment horizontal="center" vertical="top"/>
    </xf>
    <xf numFmtId="1" fontId="7" fillId="0" borderId="0" xfId="1" applyNumberFormat="1" applyFont="1" applyAlignment="1">
      <alignment horizontal="center" vertical="top"/>
    </xf>
    <xf numFmtId="177" fontId="45" fillId="0" borderId="0" xfId="3" applyNumberFormat="1" applyFont="1" applyAlignment="1">
      <alignment horizontal="center" vertical="center"/>
    </xf>
    <xf numFmtId="177" fontId="42" fillId="0" borderId="0" xfId="3" applyNumberFormat="1" applyFont="1" applyAlignment="1">
      <alignment horizontal="center" vertical="center" wrapText="1"/>
    </xf>
    <xf numFmtId="177" fontId="46" fillId="0" borderId="0" xfId="3" applyNumberFormat="1" applyFont="1" applyAlignment="1">
      <alignment horizontal="center" vertical="top"/>
    </xf>
    <xf numFmtId="177" fontId="38" fillId="0" borderId="0" xfId="3" applyNumberFormat="1" applyFont="1" applyFill="1" applyAlignment="1">
      <alignment horizontal="center" vertical="center"/>
    </xf>
    <xf numFmtId="177" fontId="43" fillId="0" borderId="0" xfId="3" applyNumberFormat="1" applyFont="1" applyAlignment="1">
      <alignment horizontal="center" vertical="center"/>
    </xf>
    <xf numFmtId="177" fontId="46" fillId="0" borderId="0" xfId="3" applyNumberFormat="1" applyFont="1" applyAlignment="1">
      <alignment horizontal="center" vertical="center"/>
    </xf>
    <xf numFmtId="177" fontId="39" fillId="0" borderId="0" xfId="3" applyNumberFormat="1" applyFont="1" applyFill="1" applyAlignment="1">
      <alignment horizontal="center" vertical="center"/>
    </xf>
    <xf numFmtId="177" fontId="39" fillId="0" borderId="0" xfId="3" applyNumberFormat="1" applyFont="1" applyAlignment="1">
      <alignment horizontal="center" vertical="center"/>
    </xf>
    <xf numFmtId="177" fontId="44" fillId="0" borderId="0" xfId="3" applyNumberFormat="1" applyFont="1" applyAlignment="1">
      <alignment horizontal="center" vertical="center"/>
    </xf>
    <xf numFmtId="177" fontId="0" fillId="0" borderId="0" xfId="3" applyNumberFormat="1" applyFont="1" applyAlignment="1">
      <alignment horizontal="center" vertical="top"/>
    </xf>
    <xf numFmtId="169" fontId="28" fillId="0" borderId="10" xfId="3" applyNumberFormat="1" applyFont="1" applyFill="1" applyBorder="1" applyAlignment="1">
      <alignment horizontal="right" vertical="center" shrinkToFit="1"/>
    </xf>
    <xf numFmtId="0" fontId="42" fillId="0" borderId="1" xfId="0" applyFont="1" applyBorder="1" applyAlignment="1">
      <alignment horizontal="center" vertical="center" wrapText="1"/>
    </xf>
    <xf numFmtId="169" fontId="39" fillId="0" borderId="8" xfId="3" applyNumberFormat="1" applyFont="1" applyFill="1" applyBorder="1" applyAlignment="1">
      <alignment horizontal="right" vertical="center" shrinkToFit="1"/>
    </xf>
    <xf numFmtId="169" fontId="43" fillId="0" borderId="31" xfId="3" applyNumberFormat="1" applyFont="1" applyFill="1" applyBorder="1" applyAlignment="1">
      <alignment horizontal="right" vertical="center"/>
    </xf>
    <xf numFmtId="169" fontId="42" fillId="0" borderId="0" xfId="0" applyNumberFormat="1" applyFont="1" applyAlignment="1">
      <alignment vertical="center" wrapText="1"/>
    </xf>
    <xf numFmtId="169" fontId="24" fillId="0" borderId="0" xfId="0" applyNumberFormat="1" applyFont="1" applyAlignment="1">
      <alignment vertical="center" wrapText="1"/>
    </xf>
    <xf numFmtId="0" fontId="50" fillId="0" borderId="0" xfId="0" applyFont="1" applyAlignment="1">
      <alignment horizontal="center" vertical="center"/>
    </xf>
    <xf numFmtId="9" fontId="51" fillId="0" borderId="0" xfId="2" applyFont="1" applyAlignment="1">
      <alignment horizontal="center" vertical="center"/>
    </xf>
    <xf numFmtId="165" fontId="42" fillId="0" borderId="24" xfId="0" applyNumberFormat="1" applyFont="1" applyBorder="1" applyAlignment="1">
      <alignment horizontal="left" vertical="center" wrapText="1"/>
    </xf>
    <xf numFmtId="169" fontId="42" fillId="0" borderId="0" xfId="0" applyNumberFormat="1" applyFont="1" applyAlignment="1">
      <alignment horizontal="left" vertical="center" wrapText="1"/>
    </xf>
    <xf numFmtId="165" fontId="16" fillId="0" borderId="0" xfId="2" applyNumberFormat="1" applyFont="1" applyFill="1" applyAlignment="1">
      <alignment vertical="center"/>
    </xf>
    <xf numFmtId="169" fontId="19" fillId="0" borderId="0" xfId="0" applyNumberFormat="1" applyFont="1" applyAlignment="1">
      <alignment horizontal="left" vertical="top"/>
    </xf>
    <xf numFmtId="169" fontId="43" fillId="0" borderId="0" xfId="0" applyNumberFormat="1" applyFont="1" applyAlignment="1">
      <alignment horizontal="left" vertical="center" wrapText="1"/>
    </xf>
    <xf numFmtId="169" fontId="39" fillId="0" borderId="10" xfId="3" applyNumberFormat="1" applyFont="1" applyFill="1" applyBorder="1" applyAlignment="1">
      <alignment horizontal="right" vertical="center" shrinkToFit="1"/>
    </xf>
    <xf numFmtId="169" fontId="39" fillId="0" borderId="13" xfId="3" applyNumberFormat="1" applyFont="1" applyFill="1" applyBorder="1" applyAlignment="1" applyProtection="1">
      <alignment horizontal="right" vertical="center"/>
      <protection locked="0"/>
    </xf>
    <xf numFmtId="165" fontId="37" fillId="0" borderId="13" xfId="1" applyFont="1" applyFill="1" applyBorder="1" applyAlignment="1" applyProtection="1">
      <alignment horizontal="right" vertical="center"/>
      <protection locked="0"/>
    </xf>
    <xf numFmtId="169" fontId="10" fillId="0" borderId="34" xfId="3" applyNumberFormat="1" applyFont="1" applyFill="1" applyBorder="1" applyAlignment="1">
      <alignment horizontal="left" vertical="center"/>
    </xf>
    <xf numFmtId="169" fontId="23" fillId="0" borderId="34" xfId="3" applyNumberFormat="1" applyFont="1" applyFill="1" applyBorder="1" applyAlignment="1">
      <alignment horizontal="left" vertical="center"/>
    </xf>
    <xf numFmtId="169" fontId="25" fillId="0" borderId="34" xfId="3" applyNumberFormat="1" applyFont="1" applyFill="1" applyBorder="1" applyAlignment="1">
      <alignment horizontal="left" vertical="center"/>
    </xf>
    <xf numFmtId="169" fontId="10" fillId="0" borderId="35" xfId="3" applyNumberFormat="1" applyFont="1" applyFill="1" applyBorder="1" applyAlignment="1">
      <alignment horizontal="left" vertical="center"/>
    </xf>
    <xf numFmtId="169" fontId="23" fillId="0" borderId="35" xfId="3" applyNumberFormat="1" applyFont="1" applyFill="1" applyBorder="1" applyAlignment="1">
      <alignment horizontal="left" vertical="center"/>
    </xf>
    <xf numFmtId="10" fontId="24" fillId="0" borderId="34" xfId="2" applyNumberFormat="1" applyFont="1" applyFill="1" applyBorder="1" applyAlignment="1">
      <alignment horizontal="center" vertical="center"/>
    </xf>
    <xf numFmtId="169" fontId="10" fillId="0" borderId="36" xfId="3" applyNumberFormat="1" applyFont="1" applyFill="1" applyBorder="1" applyAlignment="1">
      <alignment horizontal="left" vertical="center"/>
    </xf>
    <xf numFmtId="169" fontId="23" fillId="0" borderId="36" xfId="3" applyNumberFormat="1" applyFont="1" applyFill="1" applyBorder="1" applyAlignment="1">
      <alignment horizontal="left" vertical="center"/>
    </xf>
    <xf numFmtId="169" fontId="10" fillId="0" borderId="50" xfId="3" applyNumberFormat="1" applyFont="1" applyFill="1" applyBorder="1" applyAlignment="1">
      <alignment horizontal="left" vertical="center"/>
    </xf>
    <xf numFmtId="169" fontId="25" fillId="0" borderId="35" xfId="3" applyNumberFormat="1" applyFont="1" applyFill="1" applyBorder="1" applyAlignment="1">
      <alignment horizontal="left" vertical="center"/>
    </xf>
    <xf numFmtId="169" fontId="11" fillId="0" borderId="34" xfId="3" applyNumberFormat="1" applyFont="1" applyFill="1" applyBorder="1" applyAlignment="1">
      <alignment horizontal="left" vertical="center"/>
    </xf>
    <xf numFmtId="169" fontId="24" fillId="0" borderId="34" xfId="3" applyNumberFormat="1" applyFont="1" applyFill="1" applyBorder="1" applyAlignment="1">
      <alignment horizontal="left" vertical="center"/>
    </xf>
    <xf numFmtId="0" fontId="52" fillId="4" borderId="0" xfId="0" applyFont="1" applyFill="1" applyAlignment="1">
      <alignment horizontal="left" vertical="top"/>
    </xf>
    <xf numFmtId="0" fontId="53" fillId="4" borderId="0" xfId="0" applyFont="1" applyFill="1" applyAlignment="1">
      <alignment horizontal="left" vertical="center"/>
    </xf>
    <xf numFmtId="169" fontId="47" fillId="0" borderId="0" xfId="2" applyNumberFormat="1" applyFont="1" applyAlignment="1">
      <alignment horizontal="center" vertical="center"/>
    </xf>
    <xf numFmtId="169" fontId="54" fillId="0" borderId="0" xfId="2" applyNumberFormat="1" applyFont="1" applyAlignment="1">
      <alignment horizontal="center" vertical="center"/>
    </xf>
    <xf numFmtId="1" fontId="38" fillId="0" borderId="18" xfId="0" applyNumberFormat="1" applyFont="1" applyBorder="1" applyAlignment="1" applyProtection="1">
      <alignment horizontal="center" vertical="center"/>
      <protection locked="0"/>
    </xf>
    <xf numFmtId="0" fontId="38" fillId="0" borderId="18" xfId="0" applyFont="1" applyBorder="1" applyAlignment="1" applyProtection="1">
      <alignment horizontal="left" vertical="center"/>
      <protection locked="0"/>
    </xf>
    <xf numFmtId="0" fontId="41" fillId="0" borderId="18" xfId="0" applyFont="1" applyBorder="1" applyAlignment="1" applyProtection="1">
      <alignment horizontal="left" vertical="center" wrapText="1"/>
      <protection locked="0"/>
    </xf>
    <xf numFmtId="0" fontId="42" fillId="7" borderId="0" xfId="0" applyFont="1" applyFill="1" applyAlignment="1">
      <alignment horizontal="center" vertical="center" wrapText="1"/>
    </xf>
    <xf numFmtId="0" fontId="45" fillId="7" borderId="0" xfId="0" applyFont="1" applyFill="1" applyAlignment="1">
      <alignment horizontal="center" vertical="center"/>
    </xf>
    <xf numFmtId="0" fontId="39" fillId="7" borderId="8" xfId="1" applyNumberFormat="1" applyFont="1" applyFill="1" applyBorder="1" applyAlignment="1">
      <alignment horizontal="center" vertical="center" shrinkToFit="1"/>
    </xf>
    <xf numFmtId="165" fontId="44" fillId="7" borderId="31" xfId="1" applyFont="1" applyFill="1" applyBorder="1" applyAlignment="1">
      <alignment horizontal="center" vertical="center" shrinkToFit="1"/>
    </xf>
    <xf numFmtId="0" fontId="43" fillId="7" borderId="0" xfId="0" applyFont="1" applyFill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165" fontId="45" fillId="0" borderId="0" xfId="0" applyNumberFormat="1" applyFont="1" applyAlignment="1">
      <alignment horizontal="left" vertical="center"/>
    </xf>
    <xf numFmtId="9" fontId="25" fillId="0" borderId="0" xfId="2" applyFont="1" applyAlignment="1">
      <alignment horizontal="center" vertical="center"/>
    </xf>
    <xf numFmtId="9" fontId="55" fillId="0" borderId="0" xfId="2" applyFont="1" applyAlignment="1">
      <alignment horizontal="center" vertical="center"/>
    </xf>
    <xf numFmtId="10" fontId="24" fillId="0" borderId="36" xfId="2" applyNumberFormat="1" applyFont="1" applyFill="1" applyBorder="1" applyAlignment="1">
      <alignment horizontal="center" vertical="center"/>
    </xf>
    <xf numFmtId="9" fontId="25" fillId="0" borderId="34" xfId="2" applyFont="1" applyFill="1" applyBorder="1" applyAlignment="1">
      <alignment horizontal="center" vertical="center"/>
    </xf>
    <xf numFmtId="9" fontId="25" fillId="0" borderId="36" xfId="2" applyFont="1" applyFill="1" applyBorder="1" applyAlignment="1">
      <alignment horizontal="center" vertical="center"/>
    </xf>
    <xf numFmtId="169" fontId="58" fillId="0" borderId="0" xfId="3" applyNumberFormat="1" applyFont="1" applyAlignment="1">
      <alignment horizontal="left" vertical="center"/>
    </xf>
    <xf numFmtId="169" fontId="59" fillId="0" borderId="0" xfId="3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/>
    </xf>
    <xf numFmtId="166" fontId="0" fillId="0" borderId="0" xfId="3" applyFont="1" applyAlignment="1">
      <alignment horizontal="left" vertical="top"/>
    </xf>
    <xf numFmtId="169" fontId="60" fillId="0" borderId="0" xfId="3" applyNumberFormat="1" applyFont="1" applyAlignment="1">
      <alignment horizontal="left" vertical="center"/>
    </xf>
    <xf numFmtId="169" fontId="0" fillId="0" borderId="0" xfId="3" applyNumberFormat="1" applyFont="1" applyAlignment="1">
      <alignment horizontal="left" vertical="top"/>
    </xf>
    <xf numFmtId="169" fontId="57" fillId="0" borderId="0" xfId="3" applyNumberFormat="1" applyFont="1" applyAlignment="1">
      <alignment horizontal="left" vertical="center"/>
    </xf>
    <xf numFmtId="169" fontId="56" fillId="0" borderId="0" xfId="3" applyNumberFormat="1" applyFont="1" applyAlignment="1">
      <alignment horizontal="left" vertical="center"/>
    </xf>
    <xf numFmtId="43" fontId="0" fillId="0" borderId="0" xfId="0" applyNumberFormat="1" applyAlignment="1">
      <alignment horizontal="left" vertical="top"/>
    </xf>
    <xf numFmtId="43" fontId="6" fillId="0" borderId="0" xfId="0" applyNumberFormat="1" applyFont="1" applyAlignment="1">
      <alignment horizontal="left" vertical="top"/>
    </xf>
    <xf numFmtId="0" fontId="23" fillId="0" borderId="17" xfId="0" applyFont="1" applyBorder="1" applyAlignment="1">
      <alignment horizontal="center" vertical="center"/>
    </xf>
    <xf numFmtId="10" fontId="49" fillId="0" borderId="0" xfId="2" applyNumberFormat="1" applyFont="1" applyBorder="1" applyAlignment="1">
      <alignment horizontal="center" vertical="center"/>
    </xf>
    <xf numFmtId="10" fontId="47" fillId="0" borderId="0" xfId="2" applyNumberFormat="1" applyFont="1" applyBorder="1" applyAlignment="1">
      <alignment horizontal="center" vertical="center"/>
    </xf>
    <xf numFmtId="10" fontId="48" fillId="0" borderId="0" xfId="2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left" vertical="center"/>
    </xf>
    <xf numFmtId="169" fontId="25" fillId="0" borderId="36" xfId="3" applyNumberFormat="1" applyFont="1" applyFill="1" applyBorder="1" applyAlignment="1">
      <alignment horizontal="left" vertical="center"/>
    </xf>
    <xf numFmtId="169" fontId="23" fillId="0" borderId="50" xfId="3" applyNumberFormat="1" applyFont="1" applyFill="1" applyBorder="1" applyAlignment="1">
      <alignment horizontal="left" vertical="center"/>
    </xf>
    <xf numFmtId="10" fontId="24" fillId="0" borderId="35" xfId="2" applyNumberFormat="1" applyFont="1" applyFill="1" applyBorder="1" applyAlignment="1">
      <alignment horizontal="center" vertical="center"/>
    </xf>
    <xf numFmtId="169" fontId="16" fillId="0" borderId="50" xfId="3" applyNumberFormat="1" applyFont="1" applyFill="1" applyBorder="1" applyAlignment="1">
      <alignment horizontal="left" vertical="center"/>
    </xf>
    <xf numFmtId="169" fontId="25" fillId="0" borderId="50" xfId="3" applyNumberFormat="1" applyFont="1" applyFill="1" applyBorder="1" applyAlignment="1">
      <alignment horizontal="left" vertical="center"/>
    </xf>
    <xf numFmtId="9" fontId="25" fillId="0" borderId="35" xfId="2" applyFont="1" applyFill="1" applyBorder="1" applyAlignment="1">
      <alignment horizontal="center" vertical="center"/>
    </xf>
    <xf numFmtId="0" fontId="10" fillId="0" borderId="36" xfId="0" applyFont="1" applyBorder="1" applyAlignment="1">
      <alignment horizontal="left" vertical="center" wrapText="1"/>
    </xf>
    <xf numFmtId="169" fontId="11" fillId="0" borderId="36" xfId="3" applyNumberFormat="1" applyFont="1" applyFill="1" applyBorder="1" applyAlignment="1">
      <alignment horizontal="left" vertical="center"/>
    </xf>
    <xf numFmtId="0" fontId="16" fillId="0" borderId="35" xfId="0" applyFont="1" applyBorder="1" applyAlignment="1">
      <alignment horizontal="center" vertical="center"/>
    </xf>
    <xf numFmtId="0" fontId="16" fillId="0" borderId="35" xfId="0" applyFont="1" applyBorder="1" applyAlignment="1">
      <alignment horizontal="left" vertical="center"/>
    </xf>
    <xf numFmtId="0" fontId="23" fillId="2" borderId="50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23" fillId="6" borderId="50" xfId="0" applyFont="1" applyFill="1" applyBorder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4" fillId="2" borderId="50" xfId="0" applyFont="1" applyFill="1" applyBorder="1" applyAlignment="1">
      <alignment horizontal="center" vertical="center" wrapText="1"/>
    </xf>
    <xf numFmtId="0" fontId="24" fillId="3" borderId="50" xfId="0" applyFont="1" applyFill="1" applyBorder="1" applyAlignment="1">
      <alignment horizontal="center" vertical="center" wrapText="1"/>
    </xf>
    <xf numFmtId="0" fontId="24" fillId="6" borderId="50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left" vertical="center" wrapText="1"/>
    </xf>
    <xf numFmtId="9" fontId="24" fillId="0" borderId="35" xfId="2" applyFont="1" applyFill="1" applyBorder="1" applyAlignment="1">
      <alignment horizontal="center" vertical="center"/>
    </xf>
    <xf numFmtId="0" fontId="52" fillId="4" borderId="55" xfId="0" applyFont="1" applyFill="1" applyBorder="1" applyAlignment="1">
      <alignment horizontal="left" vertical="center"/>
    </xf>
    <xf numFmtId="169" fontId="53" fillId="4" borderId="55" xfId="3" applyNumberFormat="1" applyFont="1" applyFill="1" applyBorder="1" applyAlignment="1">
      <alignment horizontal="left" vertical="center"/>
    </xf>
    <xf numFmtId="169" fontId="52" fillId="4" borderId="55" xfId="3" applyNumberFormat="1" applyFont="1" applyFill="1" applyBorder="1" applyAlignment="1">
      <alignment horizontal="left" vertical="center"/>
    </xf>
    <xf numFmtId="169" fontId="53" fillId="4" borderId="55" xfId="3" applyNumberFormat="1" applyFont="1" applyFill="1" applyBorder="1" applyAlignment="1">
      <alignment horizontal="center" vertical="center"/>
    </xf>
    <xf numFmtId="169" fontId="52" fillId="4" borderId="55" xfId="3" applyNumberFormat="1" applyFont="1" applyFill="1" applyBorder="1" applyAlignment="1">
      <alignment horizontal="center" vertical="center" wrapText="1"/>
    </xf>
    <xf numFmtId="9" fontId="25" fillId="4" borderId="55" xfId="2" applyFont="1" applyFill="1" applyBorder="1" applyAlignment="1">
      <alignment horizontal="center" vertical="center"/>
    </xf>
    <xf numFmtId="0" fontId="52" fillId="4" borderId="55" xfId="0" applyFont="1" applyFill="1" applyBorder="1" applyAlignment="1">
      <alignment horizontal="center" vertical="center"/>
    </xf>
    <xf numFmtId="0" fontId="25" fillId="0" borderId="55" xfId="0" applyFont="1" applyBorder="1" applyAlignment="1">
      <alignment horizontal="center" vertical="center"/>
    </xf>
    <xf numFmtId="0" fontId="25" fillId="0" borderId="55" xfId="0" applyFont="1" applyBorder="1" applyAlignment="1">
      <alignment horizontal="left" vertical="center"/>
    </xf>
    <xf numFmtId="169" fontId="25" fillId="0" borderId="55" xfId="3" applyNumberFormat="1" applyFont="1" applyFill="1" applyBorder="1" applyAlignment="1">
      <alignment horizontal="left" vertical="center"/>
    </xf>
    <xf numFmtId="9" fontId="25" fillId="0" borderId="55" xfId="2" applyFont="1" applyFill="1" applyBorder="1" applyAlignment="1">
      <alignment horizontal="center" vertical="center"/>
    </xf>
    <xf numFmtId="10" fontId="52" fillId="4" borderId="55" xfId="2" applyNumberFormat="1" applyFont="1" applyFill="1" applyBorder="1" applyAlignment="1">
      <alignment horizontal="center" vertical="center"/>
    </xf>
    <xf numFmtId="10" fontId="24" fillId="0" borderId="50" xfId="2" applyNumberFormat="1" applyFont="1" applyFill="1" applyBorder="1" applyAlignment="1">
      <alignment horizontal="center" vertical="center"/>
    </xf>
    <xf numFmtId="169" fontId="25" fillId="0" borderId="0" xfId="2" applyNumberFormat="1" applyFont="1" applyFill="1" applyBorder="1" applyAlignment="1">
      <alignment horizontal="center" vertical="center"/>
    </xf>
    <xf numFmtId="9" fontId="55" fillId="0" borderId="0" xfId="21" applyFont="1" applyAlignment="1">
      <alignment horizontal="center" vertical="center"/>
    </xf>
    <xf numFmtId="0" fontId="50" fillId="0" borderId="0" xfId="25" applyFont="1" applyAlignment="1">
      <alignment horizontal="center" vertical="center"/>
    </xf>
    <xf numFmtId="0" fontId="6" fillId="0" borderId="0" xfId="25" applyFont="1" applyAlignment="1">
      <alignment horizontal="left" vertical="top"/>
    </xf>
    <xf numFmtId="169" fontId="5" fillId="0" borderId="0" xfId="25" applyNumberFormat="1" applyAlignment="1">
      <alignment horizontal="left" vertical="top"/>
    </xf>
    <xf numFmtId="0" fontId="19" fillId="0" borderId="0" xfId="25" applyFont="1" applyAlignment="1">
      <alignment horizontal="left" vertical="top"/>
    </xf>
    <xf numFmtId="169" fontId="50" fillId="0" borderId="0" xfId="25" applyNumberFormat="1" applyFont="1" applyAlignment="1">
      <alignment horizontal="center" vertical="center"/>
    </xf>
    <xf numFmtId="9" fontId="25" fillId="0" borderId="0" xfId="21" applyFont="1" applyAlignment="1">
      <alignment horizontal="center" vertical="center"/>
    </xf>
    <xf numFmtId="0" fontId="23" fillId="0" borderId="0" xfId="25" applyFont="1" applyAlignment="1">
      <alignment horizontal="left" vertical="top"/>
    </xf>
    <xf numFmtId="169" fontId="6" fillId="0" borderId="0" xfId="25" applyNumberFormat="1" applyFont="1" applyAlignment="1">
      <alignment horizontal="left" vertical="top"/>
    </xf>
    <xf numFmtId="169" fontId="25" fillId="0" borderId="0" xfId="25" applyNumberFormat="1" applyFont="1" applyAlignment="1">
      <alignment horizontal="left" vertical="center"/>
    </xf>
    <xf numFmtId="10" fontId="48" fillId="0" borderId="0" xfId="21" applyNumberFormat="1" applyFont="1" applyBorder="1" applyAlignment="1">
      <alignment horizontal="center" vertical="center"/>
    </xf>
    <xf numFmtId="0" fontId="23" fillId="0" borderId="16" xfId="25" applyFont="1" applyBorder="1" applyAlignment="1">
      <alignment horizontal="center" vertical="center" wrapText="1"/>
    </xf>
    <xf numFmtId="0" fontId="23" fillId="0" borderId="13" xfId="25" applyFont="1" applyBorder="1" applyAlignment="1">
      <alignment horizontal="center" vertical="center"/>
    </xf>
    <xf numFmtId="0" fontId="23" fillId="0" borderId="13" xfId="25" applyFont="1" applyBorder="1" applyAlignment="1">
      <alignment horizontal="center" vertical="center" wrapText="1"/>
    </xf>
    <xf numFmtId="9" fontId="25" fillId="0" borderId="14" xfId="21" applyFont="1" applyFill="1" applyBorder="1" applyAlignment="1">
      <alignment horizontal="center" vertical="center"/>
    </xf>
    <xf numFmtId="0" fontId="24" fillId="0" borderId="13" xfId="25" applyFont="1" applyBorder="1" applyAlignment="1">
      <alignment horizontal="center" vertical="center" wrapText="1"/>
    </xf>
    <xf numFmtId="0" fontId="23" fillId="0" borderId="0" xfId="25" applyFont="1" applyAlignment="1">
      <alignment horizontal="center" vertical="top"/>
    </xf>
    <xf numFmtId="0" fontId="24" fillId="0" borderId="16" xfId="25" applyFont="1" applyBorder="1" applyAlignment="1">
      <alignment horizontal="center" vertical="center" wrapText="1"/>
    </xf>
    <xf numFmtId="0" fontId="24" fillId="0" borderId="17" xfId="25" applyFont="1" applyBorder="1" applyAlignment="1">
      <alignment horizontal="center" vertical="center" wrapText="1"/>
    </xf>
    <xf numFmtId="166" fontId="6" fillId="0" borderId="0" xfId="3" applyFont="1" applyAlignment="1">
      <alignment horizontal="left" vertical="top"/>
    </xf>
    <xf numFmtId="165" fontId="22" fillId="0" borderId="14" xfId="1" applyFont="1" applyFill="1" applyBorder="1" applyAlignment="1" applyProtection="1">
      <alignment horizontal="center" vertical="center"/>
      <protection locked="0"/>
    </xf>
    <xf numFmtId="1" fontId="30" fillId="0" borderId="14" xfId="0" applyNumberFormat="1" applyFont="1" applyBorder="1" applyAlignment="1" applyProtection="1">
      <alignment horizontal="center" vertical="center"/>
      <protection locked="0"/>
    </xf>
    <xf numFmtId="169" fontId="31" fillId="0" borderId="14" xfId="15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Alignment="1">
      <alignment horizontal="center" vertical="top"/>
    </xf>
    <xf numFmtId="0" fontId="34" fillId="0" borderId="31" xfId="0" applyFont="1" applyBorder="1" applyAlignment="1">
      <alignment horizontal="center" vertical="center"/>
    </xf>
    <xf numFmtId="169" fontId="31" fillId="0" borderId="18" xfId="15" applyNumberFormat="1" applyFont="1" applyFill="1" applyBorder="1" applyAlignment="1" applyProtection="1">
      <alignment horizontal="center" vertical="center"/>
      <protection locked="0"/>
    </xf>
    <xf numFmtId="169" fontId="31" fillId="0" borderId="15" xfId="15" applyNumberFormat="1" applyFont="1" applyFill="1" applyBorder="1" applyAlignment="1" applyProtection="1">
      <alignment horizontal="right" vertical="center"/>
      <protection locked="0"/>
    </xf>
    <xf numFmtId="1" fontId="31" fillId="0" borderId="18" xfId="0" applyNumberFormat="1" applyFont="1" applyBorder="1" applyAlignment="1" applyProtection="1">
      <alignment horizontal="center" vertical="center"/>
      <protection locked="0"/>
    </xf>
    <xf numFmtId="178" fontId="31" fillId="0" borderId="15" xfId="0" applyNumberFormat="1" applyFont="1" applyBorder="1" applyAlignment="1" applyProtection="1">
      <alignment horizontal="right" vertical="center"/>
      <protection locked="0"/>
    </xf>
    <xf numFmtId="174" fontId="31" fillId="0" borderId="15" xfId="0" applyNumberFormat="1" applyFont="1" applyBorder="1" applyAlignment="1" applyProtection="1">
      <alignment horizontal="right" vertical="center"/>
      <protection locked="0"/>
    </xf>
    <xf numFmtId="1" fontId="31" fillId="0" borderId="18" xfId="0" applyNumberFormat="1" applyFont="1" applyBorder="1" applyAlignment="1" applyProtection="1">
      <alignment horizontal="right" vertical="center"/>
      <protection locked="0"/>
    </xf>
    <xf numFmtId="169" fontId="31" fillId="0" borderId="15" xfId="3" applyNumberFormat="1" applyFont="1" applyBorder="1" applyAlignment="1" applyProtection="1">
      <alignment horizontal="right" vertical="center"/>
      <protection locked="0"/>
    </xf>
    <xf numFmtId="169" fontId="22" fillId="0" borderId="14" xfId="3" applyNumberFormat="1" applyFont="1" applyFill="1" applyBorder="1" applyAlignment="1" applyProtection="1">
      <alignment horizontal="center" vertical="center"/>
      <protection locked="0"/>
    </xf>
    <xf numFmtId="165" fontId="31" fillId="0" borderId="15" xfId="18" applyFont="1" applyFill="1" applyBorder="1" applyAlignment="1" applyProtection="1">
      <alignment horizontal="right" vertical="center"/>
      <protection locked="0"/>
    </xf>
    <xf numFmtId="0" fontId="39" fillId="0" borderId="0" xfId="0" applyFont="1" applyAlignment="1">
      <alignment horizontal="center" vertical="center"/>
    </xf>
    <xf numFmtId="9" fontId="42" fillId="0" borderId="0" xfId="2" applyFont="1" applyAlignment="1">
      <alignment horizontal="left" vertical="center" wrapText="1"/>
    </xf>
    <xf numFmtId="167" fontId="42" fillId="0" borderId="0" xfId="1" applyNumberFormat="1" applyFont="1" applyAlignment="1">
      <alignment horizontal="left" vertical="center"/>
    </xf>
    <xf numFmtId="0" fontId="31" fillId="0" borderId="13" xfId="0" applyFont="1" applyBorder="1" applyAlignment="1" applyProtection="1">
      <alignment horizontal="center" vertical="center"/>
      <protection locked="0"/>
    </xf>
    <xf numFmtId="1" fontId="31" fillId="0" borderId="14" xfId="0" applyNumberFormat="1" applyFont="1" applyBorder="1" applyAlignment="1" applyProtection="1">
      <alignment horizontal="center" vertical="center"/>
      <protection locked="0"/>
    </xf>
    <xf numFmtId="169" fontId="38" fillId="0" borderId="10" xfId="3" applyNumberFormat="1" applyFont="1" applyFill="1" applyBorder="1" applyAlignment="1">
      <alignment horizontal="right" vertical="center" shrinkToFit="1"/>
    </xf>
    <xf numFmtId="165" fontId="38" fillId="0" borderId="8" xfId="20" applyNumberFormat="1" applyFont="1" applyFill="1" applyBorder="1" applyAlignment="1">
      <alignment horizontal="left" vertical="center"/>
    </xf>
    <xf numFmtId="9" fontId="42" fillId="0" borderId="0" xfId="2" applyFont="1" applyFill="1" applyBorder="1" applyAlignment="1">
      <alignment horizontal="center" vertical="center"/>
    </xf>
    <xf numFmtId="1" fontId="42" fillId="0" borderId="18" xfId="0" applyNumberFormat="1" applyFont="1" applyBorder="1" applyAlignment="1" applyProtection="1">
      <alignment horizontal="left" vertical="center" wrapText="1"/>
      <protection locked="0"/>
    </xf>
    <xf numFmtId="1" fontId="38" fillId="0" borderId="14" xfId="0" applyNumberFormat="1" applyFont="1" applyBorder="1" applyAlignment="1" applyProtection="1">
      <alignment horizontal="center" vertical="center"/>
      <protection locked="0"/>
    </xf>
    <xf numFmtId="0" fontId="38" fillId="0" borderId="15" xfId="0" applyFont="1" applyBorder="1" applyAlignment="1" applyProtection="1">
      <alignment horizontal="center" vertical="center"/>
      <protection locked="0"/>
    </xf>
    <xf numFmtId="169" fontId="38" fillId="0" borderId="8" xfId="3" applyNumberFormat="1" applyFont="1" applyFill="1" applyBorder="1" applyAlignment="1">
      <alignment horizontal="right" vertical="center" shrinkToFit="1"/>
    </xf>
    <xf numFmtId="0" fontId="38" fillId="7" borderId="8" xfId="1" applyNumberFormat="1" applyFont="1" applyFill="1" applyBorder="1" applyAlignment="1">
      <alignment horizontal="center" vertical="center" shrinkToFit="1"/>
    </xf>
    <xf numFmtId="0" fontId="36" fillId="0" borderId="31" xfId="0" applyFont="1" applyBorder="1" applyAlignment="1">
      <alignment horizontal="center" vertical="center"/>
    </xf>
    <xf numFmtId="165" fontId="37" fillId="0" borderId="15" xfId="1" applyFont="1" applyFill="1" applyBorder="1" applyAlignment="1" applyProtection="1">
      <alignment horizontal="right" vertical="center"/>
      <protection locked="0"/>
    </xf>
    <xf numFmtId="0" fontId="31" fillId="0" borderId="18" xfId="0" applyFont="1" applyBorder="1" applyAlignment="1">
      <alignment vertical="center"/>
    </xf>
    <xf numFmtId="1" fontId="30" fillId="0" borderId="18" xfId="0" applyNumberFormat="1" applyFont="1" applyBorder="1" applyAlignment="1" applyProtection="1">
      <alignment horizontal="center" vertical="center"/>
      <protection locked="0"/>
    </xf>
    <xf numFmtId="1" fontId="31" fillId="0" borderId="18" xfId="0" applyNumberFormat="1" applyFont="1" applyBorder="1" applyAlignment="1" applyProtection="1">
      <alignment horizontal="left" vertical="center"/>
      <protection locked="0"/>
    </xf>
    <xf numFmtId="169" fontId="30" fillId="0" borderId="13" xfId="15" applyNumberFormat="1" applyFont="1" applyFill="1" applyBorder="1" applyAlignment="1" applyProtection="1">
      <alignment horizontal="right" vertical="center"/>
      <protection locked="0"/>
    </xf>
    <xf numFmtId="169" fontId="39" fillId="0" borderId="0" xfId="3" applyNumberFormat="1" applyFont="1" applyFill="1" applyBorder="1" applyAlignment="1" applyProtection="1">
      <alignment horizontal="right" vertical="center"/>
      <protection locked="0"/>
    </xf>
    <xf numFmtId="1" fontId="63" fillId="0" borderId="18" xfId="0" applyNumberFormat="1" applyFont="1" applyBorder="1" applyAlignment="1" applyProtection="1">
      <alignment horizontal="left" vertical="center"/>
      <protection locked="0"/>
    </xf>
    <xf numFmtId="0" fontId="30" fillId="0" borderId="18" xfId="0" applyFont="1" applyBorder="1" applyAlignment="1">
      <alignment horizontal="center" vertical="center"/>
    </xf>
    <xf numFmtId="169" fontId="30" fillId="0" borderId="13" xfId="15" applyNumberFormat="1" applyFont="1" applyFill="1" applyBorder="1" applyAlignment="1" applyProtection="1">
      <alignment vertical="center"/>
      <protection locked="0"/>
    </xf>
    <xf numFmtId="169" fontId="39" fillId="0" borderId="10" xfId="3" applyNumberFormat="1" applyFont="1" applyBorder="1" applyAlignment="1">
      <alignment horizontal="right" vertical="center" indent="3" shrinkToFi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10" fontId="25" fillId="0" borderId="55" xfId="2" applyNumberFormat="1" applyFont="1" applyFill="1" applyBorder="1" applyAlignment="1">
      <alignment horizontal="center" vertical="center"/>
    </xf>
    <xf numFmtId="165" fontId="0" fillId="0" borderId="13" xfId="0" applyNumberFormat="1" applyBorder="1" applyAlignment="1">
      <alignment vertical="center"/>
    </xf>
    <xf numFmtId="165" fontId="30" fillId="0" borderId="15" xfId="0" applyNumberFormat="1" applyFont="1" applyBorder="1" applyAlignment="1">
      <alignment horizontal="center" vertical="center"/>
    </xf>
    <xf numFmtId="165" fontId="30" fillId="0" borderId="13" xfId="0" applyNumberFormat="1" applyFont="1" applyBorder="1" applyAlignment="1">
      <alignment vertical="center"/>
    </xf>
    <xf numFmtId="1" fontId="31" fillId="0" borderId="13" xfId="0" applyNumberFormat="1" applyFont="1" applyBorder="1" applyAlignment="1" applyProtection="1">
      <alignment horizontal="center" vertical="center"/>
      <protection locked="0"/>
    </xf>
    <xf numFmtId="1" fontId="31" fillId="0" borderId="43" xfId="0" applyNumberFormat="1" applyFont="1" applyBorder="1" applyAlignment="1" applyProtection="1">
      <alignment horizontal="center" vertical="center"/>
      <protection locked="0"/>
    </xf>
    <xf numFmtId="1" fontId="31" fillId="0" borderId="60" xfId="0" applyNumberFormat="1" applyFont="1" applyBorder="1" applyAlignment="1" applyProtection="1">
      <alignment horizontal="center" vertical="center"/>
      <protection locked="0"/>
    </xf>
    <xf numFmtId="169" fontId="31" fillId="0" borderId="61" xfId="15" applyNumberFormat="1" applyFont="1" applyFill="1" applyBorder="1" applyAlignment="1" applyProtection="1">
      <alignment horizontal="center" vertical="center"/>
      <protection locked="0"/>
    </xf>
    <xf numFmtId="1" fontId="31" fillId="0" borderId="62" xfId="0" applyNumberFormat="1" applyFont="1" applyBorder="1" applyAlignment="1" applyProtection="1">
      <alignment horizontal="center" vertical="center"/>
      <protection locked="0"/>
    </xf>
    <xf numFmtId="169" fontId="31" fillId="0" borderId="40" xfId="15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165" fontId="66" fillId="0" borderId="0" xfId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168" fontId="46" fillId="0" borderId="0" xfId="0" applyNumberFormat="1" applyFont="1" applyAlignment="1">
      <alignment horizontal="left" vertical="center"/>
    </xf>
    <xf numFmtId="1" fontId="66" fillId="0" borderId="0" xfId="1" applyNumberFormat="1" applyFont="1" applyAlignment="1">
      <alignment horizontal="center" vertical="center"/>
    </xf>
    <xf numFmtId="167" fontId="0" fillId="0" borderId="0" xfId="1" applyNumberFormat="1" applyFont="1" applyAlignment="1">
      <alignment horizontal="left" vertical="center"/>
    </xf>
    <xf numFmtId="0" fontId="22" fillId="0" borderId="13" xfId="0" applyFont="1" applyBorder="1" applyAlignment="1" applyProtection="1">
      <alignment horizontal="center" vertical="center"/>
      <protection locked="0"/>
    </xf>
    <xf numFmtId="165" fontId="22" fillId="7" borderId="13" xfId="18" applyFont="1" applyFill="1" applyBorder="1" applyAlignment="1" applyProtection="1">
      <alignment horizontal="right" vertical="center"/>
      <protection locked="0"/>
    </xf>
    <xf numFmtId="165" fontId="10" fillId="0" borderId="0" xfId="1" applyFont="1" applyAlignment="1">
      <alignment horizontal="left" vertical="center"/>
    </xf>
    <xf numFmtId="169" fontId="22" fillId="0" borderId="13" xfId="15" applyNumberFormat="1" applyFont="1" applyBorder="1" applyAlignment="1">
      <alignment vertical="center"/>
    </xf>
    <xf numFmtId="0" fontId="24" fillId="5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16" fillId="0" borderId="13" xfId="0" applyFont="1" applyBorder="1" applyAlignment="1">
      <alignment vertical="center"/>
    </xf>
    <xf numFmtId="0" fontId="31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5" fontId="31" fillId="0" borderId="15" xfId="0" applyNumberFormat="1" applyFont="1" applyBorder="1" applyAlignment="1">
      <alignment horizontal="center" vertical="center"/>
    </xf>
    <xf numFmtId="165" fontId="31" fillId="0" borderId="13" xfId="0" applyNumberFormat="1" applyFont="1" applyBorder="1" applyAlignment="1">
      <alignment vertical="center"/>
    </xf>
    <xf numFmtId="169" fontId="16" fillId="0" borderId="15" xfId="20" applyNumberFormat="1" applyFont="1" applyFill="1" applyBorder="1" applyAlignment="1" applyProtection="1">
      <alignment horizontal="right" vertical="center"/>
      <protection locked="0"/>
    </xf>
    <xf numFmtId="165" fontId="16" fillId="0" borderId="8" xfId="20" applyNumberFormat="1" applyFont="1" applyFill="1" applyBorder="1" applyAlignment="1">
      <alignment horizontal="left" vertical="center"/>
    </xf>
    <xf numFmtId="9" fontId="24" fillId="0" borderId="0" xfId="2" applyFont="1" applyFill="1" applyBorder="1" applyAlignment="1">
      <alignment horizontal="center" vertical="center"/>
    </xf>
    <xf numFmtId="0" fontId="24" fillId="0" borderId="8" xfId="0" applyFont="1" applyBorder="1" applyAlignment="1">
      <alignment horizontal="left" vertical="center" wrapText="1"/>
    </xf>
    <xf numFmtId="0" fontId="31" fillId="0" borderId="37" xfId="0" applyFont="1" applyBorder="1" applyAlignment="1">
      <alignment horizontal="center" vertical="center"/>
    </xf>
    <xf numFmtId="165" fontId="30" fillId="0" borderId="16" xfId="0" applyNumberFormat="1" applyFont="1" applyBorder="1" applyAlignment="1">
      <alignment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top"/>
    </xf>
    <xf numFmtId="0" fontId="31" fillId="0" borderId="16" xfId="0" applyFont="1" applyBorder="1" applyAlignment="1">
      <alignment vertical="center"/>
    </xf>
    <xf numFmtId="0" fontId="31" fillId="0" borderId="64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165" fontId="31" fillId="0" borderId="16" xfId="0" applyNumberFormat="1" applyFont="1" applyBorder="1" applyAlignment="1">
      <alignment vertical="center"/>
    </xf>
    <xf numFmtId="169" fontId="16" fillId="0" borderId="42" xfId="20" applyNumberFormat="1" applyFont="1" applyFill="1" applyBorder="1" applyAlignment="1" applyProtection="1">
      <alignment horizontal="right" vertical="center"/>
      <protection locked="0"/>
    </xf>
    <xf numFmtId="0" fontId="24" fillId="3" borderId="60" xfId="0" applyFont="1" applyFill="1" applyBorder="1" applyAlignment="1">
      <alignment horizontal="center" vertical="center" wrapText="1"/>
    </xf>
    <xf numFmtId="0" fontId="16" fillId="0" borderId="36" xfId="0" applyFont="1" applyBorder="1" applyAlignment="1">
      <alignment horizontal="left" vertical="center"/>
    </xf>
    <xf numFmtId="169" fontId="16" fillId="0" borderId="36" xfId="3" applyNumberFormat="1" applyFont="1" applyFill="1" applyBorder="1" applyAlignment="1">
      <alignment horizontal="left" vertical="center"/>
    </xf>
    <xf numFmtId="0" fontId="16" fillId="0" borderId="36" xfId="0" applyFont="1" applyBorder="1" applyAlignment="1">
      <alignment horizontal="left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4" fillId="3" borderId="65" xfId="0" applyFont="1" applyFill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/>
    </xf>
    <xf numFmtId="165" fontId="71" fillId="0" borderId="13" xfId="0" applyNumberFormat="1" applyFont="1" applyBorder="1" applyAlignment="1">
      <alignment vertical="center"/>
    </xf>
    <xf numFmtId="0" fontId="30" fillId="0" borderId="13" xfId="0" applyFont="1" applyBorder="1" applyAlignment="1">
      <alignment horizontal="left" vertical="center"/>
    </xf>
    <xf numFmtId="0" fontId="24" fillId="3" borderId="52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18" xfId="0" applyFont="1" applyBorder="1" applyAlignment="1">
      <alignment vertical="center"/>
    </xf>
    <xf numFmtId="0" fontId="30" fillId="0" borderId="39" xfId="0" applyFont="1" applyBorder="1" applyAlignment="1">
      <alignment vertical="center"/>
    </xf>
    <xf numFmtId="9" fontId="25" fillId="0" borderId="0" xfId="2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6" fontId="30" fillId="0" borderId="16" xfId="15" applyFont="1" applyFill="1" applyBorder="1" applyAlignment="1">
      <alignment vertical="center"/>
    </xf>
    <xf numFmtId="0" fontId="31" fillId="0" borderId="39" xfId="0" applyFont="1" applyBorder="1" applyAlignment="1">
      <alignment vertical="center"/>
    </xf>
    <xf numFmtId="166" fontId="31" fillId="0" borderId="16" xfId="15" applyFont="1" applyFill="1" applyBorder="1" applyAlignment="1">
      <alignment vertical="center"/>
    </xf>
    <xf numFmtId="0" fontId="31" fillId="0" borderId="13" xfId="0" applyFont="1" applyBorder="1" applyAlignment="1">
      <alignment horizontal="left" vertical="center"/>
    </xf>
    <xf numFmtId="0" fontId="31" fillId="0" borderId="14" xfId="0" quotePrefix="1" applyFont="1" applyBorder="1" applyAlignment="1">
      <alignment vertical="center"/>
    </xf>
    <xf numFmtId="166" fontId="31" fillId="0" borderId="13" xfId="15" applyFont="1" applyFill="1" applyBorder="1" applyAlignment="1">
      <alignment vertical="center"/>
    </xf>
    <xf numFmtId="0" fontId="24" fillId="0" borderId="51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/>
    </xf>
    <xf numFmtId="1" fontId="16" fillId="0" borderId="18" xfId="0" applyNumberFormat="1" applyFont="1" applyBorder="1" applyAlignment="1" applyProtection="1">
      <alignment vertical="center"/>
      <protection locked="0"/>
    </xf>
    <xf numFmtId="0" fontId="24" fillId="0" borderId="25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16" fillId="0" borderId="37" xfId="19" applyFont="1" applyBorder="1" applyAlignment="1">
      <alignment vertical="center" wrapText="1"/>
    </xf>
    <xf numFmtId="0" fontId="72" fillId="0" borderId="37" xfId="19" applyFont="1" applyBorder="1" applyAlignment="1">
      <alignment vertical="center"/>
    </xf>
    <xf numFmtId="1" fontId="74" fillId="0" borderId="18" xfId="0" applyNumberFormat="1" applyFont="1" applyBorder="1" applyAlignment="1" applyProtection="1">
      <alignment horizontal="center" vertical="center"/>
      <protection locked="0"/>
    </xf>
    <xf numFmtId="165" fontId="74" fillId="0" borderId="13" xfId="18" applyFont="1" applyFill="1" applyBorder="1" applyAlignment="1" applyProtection="1">
      <alignment horizontal="center" vertical="center"/>
      <protection locked="0"/>
    </xf>
    <xf numFmtId="169" fontId="16" fillId="0" borderId="37" xfId="23" applyNumberFormat="1" applyFont="1" applyFill="1" applyBorder="1" applyAlignment="1" applyProtection="1">
      <alignment vertical="center"/>
      <protection locked="0"/>
    </xf>
    <xf numFmtId="169" fontId="16" fillId="0" borderId="4" xfId="3" applyNumberFormat="1" applyFont="1" applyBorder="1" applyAlignment="1">
      <alignment horizontal="right" vertical="center" shrinkToFit="1"/>
    </xf>
    <xf numFmtId="165" fontId="16" fillId="0" borderId="3" xfId="20" applyNumberFormat="1" applyFont="1" applyBorder="1" applyAlignment="1">
      <alignment horizontal="right" vertical="center" shrinkToFit="1"/>
    </xf>
    <xf numFmtId="165" fontId="24" fillId="0" borderId="3" xfId="20" applyNumberFormat="1" applyFont="1" applyBorder="1" applyAlignment="1">
      <alignment horizontal="right" vertical="center" shrinkToFit="1"/>
    </xf>
    <xf numFmtId="165" fontId="24" fillId="0" borderId="4" xfId="20" applyNumberFormat="1" applyFont="1" applyBorder="1" applyAlignment="1">
      <alignment horizontal="right" vertical="center" shrinkToFit="1"/>
    </xf>
    <xf numFmtId="169" fontId="24" fillId="0" borderId="3" xfId="3" applyNumberFormat="1" applyFont="1" applyFill="1" applyBorder="1" applyAlignment="1">
      <alignment horizontal="right" vertical="center"/>
    </xf>
    <xf numFmtId="169" fontId="24" fillId="0" borderId="51" xfId="3" applyNumberFormat="1" applyFont="1" applyFill="1" applyBorder="1" applyAlignment="1">
      <alignment horizontal="right" vertical="center"/>
    </xf>
    <xf numFmtId="169" fontId="16" fillId="0" borderId="14" xfId="23" applyNumberFormat="1" applyFont="1" applyFill="1" applyBorder="1" applyAlignment="1" applyProtection="1">
      <alignment vertical="center"/>
      <protection locked="0"/>
    </xf>
    <xf numFmtId="165" fontId="16" fillId="0" borderId="13" xfId="18" applyFont="1" applyFill="1" applyBorder="1" applyAlignment="1" applyProtection="1">
      <alignment horizontal="center" vertical="center"/>
      <protection locked="0"/>
    </xf>
    <xf numFmtId="169" fontId="16" fillId="0" borderId="10" xfId="3" applyNumberFormat="1" applyFont="1" applyBorder="1" applyAlignment="1">
      <alignment horizontal="right" vertical="center" shrinkToFit="1"/>
    </xf>
    <xf numFmtId="169" fontId="24" fillId="0" borderId="10" xfId="3" applyNumberFormat="1" applyFont="1" applyFill="1" applyBorder="1" applyAlignment="1">
      <alignment horizontal="right" vertical="center" shrinkToFit="1"/>
    </xf>
    <xf numFmtId="169" fontId="24" fillId="0" borderId="8" xfId="3" applyNumberFormat="1" applyFont="1" applyFill="1" applyBorder="1" applyAlignment="1">
      <alignment horizontal="right" vertical="center"/>
    </xf>
    <xf numFmtId="169" fontId="24" fillId="0" borderId="26" xfId="3" applyNumberFormat="1" applyFont="1" applyFill="1" applyBorder="1" applyAlignment="1">
      <alignment horizontal="right" vertical="center"/>
    </xf>
    <xf numFmtId="165" fontId="16" fillId="0" borderId="14" xfId="18" applyFont="1" applyFill="1" applyBorder="1" applyAlignment="1" applyProtection="1">
      <alignment vertical="center"/>
      <protection locked="0"/>
    </xf>
    <xf numFmtId="0" fontId="16" fillId="0" borderId="18" xfId="0" applyFont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right" vertical="center"/>
      <protection locked="0"/>
    </xf>
    <xf numFmtId="169" fontId="16" fillId="0" borderId="8" xfId="3" applyNumberFormat="1" applyFont="1" applyBorder="1" applyAlignment="1">
      <alignment horizontal="right" vertical="center" shrinkToFit="1"/>
    </xf>
    <xf numFmtId="169" fontId="24" fillId="0" borderId="8" xfId="3" applyNumberFormat="1" applyFont="1" applyBorder="1" applyAlignment="1">
      <alignment horizontal="right" vertical="center" shrinkToFit="1"/>
    </xf>
    <xf numFmtId="169" fontId="24" fillId="0" borderId="10" xfId="3" applyNumberFormat="1" applyFont="1" applyBorder="1" applyAlignment="1">
      <alignment horizontal="right" vertical="center" shrinkToFit="1"/>
    </xf>
    <xf numFmtId="169" fontId="16" fillId="0" borderId="8" xfId="23" applyNumberFormat="1" applyFont="1" applyFill="1" applyBorder="1" applyAlignment="1" applyProtection="1">
      <alignment vertical="center"/>
      <protection locked="0"/>
    </xf>
    <xf numFmtId="165" fontId="74" fillId="0" borderId="8" xfId="18" applyFont="1" applyFill="1" applyBorder="1" applyAlignment="1" applyProtection="1">
      <alignment horizontal="center" vertical="center"/>
      <protection locked="0"/>
    </xf>
    <xf numFmtId="165" fontId="16" fillId="0" borderId="8" xfId="18" applyFont="1" applyFill="1" applyBorder="1" applyAlignment="1" applyProtection="1">
      <alignment horizontal="center" vertical="center"/>
      <protection locked="0"/>
    </xf>
    <xf numFmtId="169" fontId="24" fillId="0" borderId="8" xfId="3" applyNumberFormat="1" applyFont="1" applyFill="1" applyBorder="1" applyAlignment="1">
      <alignment horizontal="right" vertical="center" shrinkToFit="1"/>
    </xf>
    <xf numFmtId="1" fontId="16" fillId="0" borderId="8" xfId="0" applyNumberFormat="1" applyFont="1" applyBorder="1" applyAlignment="1" applyProtection="1">
      <alignment vertical="center"/>
      <protection locked="0"/>
    </xf>
    <xf numFmtId="165" fontId="73" fillId="0" borderId="8" xfId="18" applyFont="1" applyFill="1" applyBorder="1" applyAlignment="1" applyProtection="1">
      <alignment horizontal="center" vertical="center"/>
      <protection locked="0"/>
    </xf>
    <xf numFmtId="165" fontId="16" fillId="0" borderId="8" xfId="18" applyFont="1" applyFill="1" applyBorder="1" applyAlignment="1" applyProtection="1">
      <alignment vertical="center"/>
      <protection locked="0"/>
    </xf>
    <xf numFmtId="0" fontId="24" fillId="0" borderId="28" xfId="1" applyNumberFormat="1" applyFont="1" applyFill="1" applyBorder="1" applyAlignment="1">
      <alignment horizontal="center" vertical="center" shrinkToFit="1"/>
    </xf>
    <xf numFmtId="165" fontId="16" fillId="0" borderId="28" xfId="20" applyNumberFormat="1" applyFont="1" applyFill="1" applyBorder="1" applyAlignment="1">
      <alignment horizontal="left" vertical="center"/>
    </xf>
    <xf numFmtId="169" fontId="24" fillId="0" borderId="28" xfId="3" applyNumberFormat="1" applyFont="1" applyFill="1" applyBorder="1" applyAlignment="1">
      <alignment horizontal="right" vertical="center" shrinkToFit="1"/>
    </xf>
    <xf numFmtId="0" fontId="24" fillId="0" borderId="8" xfId="0" applyFont="1" applyBorder="1" applyAlignment="1">
      <alignment vertical="center" wrapText="1"/>
    </xf>
    <xf numFmtId="165" fontId="72" fillId="0" borderId="37" xfId="18" applyFont="1" applyFill="1" applyBorder="1" applyAlignment="1">
      <alignment vertical="center"/>
    </xf>
    <xf numFmtId="165" fontId="75" fillId="0" borderId="39" xfId="18" applyFont="1" applyFill="1" applyBorder="1" applyAlignment="1">
      <alignment horizontal="left" vertical="center"/>
    </xf>
    <xf numFmtId="165" fontId="16" fillId="0" borderId="37" xfId="18" applyFont="1" applyFill="1" applyBorder="1" applyAlignment="1">
      <alignment horizontal="left" vertical="center"/>
    </xf>
    <xf numFmtId="165" fontId="74" fillId="0" borderId="14" xfId="18" applyFont="1" applyFill="1" applyBorder="1" applyAlignment="1" applyProtection="1">
      <alignment horizontal="center" vertical="center"/>
      <protection locked="0"/>
    </xf>
    <xf numFmtId="165" fontId="74" fillId="0" borderId="18" xfId="18" applyFont="1" applyFill="1" applyBorder="1" applyAlignment="1" applyProtection="1">
      <alignment horizontal="center" vertical="center"/>
      <protection locked="0"/>
    </xf>
    <xf numFmtId="165" fontId="74" fillId="0" borderId="18" xfId="18" applyFont="1" applyFill="1" applyBorder="1" applyAlignment="1" applyProtection="1">
      <alignment vertical="center"/>
      <protection locked="0"/>
    </xf>
    <xf numFmtId="169" fontId="16" fillId="0" borderId="16" xfId="3" applyNumberFormat="1" applyFont="1" applyBorder="1" applyAlignment="1" applyProtection="1">
      <alignment horizontal="right" vertical="center"/>
      <protection locked="0"/>
    </xf>
    <xf numFmtId="0" fontId="16" fillId="0" borderId="19" xfId="18" applyNumberFormat="1" applyFont="1" applyFill="1" applyBorder="1" applyAlignment="1" applyProtection="1">
      <alignment horizontal="center" vertical="center"/>
      <protection locked="0"/>
    </xf>
    <xf numFmtId="165" fontId="16" fillId="0" borderId="41" xfId="18" applyFont="1" applyFill="1" applyBorder="1" applyAlignment="1" applyProtection="1">
      <alignment horizontal="center" vertical="center"/>
      <protection locked="0"/>
    </xf>
    <xf numFmtId="165" fontId="16" fillId="0" borderId="17" xfId="18" applyFont="1" applyFill="1" applyBorder="1" applyAlignment="1" applyProtection="1">
      <alignment horizontal="center" vertical="center"/>
      <protection locked="0"/>
    </xf>
    <xf numFmtId="1" fontId="16" fillId="0" borderId="38" xfId="0" applyNumberFormat="1" applyFont="1" applyBorder="1" applyAlignment="1" applyProtection="1">
      <alignment vertical="center"/>
      <protection locked="0"/>
    </xf>
    <xf numFmtId="165" fontId="74" fillId="0" borderId="17" xfId="18" applyFont="1" applyFill="1" applyBorder="1" applyAlignment="1" applyProtection="1">
      <alignment horizontal="center" vertical="center"/>
      <protection locked="0"/>
    </xf>
    <xf numFmtId="169" fontId="16" fillId="0" borderId="13" xfId="3" applyNumberFormat="1" applyFont="1" applyBorder="1" applyAlignment="1" applyProtection="1">
      <alignment horizontal="center" vertical="center"/>
      <protection locked="0"/>
    </xf>
    <xf numFmtId="169" fontId="16" fillId="0" borderId="14" xfId="3" applyNumberFormat="1" applyFont="1" applyFill="1" applyBorder="1" applyAlignment="1" applyProtection="1">
      <alignment vertical="center"/>
      <protection locked="0"/>
    </xf>
    <xf numFmtId="0" fontId="16" fillId="0" borderId="16" xfId="18" applyNumberFormat="1" applyFont="1" applyFill="1" applyBorder="1" applyAlignment="1" applyProtection="1">
      <alignment horizontal="center" vertical="center"/>
      <protection locked="0"/>
    </xf>
    <xf numFmtId="1" fontId="16" fillId="0" borderId="38" xfId="0" applyNumberFormat="1" applyFont="1" applyBorder="1" applyAlignment="1" applyProtection="1">
      <alignment vertical="center" wrapText="1"/>
      <protection locked="0"/>
    </xf>
    <xf numFmtId="173" fontId="16" fillId="0" borderId="14" xfId="0" applyNumberFormat="1" applyFont="1" applyBorder="1" applyAlignment="1" applyProtection="1">
      <alignment horizontal="left" vertical="center"/>
      <protection locked="0"/>
    </xf>
    <xf numFmtId="165" fontId="24" fillId="0" borderId="37" xfId="18" applyFont="1" applyFill="1" applyBorder="1" applyAlignment="1">
      <alignment vertical="center"/>
    </xf>
    <xf numFmtId="1" fontId="74" fillId="0" borderId="14" xfId="0" applyNumberFormat="1" applyFont="1" applyBorder="1" applyAlignment="1" applyProtection="1">
      <alignment horizontal="left" vertical="center"/>
      <protection locked="0"/>
    </xf>
    <xf numFmtId="1" fontId="74" fillId="0" borderId="18" xfId="0" applyNumberFormat="1" applyFont="1" applyBorder="1" applyAlignment="1" applyProtection="1">
      <alignment vertical="center"/>
      <protection locked="0"/>
    </xf>
    <xf numFmtId="1" fontId="16" fillId="0" borderId="19" xfId="0" applyNumberFormat="1" applyFont="1" applyBorder="1" applyAlignment="1" applyProtection="1">
      <alignment vertical="center"/>
      <protection locked="0"/>
    </xf>
    <xf numFmtId="166" fontId="16" fillId="0" borderId="13" xfId="15" applyFont="1" applyFill="1" applyBorder="1" applyAlignment="1" applyProtection="1">
      <alignment horizontal="right" vertical="top"/>
      <protection locked="0"/>
    </xf>
    <xf numFmtId="3" fontId="69" fillId="7" borderId="15" xfId="0" applyNumberFormat="1" applyFont="1" applyFill="1" applyBorder="1" applyAlignment="1">
      <alignment vertical="center"/>
    </xf>
    <xf numFmtId="169" fontId="24" fillId="0" borderId="36" xfId="3" applyNumberFormat="1" applyFont="1" applyFill="1" applyBorder="1" applyAlignment="1">
      <alignment horizontal="left" vertical="center"/>
    </xf>
    <xf numFmtId="0" fontId="16" fillId="0" borderId="18" xfId="0" applyFont="1" applyBorder="1" applyAlignment="1" applyProtection="1">
      <alignment horizontal="left" vertical="center"/>
      <protection locked="0"/>
    </xf>
    <xf numFmtId="0" fontId="16" fillId="0" borderId="18" xfId="0" applyFont="1" applyBorder="1" applyAlignment="1">
      <alignment vertical="center"/>
    </xf>
    <xf numFmtId="0" fontId="16" fillId="0" borderId="15" xfId="0" applyFont="1" applyBorder="1" applyAlignment="1" applyProtection="1">
      <alignment horizontal="left" vertical="center"/>
      <protection locked="0"/>
    </xf>
    <xf numFmtId="0" fontId="16" fillId="0" borderId="14" xfId="19" applyFont="1" applyBorder="1" applyAlignment="1">
      <alignment vertical="center"/>
    </xf>
    <xf numFmtId="0" fontId="24" fillId="0" borderId="14" xfId="19" applyFont="1" applyBorder="1" applyAlignment="1">
      <alignment vertical="center"/>
    </xf>
    <xf numFmtId="1" fontId="63" fillId="0" borderId="18" xfId="0" applyNumberFormat="1" applyFont="1" applyBorder="1" applyAlignment="1" applyProtection="1">
      <alignment vertical="center"/>
      <protection locked="0"/>
    </xf>
    <xf numFmtId="0" fontId="76" fillId="0" borderId="14" xfId="19" applyFont="1" applyBorder="1" applyAlignment="1">
      <alignment vertical="center"/>
    </xf>
    <xf numFmtId="0" fontId="77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169" fontId="77" fillId="0" borderId="70" xfId="15" applyNumberFormat="1" applyFont="1" applyBorder="1" applyAlignment="1">
      <alignment vertical="center"/>
    </xf>
    <xf numFmtId="165" fontId="74" fillId="0" borderId="70" xfId="18" applyFont="1" applyFill="1" applyBorder="1" applyAlignment="1" applyProtection="1">
      <alignment horizontal="center" vertical="center"/>
      <protection locked="0"/>
    </xf>
    <xf numFmtId="165" fontId="74" fillId="0" borderId="43" xfId="18" applyFont="1" applyFill="1" applyBorder="1" applyAlignment="1" applyProtection="1">
      <alignment horizontal="center" vertical="center"/>
      <protection locked="0"/>
    </xf>
    <xf numFmtId="165" fontId="74" fillId="0" borderId="58" xfId="18" applyFont="1" applyFill="1" applyBorder="1" applyAlignment="1" applyProtection="1">
      <alignment horizontal="center" vertical="center"/>
      <protection locked="0"/>
    </xf>
    <xf numFmtId="0" fontId="27" fillId="0" borderId="15" xfId="0" applyFont="1" applyBorder="1" applyAlignment="1" applyProtection="1">
      <alignment horizontal="left" vertical="center"/>
      <protection locked="0"/>
    </xf>
    <xf numFmtId="0" fontId="31" fillId="0" borderId="15" xfId="0" applyFont="1" applyBorder="1" applyAlignment="1" applyProtection="1">
      <alignment horizontal="center" vertical="center"/>
      <protection locked="0"/>
    </xf>
    <xf numFmtId="0" fontId="31" fillId="0" borderId="18" xfId="0" applyFont="1" applyBorder="1" applyAlignment="1" applyProtection="1">
      <alignment vertical="center"/>
      <protection locked="0"/>
    </xf>
    <xf numFmtId="0" fontId="63" fillId="0" borderId="18" xfId="0" applyFont="1" applyBorder="1" applyAlignment="1" applyProtection="1">
      <alignment vertical="center"/>
      <protection locked="0"/>
    </xf>
    <xf numFmtId="165" fontId="16" fillId="0" borderId="13" xfId="18" applyFont="1" applyFill="1" applyBorder="1" applyAlignment="1" applyProtection="1">
      <alignment horizontal="right" vertical="center"/>
      <protection locked="0"/>
    </xf>
    <xf numFmtId="173" fontId="63" fillId="0" borderId="14" xfId="0" applyNumberFormat="1" applyFont="1" applyBorder="1" applyAlignment="1" applyProtection="1">
      <alignment vertical="center"/>
      <protection locked="0"/>
    </xf>
    <xf numFmtId="173" fontId="24" fillId="0" borderId="13" xfId="0" applyNumberFormat="1" applyFont="1" applyBorder="1" applyAlignment="1" applyProtection="1">
      <alignment vertical="center"/>
      <protection locked="0"/>
    </xf>
    <xf numFmtId="172" fontId="16" fillId="0" borderId="13" xfId="0" applyNumberFormat="1" applyFont="1" applyBorder="1" applyAlignment="1" applyProtection="1">
      <alignment horizontal="right" vertical="center"/>
      <protection locked="0"/>
    </xf>
    <xf numFmtId="165" fontId="31" fillId="0" borderId="13" xfId="18" applyFont="1" applyFill="1" applyBorder="1" applyAlignment="1" applyProtection="1">
      <alignment horizontal="right" vertical="center"/>
      <protection locked="0"/>
    </xf>
    <xf numFmtId="0" fontId="31" fillId="0" borderId="15" xfId="0" applyFont="1" applyBorder="1" applyAlignment="1" applyProtection="1">
      <alignment horizontal="left" vertical="center"/>
      <protection locked="0"/>
    </xf>
    <xf numFmtId="172" fontId="31" fillId="0" borderId="13" xfId="0" applyNumberFormat="1" applyFont="1" applyBorder="1" applyAlignment="1" applyProtection="1">
      <alignment horizontal="right" vertical="center"/>
      <protection locked="0"/>
    </xf>
    <xf numFmtId="174" fontId="31" fillId="0" borderId="13" xfId="0" applyNumberFormat="1" applyFont="1" applyBorder="1" applyAlignment="1" applyProtection="1">
      <alignment horizontal="right" vertical="center"/>
      <protection locked="0"/>
    </xf>
    <xf numFmtId="173" fontId="63" fillId="0" borderId="18" xfId="0" applyNumberFormat="1" applyFont="1" applyBorder="1" applyAlignment="1" applyProtection="1">
      <alignment horizontal="left" vertical="center"/>
      <protection locked="0"/>
    </xf>
    <xf numFmtId="173" fontId="31" fillId="0" borderId="18" xfId="0" quotePrefix="1" applyNumberFormat="1" applyFont="1" applyBorder="1" applyAlignment="1" applyProtection="1">
      <alignment vertical="center"/>
      <protection locked="0"/>
    </xf>
    <xf numFmtId="165" fontId="31" fillId="7" borderId="13" xfId="18" applyFont="1" applyFill="1" applyBorder="1" applyAlignment="1" applyProtection="1">
      <alignment horizontal="right" vertical="center"/>
      <protection locked="0"/>
    </xf>
    <xf numFmtId="169" fontId="30" fillId="0" borderId="13" xfId="15" applyNumberFormat="1" applyFont="1" applyBorder="1" applyAlignment="1">
      <alignment vertical="center"/>
    </xf>
    <xf numFmtId="169" fontId="79" fillId="0" borderId="8" xfId="26" applyNumberFormat="1" applyFont="1" applyBorder="1" applyAlignment="1">
      <alignment horizontal="center" vertical="center"/>
    </xf>
    <xf numFmtId="0" fontId="79" fillId="0" borderId="8" xfId="26" applyFont="1" applyBorder="1" applyAlignment="1">
      <alignment horizontal="center" vertical="center"/>
    </xf>
    <xf numFmtId="169" fontId="79" fillId="0" borderId="8" xfId="28" applyNumberFormat="1" applyFont="1" applyBorder="1" applyAlignment="1">
      <alignment vertical="center"/>
    </xf>
    <xf numFmtId="169" fontId="79" fillId="0" borderId="8" xfId="3" applyNumberFormat="1" applyFont="1" applyBorder="1" applyAlignment="1">
      <alignment vertical="center"/>
    </xf>
    <xf numFmtId="165" fontId="16" fillId="0" borderId="8" xfId="1" applyFont="1" applyFill="1" applyBorder="1" applyAlignment="1" applyProtection="1">
      <alignment vertical="center"/>
      <protection locked="0"/>
    </xf>
    <xf numFmtId="1" fontId="16" fillId="0" borderId="8" xfId="0" applyNumberFormat="1" applyFont="1" applyBorder="1" applyAlignment="1" applyProtection="1">
      <alignment horizontal="center" vertical="center"/>
      <protection locked="0"/>
    </xf>
    <xf numFmtId="3" fontId="69" fillId="7" borderId="8" xfId="0" applyNumberFormat="1" applyFont="1" applyFill="1" applyBorder="1" applyAlignment="1">
      <alignment vertical="center"/>
    </xf>
    <xf numFmtId="169" fontId="16" fillId="0" borderId="28" xfId="23" applyNumberFormat="1" applyFont="1" applyFill="1" applyBorder="1" applyAlignment="1" applyProtection="1">
      <alignment vertical="center"/>
      <protection locked="0"/>
    </xf>
    <xf numFmtId="165" fontId="16" fillId="0" borderId="28" xfId="1" applyFont="1" applyFill="1" applyBorder="1" applyAlignment="1" applyProtection="1">
      <alignment vertical="center"/>
      <protection locked="0"/>
    </xf>
    <xf numFmtId="169" fontId="24" fillId="0" borderId="28" xfId="3" applyNumberFormat="1" applyFont="1" applyFill="1" applyBorder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165" fontId="51" fillId="0" borderId="0" xfId="1" applyFont="1" applyAlignment="1">
      <alignment horizontal="center" vertical="center" wrapText="1"/>
    </xf>
    <xf numFmtId="165" fontId="51" fillId="0" borderId="0" xfId="1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0" fontId="51" fillId="0" borderId="24" xfId="0" applyFont="1" applyBorder="1" applyAlignment="1">
      <alignment horizontal="left" vertical="center" wrapText="1"/>
    </xf>
    <xf numFmtId="1" fontId="51" fillId="0" borderId="0" xfId="0" applyNumberFormat="1" applyFont="1" applyAlignment="1">
      <alignment horizontal="center" vertical="center" wrapText="1"/>
    </xf>
    <xf numFmtId="167" fontId="47" fillId="0" borderId="0" xfId="1" applyNumberFormat="1" applyFont="1" applyAlignment="1">
      <alignment horizontal="left" vertical="center"/>
    </xf>
    <xf numFmtId="167" fontId="48" fillId="0" borderId="0" xfId="1" applyNumberFormat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16" fillId="0" borderId="49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 wrapText="1"/>
    </xf>
    <xf numFmtId="0" fontId="10" fillId="0" borderId="50" xfId="0" applyFont="1" applyBorder="1" applyAlignment="1">
      <alignment horizontal="left" vertical="center" wrapText="1"/>
    </xf>
    <xf numFmtId="1" fontId="38" fillId="0" borderId="25" xfId="0" applyNumberFormat="1" applyFont="1" applyBorder="1" applyAlignment="1">
      <alignment horizontal="center" vertical="center" shrinkToFit="1"/>
    </xf>
    <xf numFmtId="169" fontId="31" fillId="0" borderId="58" xfId="15" applyNumberFormat="1" applyFont="1" applyFill="1" applyBorder="1" applyAlignment="1" applyProtection="1">
      <alignment horizontal="center" vertical="center"/>
      <protection locked="0"/>
    </xf>
    <xf numFmtId="169" fontId="38" fillId="0" borderId="13" xfId="3" applyNumberFormat="1" applyFont="1" applyBorder="1" applyAlignment="1" applyProtection="1">
      <alignment horizontal="right" vertical="center"/>
      <protection locked="0"/>
    </xf>
    <xf numFmtId="169" fontId="38" fillId="0" borderId="10" xfId="3" applyNumberFormat="1" applyFont="1" applyBorder="1" applyAlignment="1">
      <alignment horizontal="right" vertical="center" shrinkToFit="1"/>
    </xf>
    <xf numFmtId="169" fontId="42" fillId="0" borderId="10" xfId="3" applyNumberFormat="1" applyFont="1" applyFill="1" applyBorder="1" applyAlignment="1">
      <alignment horizontal="right" vertical="center" shrinkToFit="1"/>
    </xf>
    <xf numFmtId="169" fontId="42" fillId="0" borderId="8" xfId="3" applyNumberFormat="1" applyFont="1" applyFill="1" applyBorder="1" applyAlignment="1">
      <alignment horizontal="right" vertical="center"/>
    </xf>
    <xf numFmtId="169" fontId="42" fillId="0" borderId="26" xfId="3" applyNumberFormat="1" applyFont="1" applyFill="1" applyBorder="1" applyAlignment="1">
      <alignment horizontal="right" vertical="center"/>
    </xf>
    <xf numFmtId="0" fontId="80" fillId="0" borderId="0" xfId="0" applyFont="1" applyAlignment="1">
      <alignment horizontal="center"/>
    </xf>
    <xf numFmtId="0" fontId="80" fillId="0" borderId="9" xfId="0" applyFont="1" applyBorder="1" applyAlignment="1">
      <alignment horizontal="center"/>
    </xf>
    <xf numFmtId="169" fontId="80" fillId="0" borderId="59" xfId="15" applyNumberFormat="1" applyFont="1" applyFill="1" applyBorder="1" applyAlignment="1">
      <alignment horizontal="center"/>
    </xf>
    <xf numFmtId="0" fontId="63" fillId="0" borderId="18" xfId="0" applyFont="1" applyBorder="1" applyAlignment="1" applyProtection="1">
      <alignment horizontal="left" vertical="center"/>
      <protection locked="0"/>
    </xf>
    <xf numFmtId="173" fontId="24" fillId="0" borderId="14" xfId="0" applyNumberFormat="1" applyFont="1" applyBorder="1" applyAlignment="1" applyProtection="1">
      <alignment horizontal="left" vertical="center"/>
      <protection locked="0"/>
    </xf>
    <xf numFmtId="1" fontId="81" fillId="0" borderId="14" xfId="0" applyNumberFormat="1" applyFont="1" applyBorder="1" applyAlignment="1" applyProtection="1">
      <alignment horizontal="left" vertical="center"/>
      <protection locked="0"/>
    </xf>
    <xf numFmtId="1" fontId="81" fillId="0" borderId="18" xfId="0" applyNumberFormat="1" applyFont="1" applyBorder="1" applyAlignment="1" applyProtection="1">
      <alignment vertical="center"/>
      <protection locked="0"/>
    </xf>
    <xf numFmtId="165" fontId="81" fillId="0" borderId="13" xfId="18" applyFont="1" applyFill="1" applyBorder="1" applyAlignment="1" applyProtection="1">
      <alignment horizontal="center" vertical="center"/>
      <protection locked="0"/>
    </xf>
    <xf numFmtId="1" fontId="74" fillId="0" borderId="13" xfId="0" applyNumberFormat="1" applyFont="1" applyBorder="1" applyAlignment="1" applyProtection="1">
      <alignment horizontal="center" vertical="center"/>
      <protection locked="0"/>
    </xf>
    <xf numFmtId="1" fontId="81" fillId="0" borderId="13" xfId="0" applyNumberFormat="1" applyFont="1" applyBorder="1" applyAlignment="1" applyProtection="1">
      <alignment horizontal="center" vertical="center"/>
      <protection locked="0"/>
    </xf>
    <xf numFmtId="169" fontId="24" fillId="0" borderId="0" xfId="2" applyNumberFormat="1" applyFont="1" applyAlignment="1">
      <alignment horizontal="center" vertical="center"/>
    </xf>
    <xf numFmtId="43" fontId="57" fillId="0" borderId="0" xfId="0" applyNumberFormat="1" applyFont="1" applyAlignment="1">
      <alignment horizontal="left" vertical="top"/>
    </xf>
    <xf numFmtId="43" fontId="82" fillId="0" borderId="0" xfId="0" applyNumberFormat="1" applyFont="1" applyAlignment="1">
      <alignment horizontal="left" vertical="top"/>
    </xf>
    <xf numFmtId="169" fontId="54" fillId="0" borderId="0" xfId="3" applyNumberFormat="1" applyFont="1" applyAlignment="1">
      <alignment horizontal="center" vertical="center"/>
    </xf>
    <xf numFmtId="169" fontId="54" fillId="0" borderId="0" xfId="0" applyNumberFormat="1" applyFont="1" applyAlignment="1">
      <alignment horizontal="center" vertical="center"/>
    </xf>
    <xf numFmtId="169" fontId="57" fillId="0" borderId="0" xfId="0" applyNumberFormat="1" applyFont="1" applyAlignment="1">
      <alignment horizontal="left" vertical="center"/>
    </xf>
    <xf numFmtId="169" fontId="48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9" fontId="83" fillId="0" borderId="0" xfId="2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top"/>
    </xf>
    <xf numFmtId="0" fontId="83" fillId="0" borderId="0" xfId="0" applyFont="1" applyAlignment="1">
      <alignment horizontal="left" vertical="top"/>
    </xf>
    <xf numFmtId="169" fontId="57" fillId="0" borderId="0" xfId="0" applyNumberFormat="1" applyFont="1" applyAlignment="1">
      <alignment horizontal="left" vertical="top"/>
    </xf>
    <xf numFmtId="175" fontId="57" fillId="0" borderId="72" xfId="0" applyNumberFormat="1" applyFont="1" applyBorder="1" applyAlignment="1">
      <alignment horizontal="left" vertical="center"/>
    </xf>
    <xf numFmtId="175" fontId="57" fillId="0" borderId="73" xfId="0" applyNumberFormat="1" applyFont="1" applyBorder="1" applyAlignment="1">
      <alignment horizontal="left" vertical="center"/>
    </xf>
    <xf numFmtId="175" fontId="57" fillId="0" borderId="74" xfId="0" applyNumberFormat="1" applyFont="1" applyBorder="1" applyAlignment="1">
      <alignment horizontal="left" vertical="center"/>
    </xf>
    <xf numFmtId="175" fontId="57" fillId="0" borderId="75" xfId="0" applyNumberFormat="1" applyFont="1" applyBorder="1" applyAlignment="1">
      <alignment horizontal="left" vertical="center"/>
    </xf>
    <xf numFmtId="175" fontId="57" fillId="0" borderId="13" xfId="0" applyNumberFormat="1" applyFont="1" applyBorder="1" applyAlignment="1">
      <alignment horizontal="left" vertical="center"/>
    </xf>
    <xf numFmtId="175" fontId="57" fillId="0" borderId="67" xfId="0" applyNumberFormat="1" applyFont="1" applyBorder="1" applyAlignment="1">
      <alignment horizontal="left" vertical="center"/>
    </xf>
    <xf numFmtId="175" fontId="57" fillId="0" borderId="76" xfId="0" applyNumberFormat="1" applyFont="1" applyBorder="1" applyAlignment="1">
      <alignment horizontal="left" vertical="center"/>
    </xf>
    <xf numFmtId="0" fontId="57" fillId="0" borderId="77" xfId="0" applyFont="1" applyBorder="1" applyAlignment="1">
      <alignment horizontal="left" vertical="top"/>
    </xf>
    <xf numFmtId="169" fontId="57" fillId="0" borderId="78" xfId="3" applyNumberFormat="1" applyFont="1" applyBorder="1" applyAlignment="1">
      <alignment horizontal="left" vertical="center"/>
    </xf>
    <xf numFmtId="0" fontId="31" fillId="0" borderId="13" xfId="0" applyFont="1" applyBorder="1" applyAlignment="1">
      <alignment horizontal="center" vertical="center"/>
    </xf>
    <xf numFmtId="0" fontId="31" fillId="0" borderId="15" xfId="0" applyFont="1" applyBorder="1" applyAlignment="1">
      <alignment horizontal="left" vertical="center"/>
    </xf>
    <xf numFmtId="169" fontId="31" fillId="0" borderId="13" xfId="15" applyNumberFormat="1" applyFont="1" applyFill="1" applyBorder="1" applyAlignment="1">
      <alignment vertical="center"/>
    </xf>
    <xf numFmtId="0" fontId="30" fillId="0" borderId="13" xfId="0" applyFont="1" applyBorder="1" applyAlignment="1" applyProtection="1">
      <alignment horizontal="center" vertical="center"/>
      <protection locked="0"/>
    </xf>
    <xf numFmtId="169" fontId="10" fillId="0" borderId="57" xfId="3" applyNumberFormat="1" applyFont="1" applyFill="1" applyBorder="1" applyAlignment="1">
      <alignment horizontal="left" vertical="center"/>
    </xf>
    <xf numFmtId="169" fontId="23" fillId="0" borderId="57" xfId="3" applyNumberFormat="1" applyFont="1" applyFill="1" applyBorder="1" applyAlignment="1">
      <alignment horizontal="left" vertical="center"/>
    </xf>
    <xf numFmtId="0" fontId="23" fillId="0" borderId="16" xfId="0" applyFont="1" applyBorder="1" applyAlignment="1">
      <alignment vertical="center"/>
    </xf>
    <xf numFmtId="169" fontId="25" fillId="0" borderId="14" xfId="25" applyNumberFormat="1" applyFont="1" applyBorder="1" applyAlignment="1">
      <alignment horizontal="left" vertical="center"/>
    </xf>
    <xf numFmtId="169" fontId="25" fillId="0" borderId="18" xfId="25" applyNumberFormat="1" applyFont="1" applyBorder="1" applyAlignment="1">
      <alignment horizontal="left" vertical="center"/>
    </xf>
    <xf numFmtId="169" fontId="47" fillId="0" borderId="15" xfId="2" applyNumberFormat="1" applyFont="1" applyBorder="1" applyAlignment="1">
      <alignment horizontal="center" vertical="center"/>
    </xf>
    <xf numFmtId="1" fontId="37" fillId="7" borderId="14" xfId="0" applyNumberFormat="1" applyFont="1" applyFill="1" applyBorder="1" applyAlignment="1" applyProtection="1">
      <alignment horizontal="center" vertical="center"/>
      <protection locked="0"/>
    </xf>
    <xf numFmtId="1" fontId="22" fillId="7" borderId="14" xfId="0" applyNumberFormat="1" applyFont="1" applyFill="1" applyBorder="1" applyAlignment="1" applyProtection="1">
      <alignment horizontal="center" vertical="center"/>
      <protection locked="0"/>
    </xf>
    <xf numFmtId="1" fontId="16" fillId="7" borderId="13" xfId="0" applyNumberFormat="1" applyFont="1" applyFill="1" applyBorder="1" applyAlignment="1" applyProtection="1">
      <alignment horizontal="center" vertical="center"/>
      <protection locked="0"/>
    </xf>
    <xf numFmtId="169" fontId="49" fillId="0" borderId="0" xfId="2" applyNumberFormat="1" applyFont="1" applyBorder="1" applyAlignment="1">
      <alignment horizontal="center" vertical="center"/>
    </xf>
    <xf numFmtId="1" fontId="42" fillId="0" borderId="8" xfId="1" applyNumberFormat="1" applyFont="1" applyFill="1" applyBorder="1" applyAlignment="1">
      <alignment horizontal="center" vertical="center" shrinkToFit="1"/>
    </xf>
    <xf numFmtId="169" fontId="79" fillId="0" borderId="8" xfId="3" applyNumberFormat="1" applyFont="1" applyFill="1" applyBorder="1" applyAlignment="1">
      <alignment vertical="center"/>
    </xf>
    <xf numFmtId="169" fontId="23" fillId="0" borderId="0" xfId="0" applyNumberFormat="1" applyFont="1" applyAlignment="1">
      <alignment horizontal="center" vertical="center"/>
    </xf>
    <xf numFmtId="169" fontId="50" fillId="0" borderId="0" xfId="0" applyNumberFormat="1" applyFont="1" applyAlignment="1">
      <alignment horizontal="center" vertical="center"/>
    </xf>
    <xf numFmtId="169" fontId="24" fillId="7" borderId="35" xfId="3" applyNumberFormat="1" applyFont="1" applyFill="1" applyBorder="1" applyAlignment="1">
      <alignment horizontal="left" vertical="center"/>
    </xf>
    <xf numFmtId="169" fontId="24" fillId="7" borderId="34" xfId="3" applyNumberFormat="1" applyFont="1" applyFill="1" applyBorder="1" applyAlignment="1">
      <alignment horizontal="left" vertical="center"/>
    </xf>
    <xf numFmtId="169" fontId="47" fillId="0" borderId="0" xfId="2" applyNumberFormat="1" applyFont="1" applyBorder="1" applyAlignment="1">
      <alignment horizontal="center" vertical="center"/>
    </xf>
    <xf numFmtId="165" fontId="74" fillId="0" borderId="50" xfId="18" applyFont="1" applyFill="1" applyBorder="1" applyAlignment="1" applyProtection="1">
      <alignment horizontal="center" vertical="center"/>
      <protection locked="0"/>
    </xf>
    <xf numFmtId="169" fontId="24" fillId="0" borderId="4" xfId="3" applyNumberFormat="1" applyFont="1" applyFill="1" applyBorder="1" applyAlignment="1">
      <alignment horizontal="right" vertical="center" shrinkToFit="1"/>
    </xf>
    <xf numFmtId="166" fontId="16" fillId="0" borderId="8" xfId="15" applyFont="1" applyFill="1" applyBorder="1" applyAlignment="1" applyProtection="1">
      <alignment horizontal="center" vertical="center"/>
      <protection locked="0"/>
    </xf>
    <xf numFmtId="169" fontId="16" fillId="0" borderId="8" xfId="3" applyNumberFormat="1" applyFont="1" applyFill="1" applyBorder="1" applyAlignment="1" applyProtection="1">
      <alignment vertical="center"/>
      <protection locked="0"/>
    </xf>
    <xf numFmtId="165" fontId="16" fillId="0" borderId="1" xfId="18" applyFont="1" applyFill="1" applyBorder="1" applyAlignment="1" applyProtection="1">
      <alignment vertical="center"/>
      <protection locked="0"/>
    </xf>
    <xf numFmtId="0" fontId="16" fillId="0" borderId="1" xfId="1" applyNumberFormat="1" applyFont="1" applyFill="1" applyBorder="1" applyAlignment="1">
      <alignment horizontal="center" vertical="center" shrinkToFit="1"/>
    </xf>
    <xf numFmtId="0" fontId="24" fillId="0" borderId="1" xfId="1" applyNumberFormat="1" applyFont="1" applyFill="1" applyBorder="1" applyAlignment="1">
      <alignment horizontal="center" vertical="center" shrinkToFit="1"/>
    </xf>
    <xf numFmtId="165" fontId="16" fillId="0" borderId="1" xfId="18" applyFont="1" applyFill="1" applyBorder="1" applyAlignment="1" applyProtection="1">
      <alignment horizontal="center" vertical="center"/>
      <protection locked="0"/>
    </xf>
    <xf numFmtId="169" fontId="24" fillId="0" borderId="1" xfId="3" applyNumberFormat="1" applyFont="1" applyFill="1" applyBorder="1" applyAlignment="1">
      <alignment horizontal="right" vertical="center" shrinkToFit="1"/>
    </xf>
    <xf numFmtId="169" fontId="24" fillId="0" borderId="1" xfId="3" applyNumberFormat="1" applyFont="1" applyFill="1" applyBorder="1" applyAlignment="1">
      <alignment horizontal="right" vertical="center"/>
    </xf>
    <xf numFmtId="169" fontId="24" fillId="0" borderId="68" xfId="3" applyNumberFormat="1" applyFont="1" applyFill="1" applyBorder="1" applyAlignment="1">
      <alignment horizontal="right" vertical="center"/>
    </xf>
    <xf numFmtId="1" fontId="31" fillId="0" borderId="8" xfId="0" applyNumberFormat="1" applyFont="1" applyBorder="1" applyAlignment="1" applyProtection="1">
      <alignment horizontal="left" vertical="center"/>
      <protection locked="0"/>
    </xf>
    <xf numFmtId="1" fontId="74" fillId="0" borderId="8" xfId="0" applyNumberFormat="1" applyFont="1" applyBorder="1" applyAlignment="1" applyProtection="1">
      <alignment horizontal="center" vertical="center"/>
      <protection locked="0"/>
    </xf>
    <xf numFmtId="169" fontId="16" fillId="0" borderId="8" xfId="15" applyNumberFormat="1" applyFont="1" applyFill="1" applyBorder="1" applyAlignment="1">
      <alignment vertical="center"/>
    </xf>
    <xf numFmtId="169" fontId="16" fillId="0" borderId="8" xfId="3" applyNumberFormat="1" applyFont="1" applyFill="1" applyBorder="1" applyAlignment="1">
      <alignment horizontal="right" vertical="center" shrinkToFit="1"/>
    </xf>
    <xf numFmtId="165" fontId="16" fillId="0" borderId="8" xfId="20" applyNumberFormat="1" applyFont="1" applyFill="1" applyBorder="1" applyAlignment="1">
      <alignment horizontal="right" vertical="center" shrinkToFit="1"/>
    </xf>
    <xf numFmtId="165" fontId="24" fillId="0" borderId="8" xfId="20" applyNumberFormat="1" applyFont="1" applyFill="1" applyBorder="1" applyAlignment="1">
      <alignment horizontal="right" vertical="center" shrinkToFit="1"/>
    </xf>
    <xf numFmtId="1" fontId="16" fillId="0" borderId="29" xfId="0" applyNumberFormat="1" applyFont="1" applyBorder="1" applyAlignment="1">
      <alignment horizontal="center" vertical="center" shrinkToFit="1"/>
    </xf>
    <xf numFmtId="169" fontId="74" fillId="0" borderId="8" xfId="15" applyNumberFormat="1" applyFont="1" applyFill="1" applyBorder="1" applyAlignment="1" applyProtection="1">
      <alignment horizontal="center" vertical="center"/>
      <protection locked="0"/>
    </xf>
    <xf numFmtId="0" fontId="75" fillId="0" borderId="37" xfId="19" applyFont="1" applyBorder="1" applyAlignment="1">
      <alignment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4" fillId="0" borderId="81" xfId="19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169" fontId="16" fillId="0" borderId="1" xfId="23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165" fontId="16" fillId="0" borderId="1" xfId="20" applyNumberFormat="1" applyFont="1" applyFill="1" applyBorder="1" applyAlignment="1">
      <alignment horizontal="right" vertical="center" shrinkToFit="1"/>
    </xf>
    <xf numFmtId="165" fontId="24" fillId="0" borderId="1" xfId="20" applyNumberFormat="1" applyFont="1" applyFill="1" applyBorder="1" applyAlignment="1">
      <alignment horizontal="right" vertical="center" shrinkToFit="1"/>
    </xf>
    <xf numFmtId="0" fontId="31" fillId="0" borderId="39" xfId="0" quotePrefix="1" applyFont="1" applyBorder="1" applyAlignment="1" applyProtection="1">
      <alignment horizontal="left" vertical="center"/>
      <protection locked="0"/>
    </xf>
    <xf numFmtId="1" fontId="16" fillId="0" borderId="79" xfId="0" applyNumberFormat="1" applyFont="1" applyBorder="1" applyAlignment="1" applyProtection="1">
      <alignment vertical="center" wrapText="1"/>
      <protection locked="0"/>
    </xf>
    <xf numFmtId="0" fontId="31" fillId="0" borderId="80" xfId="0" applyFont="1" applyBorder="1" applyAlignment="1" applyProtection="1">
      <alignment horizontal="center" vertical="center"/>
      <protection locked="0"/>
    </xf>
    <xf numFmtId="169" fontId="16" fillId="0" borderId="16" xfId="3" applyNumberFormat="1" applyFont="1" applyFill="1" applyBorder="1" applyAlignment="1" applyProtection="1">
      <alignment horizontal="right" vertical="center"/>
      <protection locked="0"/>
    </xf>
    <xf numFmtId="169" fontId="16" fillId="0" borderId="4" xfId="3" applyNumberFormat="1" applyFont="1" applyFill="1" applyBorder="1" applyAlignment="1">
      <alignment horizontal="right" vertical="center" shrinkToFit="1"/>
    </xf>
    <xf numFmtId="165" fontId="16" fillId="0" borderId="3" xfId="20" applyNumberFormat="1" applyFont="1" applyFill="1" applyBorder="1" applyAlignment="1">
      <alignment horizontal="right" vertical="center" shrinkToFit="1"/>
    </xf>
    <xf numFmtId="165" fontId="24" fillId="0" borderId="3" xfId="20" applyNumberFormat="1" applyFont="1" applyFill="1" applyBorder="1" applyAlignment="1">
      <alignment horizontal="right" vertical="center" shrinkToFit="1"/>
    </xf>
    <xf numFmtId="165" fontId="24" fillId="0" borderId="4" xfId="20" applyNumberFormat="1" applyFont="1" applyFill="1" applyBorder="1" applyAlignment="1">
      <alignment horizontal="right" vertical="center" shrinkToFit="1"/>
    </xf>
    <xf numFmtId="0" fontId="31" fillId="0" borderId="18" xfId="0" quotePrefix="1" applyFont="1" applyBorder="1" applyAlignment="1" applyProtection="1">
      <alignment horizontal="left" vertical="center"/>
      <protection locked="0"/>
    </xf>
    <xf numFmtId="0" fontId="31" fillId="0" borderId="32" xfId="0" applyFont="1" applyBorder="1" applyAlignment="1" applyProtection="1">
      <alignment horizontal="center" vertical="center"/>
      <protection locked="0"/>
    </xf>
    <xf numFmtId="169" fontId="16" fillId="0" borderId="10" xfId="3" applyNumberFormat="1" applyFont="1" applyFill="1" applyBorder="1" applyAlignment="1">
      <alignment horizontal="right" vertical="center" shrinkToFit="1"/>
    </xf>
    <xf numFmtId="169" fontId="16" fillId="0" borderId="13" xfId="3" applyNumberFormat="1" applyFont="1" applyFill="1" applyBorder="1" applyAlignment="1" applyProtection="1">
      <alignment horizontal="center" vertical="center"/>
      <protection locked="0"/>
    </xf>
    <xf numFmtId="169" fontId="16" fillId="0" borderId="0" xfId="3" applyNumberFormat="1" applyFont="1" applyFill="1" applyBorder="1" applyAlignment="1">
      <alignment horizontal="right" vertical="center" shrinkToFit="1"/>
    </xf>
    <xf numFmtId="1" fontId="74" fillId="0" borderId="14" xfId="0" applyNumberFormat="1" applyFont="1" applyBorder="1" applyAlignment="1" applyProtection="1">
      <alignment horizontal="center" vertical="center"/>
      <protection locked="0"/>
    </xf>
    <xf numFmtId="1" fontId="24" fillId="0" borderId="25" xfId="0" applyNumberFormat="1" applyFont="1" applyBorder="1" applyAlignment="1">
      <alignment horizontal="center" vertical="center" shrinkToFit="1"/>
    </xf>
    <xf numFmtId="0" fontId="24" fillId="0" borderId="37" xfId="19" applyFont="1" applyBorder="1" applyAlignment="1">
      <alignment vertical="center" wrapText="1"/>
    </xf>
    <xf numFmtId="169" fontId="16" fillId="0" borderId="8" xfId="3" applyNumberFormat="1" applyFont="1" applyFill="1" applyBorder="1" applyAlignment="1" applyProtection="1">
      <alignment horizontal="right" vertical="center"/>
      <protection locked="0"/>
    </xf>
    <xf numFmtId="9" fontId="24" fillId="0" borderId="0" xfId="2" applyFont="1" applyFill="1" applyBorder="1" applyAlignment="1">
      <alignment horizontal="left" vertical="center"/>
    </xf>
    <xf numFmtId="165" fontId="16" fillId="0" borderId="14" xfId="1" applyFont="1" applyBorder="1" applyAlignment="1" applyProtection="1">
      <alignment horizontal="center" vertical="center"/>
      <protection locked="0"/>
    </xf>
    <xf numFmtId="1" fontId="16" fillId="0" borderId="14" xfId="0" applyNumberFormat="1" applyFont="1" applyBorder="1" applyAlignment="1" applyProtection="1">
      <alignment horizontal="center" vertical="center"/>
      <protection locked="0"/>
    </xf>
    <xf numFmtId="1" fontId="42" fillId="0" borderId="18" xfId="0" applyNumberFormat="1" applyFont="1" applyBorder="1" applyAlignment="1" applyProtection="1">
      <alignment horizontal="left" vertical="center"/>
      <protection locked="0"/>
    </xf>
    <xf numFmtId="169" fontId="38" fillId="0" borderId="15" xfId="15" applyNumberFormat="1" applyFont="1" applyFill="1" applyBorder="1" applyAlignment="1" applyProtection="1">
      <alignment horizontal="right" vertical="center"/>
      <protection locked="0"/>
    </xf>
    <xf numFmtId="1" fontId="38" fillId="7" borderId="14" xfId="0" applyNumberFormat="1" applyFont="1" applyFill="1" applyBorder="1" applyAlignment="1" applyProtection="1">
      <alignment horizontal="center" vertical="center"/>
      <protection locked="0"/>
    </xf>
    <xf numFmtId="0" fontId="42" fillId="0" borderId="18" xfId="0" applyFont="1" applyBorder="1" applyAlignment="1" applyProtection="1">
      <alignment horizontal="left" vertical="center"/>
      <protection locked="0"/>
    </xf>
    <xf numFmtId="165" fontId="38" fillId="0" borderId="13" xfId="1" applyFont="1" applyFill="1" applyBorder="1" applyAlignment="1" applyProtection="1">
      <alignment horizontal="right" vertical="center"/>
      <protection locked="0"/>
    </xf>
    <xf numFmtId="0" fontId="38" fillId="0" borderId="39" xfId="0" applyFont="1" applyBorder="1" applyAlignment="1">
      <alignment vertical="center"/>
    </xf>
    <xf numFmtId="0" fontId="38" fillId="0" borderId="39" xfId="0" applyFont="1" applyBorder="1" applyAlignment="1">
      <alignment horizontal="left" vertical="center" wrapText="1"/>
    </xf>
    <xf numFmtId="1" fontId="38" fillId="7" borderId="8" xfId="1" applyNumberFormat="1" applyFont="1" applyFill="1" applyBorder="1" applyAlignment="1">
      <alignment horizontal="center" vertical="center" shrinkToFit="1"/>
    </xf>
    <xf numFmtId="0" fontId="69" fillId="0" borderId="13" xfId="0" applyFont="1" applyBorder="1" applyAlignment="1">
      <alignment horizontal="center" vertical="center"/>
    </xf>
    <xf numFmtId="169" fontId="69" fillId="0" borderId="13" xfId="15" applyNumberFormat="1" applyFont="1" applyBorder="1" applyAlignment="1">
      <alignment vertical="center"/>
    </xf>
    <xf numFmtId="0" fontId="69" fillId="0" borderId="14" xfId="19" applyFont="1" applyBorder="1" applyAlignment="1">
      <alignment vertical="center"/>
    </xf>
    <xf numFmtId="3" fontId="69" fillId="0" borderId="13" xfId="0" applyNumberFormat="1" applyFont="1" applyBorder="1" applyAlignment="1">
      <alignment vertical="center"/>
    </xf>
    <xf numFmtId="3" fontId="69" fillId="0" borderId="15" xfId="0" applyNumberFormat="1" applyFont="1" applyBorder="1" applyAlignment="1">
      <alignment vertical="center"/>
    </xf>
    <xf numFmtId="0" fontId="69" fillId="0" borderId="14" xfId="19" applyFont="1" applyBorder="1" applyAlignment="1">
      <alignment horizontal="left" vertical="center"/>
    </xf>
    <xf numFmtId="1" fontId="85" fillId="0" borderId="14" xfId="0" applyNumberFormat="1" applyFont="1" applyBorder="1" applyAlignment="1" applyProtection="1">
      <alignment horizontal="left" vertical="center"/>
      <protection locked="0"/>
    </xf>
    <xf numFmtId="1" fontId="69" fillId="0" borderId="13" xfId="0" applyNumberFormat="1" applyFont="1" applyBorder="1" applyAlignment="1" applyProtection="1">
      <alignment horizontal="center" vertical="center"/>
      <protection locked="0"/>
    </xf>
    <xf numFmtId="165" fontId="69" fillId="0" borderId="13" xfId="18" applyFont="1" applyFill="1" applyBorder="1" applyAlignment="1" applyProtection="1">
      <alignment horizontal="center" vertical="center"/>
      <protection locked="0"/>
    </xf>
    <xf numFmtId="165" fontId="69" fillId="0" borderId="15" xfId="18" applyFont="1" applyFill="1" applyBorder="1" applyAlignment="1" applyProtection="1">
      <alignment horizontal="center" vertical="center"/>
      <protection locked="0"/>
    </xf>
    <xf numFmtId="10" fontId="24" fillId="0" borderId="0" xfId="2" applyNumberFormat="1" applyFont="1" applyFill="1" applyBorder="1" applyAlignment="1">
      <alignment horizontal="center" vertical="center"/>
    </xf>
    <xf numFmtId="10" fontId="25" fillId="0" borderId="0" xfId="2" applyNumberFormat="1" applyFont="1" applyFill="1" applyBorder="1" applyAlignment="1">
      <alignment horizontal="center" vertical="center"/>
    </xf>
    <xf numFmtId="180" fontId="31" fillId="0" borderId="15" xfId="0" applyNumberFormat="1" applyFont="1" applyBorder="1" applyAlignment="1" applyProtection="1">
      <alignment horizontal="right" vertical="center"/>
      <protection locked="0"/>
    </xf>
    <xf numFmtId="1" fontId="16" fillId="0" borderId="14" xfId="0" applyNumberFormat="1" applyFont="1" applyBorder="1" applyAlignment="1" applyProtection="1">
      <alignment vertical="center"/>
      <protection locked="0"/>
    </xf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horizontal="left" vertical="center"/>
    </xf>
    <xf numFmtId="165" fontId="24" fillId="0" borderId="0" xfId="1" applyFont="1" applyAlignment="1">
      <alignment horizontal="left" vertical="center"/>
    </xf>
    <xf numFmtId="3" fontId="24" fillId="0" borderId="0" xfId="0" applyNumberFormat="1" applyFont="1" applyAlignment="1">
      <alignment horizontal="right" vertical="center"/>
    </xf>
    <xf numFmtId="165" fontId="24" fillId="0" borderId="20" xfId="0" applyNumberFormat="1" applyFont="1" applyBorder="1" applyAlignment="1">
      <alignment horizontal="left" vertical="center"/>
    </xf>
    <xf numFmtId="1" fontId="24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 applyProtection="1">
      <alignment horizontal="left" vertical="center"/>
      <protection locked="0"/>
    </xf>
    <xf numFmtId="1" fontId="76" fillId="0" borderId="14" xfId="0" applyNumberFormat="1" applyFont="1" applyBorder="1" applyAlignment="1" applyProtection="1">
      <alignment horizontal="center" vertical="center"/>
      <protection locked="0"/>
    </xf>
    <xf numFmtId="0" fontId="76" fillId="0" borderId="15" xfId="0" applyFont="1" applyBorder="1" applyAlignment="1" applyProtection="1">
      <alignment horizontal="center" vertical="center"/>
      <protection locked="0"/>
    </xf>
    <xf numFmtId="172" fontId="76" fillId="0" borderId="13" xfId="0" applyNumberFormat="1" applyFont="1" applyBorder="1" applyAlignment="1" applyProtection="1">
      <alignment horizontal="right" vertical="center"/>
      <protection locked="0"/>
    </xf>
    <xf numFmtId="165" fontId="16" fillId="0" borderId="13" xfId="1" applyFont="1" applyBorder="1" applyAlignment="1" applyProtection="1">
      <alignment horizontal="right" vertical="center"/>
      <protection locked="0"/>
    </xf>
    <xf numFmtId="174" fontId="76" fillId="0" borderId="13" xfId="0" applyNumberFormat="1" applyFont="1" applyBorder="1" applyAlignment="1" applyProtection="1">
      <alignment horizontal="right" vertical="center"/>
      <protection locked="0"/>
    </xf>
    <xf numFmtId="1" fontId="86" fillId="0" borderId="14" xfId="0" applyNumberFormat="1" applyFont="1" applyBorder="1" applyAlignment="1" applyProtection="1">
      <alignment horizontal="center" vertical="center"/>
      <protection locked="0"/>
    </xf>
    <xf numFmtId="0" fontId="86" fillId="0" borderId="15" xfId="0" applyFont="1" applyBorder="1" applyAlignment="1" applyProtection="1">
      <alignment horizontal="center" vertical="center"/>
      <protection locked="0"/>
    </xf>
    <xf numFmtId="174" fontId="86" fillId="0" borderId="15" xfId="0" applyNumberFormat="1" applyFont="1" applyBorder="1" applyAlignment="1" applyProtection="1">
      <alignment horizontal="right" vertical="center"/>
      <protection locked="0"/>
    </xf>
    <xf numFmtId="0" fontId="16" fillId="0" borderId="50" xfId="0" applyFont="1" applyBorder="1" applyAlignment="1">
      <alignment horizontal="center" vertical="center"/>
    </xf>
    <xf numFmtId="0" fontId="16" fillId="0" borderId="50" xfId="0" applyFont="1" applyBorder="1" applyAlignment="1">
      <alignment horizontal="left" vertical="center"/>
    </xf>
    <xf numFmtId="169" fontId="24" fillId="0" borderId="50" xfId="3" applyNumberFormat="1" applyFont="1" applyFill="1" applyBorder="1" applyAlignment="1">
      <alignment horizontal="left" vertical="center"/>
    </xf>
    <xf numFmtId="9" fontId="25" fillId="0" borderId="34" xfId="2" applyFont="1" applyBorder="1" applyAlignment="1">
      <alignment horizontal="center" vertical="center"/>
    </xf>
    <xf numFmtId="9" fontId="25" fillId="0" borderId="50" xfId="2" applyFont="1" applyFill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0" borderId="55" xfId="0" applyFont="1" applyBorder="1" applyAlignment="1">
      <alignment horizontal="left" vertical="center"/>
    </xf>
    <xf numFmtId="169" fontId="48" fillId="0" borderId="55" xfId="3" applyNumberFormat="1" applyFont="1" applyFill="1" applyBorder="1" applyAlignment="1">
      <alignment horizontal="left" vertical="center"/>
    </xf>
    <xf numFmtId="10" fontId="48" fillId="0" borderId="55" xfId="2" applyNumberFormat="1" applyFont="1" applyFill="1" applyBorder="1" applyAlignment="1">
      <alignment horizontal="center" vertical="center"/>
    </xf>
    <xf numFmtId="10" fontId="48" fillId="0" borderId="0" xfId="2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169" fontId="16" fillId="0" borderId="35" xfId="20" applyNumberFormat="1" applyFont="1" applyFill="1" applyBorder="1" applyAlignment="1">
      <alignment horizontal="left" vertical="center"/>
    </xf>
    <xf numFmtId="169" fontId="24" fillId="0" borderId="35" xfId="20" applyNumberFormat="1" applyFont="1" applyFill="1" applyBorder="1" applyAlignment="1">
      <alignment horizontal="left" vertical="center"/>
    </xf>
    <xf numFmtId="10" fontId="24" fillId="0" borderId="35" xfId="21" applyNumberFormat="1" applyFont="1" applyFill="1" applyBorder="1" applyAlignment="1">
      <alignment horizontal="center" vertical="center"/>
    </xf>
    <xf numFmtId="10" fontId="24" fillId="0" borderId="33" xfId="21" applyNumberFormat="1" applyFont="1" applyFill="1" applyBorder="1" applyAlignment="1">
      <alignment horizontal="center" vertical="center"/>
    </xf>
    <xf numFmtId="0" fontId="16" fillId="0" borderId="0" xfId="25" applyFont="1" applyAlignment="1">
      <alignment horizontal="left" vertical="center"/>
    </xf>
    <xf numFmtId="169" fontId="16" fillId="0" borderId="50" xfId="20" applyNumberFormat="1" applyFont="1" applyFill="1" applyBorder="1" applyAlignment="1">
      <alignment horizontal="left" vertical="center"/>
    </xf>
    <xf numFmtId="10" fontId="24" fillId="0" borderId="50" xfId="21" applyNumberFormat="1" applyFont="1" applyFill="1" applyBorder="1" applyAlignment="1">
      <alignment horizontal="center" vertical="center"/>
    </xf>
    <xf numFmtId="10" fontId="24" fillId="0" borderId="34" xfId="21" applyNumberFormat="1" applyFont="1" applyFill="1" applyBorder="1" applyAlignment="1">
      <alignment horizontal="center" vertical="center"/>
    </xf>
    <xf numFmtId="0" fontId="16" fillId="0" borderId="36" xfId="25" applyFont="1" applyBorder="1" applyAlignment="1">
      <alignment horizontal="center" vertical="center"/>
    </xf>
    <xf numFmtId="0" fontId="16" fillId="0" borderId="49" xfId="25" applyFont="1" applyBorder="1" applyAlignment="1">
      <alignment horizontal="left" vertical="center"/>
    </xf>
    <xf numFmtId="169" fontId="16" fillId="0" borderId="36" xfId="20" applyNumberFormat="1" applyFont="1" applyFill="1" applyBorder="1" applyAlignment="1">
      <alignment horizontal="left" vertical="center"/>
    </xf>
    <xf numFmtId="169" fontId="24" fillId="0" borderId="36" xfId="20" applyNumberFormat="1" applyFont="1" applyFill="1" applyBorder="1" applyAlignment="1">
      <alignment horizontal="left" vertical="center"/>
    </xf>
    <xf numFmtId="169" fontId="16" fillId="0" borderId="57" xfId="20" applyNumberFormat="1" applyFont="1" applyFill="1" applyBorder="1" applyAlignment="1">
      <alignment horizontal="left" vertical="center"/>
    </xf>
    <xf numFmtId="169" fontId="24" fillId="0" borderId="57" xfId="20" applyNumberFormat="1" applyFont="1" applyFill="1" applyBorder="1" applyAlignment="1">
      <alignment horizontal="left" vertical="center"/>
    </xf>
    <xf numFmtId="9" fontId="24" fillId="0" borderId="36" xfId="21" applyFont="1" applyFill="1" applyBorder="1" applyAlignment="1">
      <alignment horizontal="center" vertical="center"/>
    </xf>
    <xf numFmtId="10" fontId="24" fillId="0" borderId="36" xfId="21" applyNumberFormat="1" applyFont="1" applyFill="1" applyBorder="1" applyAlignment="1">
      <alignment horizontal="center" vertical="center"/>
    </xf>
    <xf numFmtId="10" fontId="24" fillId="0" borderId="57" xfId="21" applyNumberFormat="1" applyFont="1" applyFill="1" applyBorder="1" applyAlignment="1">
      <alignment horizontal="center" vertical="center"/>
    </xf>
    <xf numFmtId="169" fontId="24" fillId="0" borderId="0" xfId="3" applyNumberFormat="1" applyFont="1" applyAlignment="1">
      <alignment horizontal="left" vertical="center"/>
    </xf>
    <xf numFmtId="0" fontId="16" fillId="0" borderId="50" xfId="25" applyFont="1" applyBorder="1" applyAlignment="1">
      <alignment horizontal="center" vertical="center"/>
    </xf>
    <xf numFmtId="0" fontId="16" fillId="0" borderId="56" xfId="25" applyFont="1" applyBorder="1" applyAlignment="1">
      <alignment horizontal="left" vertical="center" wrapText="1"/>
    </xf>
    <xf numFmtId="0" fontId="24" fillId="0" borderId="0" xfId="25" applyFont="1" applyAlignment="1">
      <alignment horizontal="left" vertical="center"/>
    </xf>
    <xf numFmtId="0" fontId="16" fillId="0" borderId="35" xfId="25" applyFont="1" applyBorder="1" applyAlignment="1">
      <alignment horizontal="center" vertical="center"/>
    </xf>
    <xf numFmtId="169" fontId="31" fillId="0" borderId="43" xfId="15" applyNumberFormat="1" applyFont="1" applyFill="1" applyBorder="1" applyAlignment="1" applyProtection="1">
      <alignment horizontal="center" vertical="center"/>
      <protection locked="0"/>
    </xf>
    <xf numFmtId="169" fontId="31" fillId="0" borderId="60" xfId="15" applyNumberFormat="1" applyFont="1" applyFill="1" applyBorder="1" applyAlignment="1" applyProtection="1">
      <alignment horizontal="center" vertical="center"/>
      <protection locked="0"/>
    </xf>
    <xf numFmtId="165" fontId="31" fillId="0" borderId="53" xfId="1" applyFont="1" applyFill="1" applyBorder="1" applyAlignment="1" applyProtection="1">
      <alignment horizontal="center" vertical="center"/>
      <protection locked="0"/>
    </xf>
    <xf numFmtId="169" fontId="16" fillId="0" borderId="8" xfId="20" applyNumberFormat="1" applyFont="1" applyFill="1" applyBorder="1" applyAlignment="1">
      <alignment horizontal="right" vertical="center" shrinkToFit="1"/>
    </xf>
    <xf numFmtId="169" fontId="79" fillId="0" borderId="8" xfId="20" applyNumberFormat="1" applyFont="1" applyFill="1" applyBorder="1" applyAlignment="1">
      <alignment vertical="center"/>
    </xf>
    <xf numFmtId="169" fontId="16" fillId="0" borderId="28" xfId="20" applyNumberFormat="1" applyFont="1" applyFill="1" applyBorder="1" applyAlignment="1">
      <alignment horizontal="right" vertical="center" shrinkToFit="1"/>
    </xf>
    <xf numFmtId="169" fontId="25" fillId="8" borderId="0" xfId="0" applyNumberFormat="1" applyFont="1" applyFill="1" applyAlignment="1">
      <alignment horizontal="left" vertical="center"/>
    </xf>
    <xf numFmtId="0" fontId="22" fillId="0" borderId="8" xfId="0" applyFont="1" applyBorder="1" applyAlignment="1" applyProtection="1">
      <alignment horizontal="center" vertical="center"/>
      <protection locked="0"/>
    </xf>
    <xf numFmtId="0" fontId="37" fillId="0" borderId="13" xfId="0" applyFont="1" applyBorder="1" applyAlignment="1" applyProtection="1">
      <alignment horizontal="center" vertical="center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>
      <alignment horizontal="left" vertical="center"/>
    </xf>
    <xf numFmtId="0" fontId="65" fillId="0" borderId="14" xfId="0" applyFont="1" applyBorder="1" applyAlignment="1" applyProtection="1">
      <alignment horizontal="center" vertical="center"/>
      <protection locked="0"/>
    </xf>
    <xf numFmtId="0" fontId="79" fillId="0" borderId="8" xfId="27" applyNumberFormat="1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wrapText="1"/>
    </xf>
    <xf numFmtId="1" fontId="42" fillId="0" borderId="14" xfId="0" applyNumberFormat="1" applyFont="1" applyBorder="1" applyAlignment="1" applyProtection="1">
      <alignment horizontal="center" vertical="center"/>
      <protection locked="0"/>
    </xf>
    <xf numFmtId="165" fontId="42" fillId="0" borderId="13" xfId="1" applyFont="1" applyFill="1" applyBorder="1" applyAlignment="1" applyProtection="1">
      <alignment horizontal="right" vertical="center"/>
      <protection locked="0"/>
    </xf>
    <xf numFmtId="165" fontId="42" fillId="0" borderId="8" xfId="20" applyNumberFormat="1" applyFont="1" applyFill="1" applyBorder="1" applyAlignment="1">
      <alignment horizontal="left" vertical="center"/>
    </xf>
    <xf numFmtId="165" fontId="42" fillId="0" borderId="8" xfId="0" applyNumberFormat="1" applyFont="1" applyBorder="1" applyAlignment="1">
      <alignment horizontal="right" vertical="center" shrinkToFit="1"/>
    </xf>
    <xf numFmtId="1" fontId="42" fillId="0" borderId="0" xfId="1" applyNumberFormat="1" applyFont="1" applyFill="1" applyAlignment="1">
      <alignment horizontal="center" vertical="center"/>
    </xf>
    <xf numFmtId="177" fontId="42" fillId="0" borderId="0" xfId="3" applyNumberFormat="1" applyFont="1" applyFill="1" applyAlignment="1">
      <alignment horizontal="center" vertical="center"/>
    </xf>
    <xf numFmtId="167" fontId="42" fillId="0" borderId="0" xfId="1" applyNumberFormat="1" applyFont="1" applyFill="1" applyAlignment="1">
      <alignment horizontal="left" vertical="center"/>
    </xf>
    <xf numFmtId="165" fontId="38" fillId="0" borderId="10" xfId="20" applyNumberFormat="1" applyFont="1" applyFill="1" applyBorder="1" applyAlignment="1">
      <alignment horizontal="right" vertical="center" shrinkToFit="1"/>
    </xf>
    <xf numFmtId="9" fontId="38" fillId="0" borderId="0" xfId="2" applyFont="1" applyFill="1" applyBorder="1" applyAlignment="1">
      <alignment horizontal="center" vertical="center"/>
    </xf>
    <xf numFmtId="169" fontId="44" fillId="0" borderId="31" xfId="3" applyNumberFormat="1" applyFont="1" applyFill="1" applyBorder="1" applyAlignment="1">
      <alignment horizontal="right" vertical="center" shrinkToFit="1"/>
    </xf>
    <xf numFmtId="169" fontId="39" fillId="0" borderId="10" xfId="3" applyNumberFormat="1" applyFont="1" applyFill="1" applyBorder="1" applyAlignment="1">
      <alignment horizontal="right" vertical="center" indent="3" shrinkToFit="1"/>
    </xf>
    <xf numFmtId="169" fontId="38" fillId="0" borderId="0" xfId="3" applyNumberFormat="1" applyFont="1" applyAlignment="1">
      <alignment vertical="center" wrapText="1"/>
    </xf>
    <xf numFmtId="169" fontId="38" fillId="7" borderId="14" xfId="23" applyNumberFormat="1" applyFont="1" applyFill="1" applyBorder="1" applyAlignment="1" applyProtection="1">
      <alignment vertical="center"/>
      <protection locked="0"/>
    </xf>
    <xf numFmtId="169" fontId="39" fillId="7" borderId="14" xfId="23" applyNumberFormat="1" applyFont="1" applyFill="1" applyBorder="1" applyAlignment="1" applyProtection="1">
      <alignment vertical="center"/>
      <protection locked="0"/>
    </xf>
    <xf numFmtId="0" fontId="42" fillId="7" borderId="0" xfId="0" applyFont="1" applyFill="1" applyAlignment="1">
      <alignment vertical="center" wrapText="1"/>
    </xf>
    <xf numFmtId="169" fontId="38" fillId="7" borderId="13" xfId="3" applyNumberFormat="1" applyFont="1" applyFill="1" applyBorder="1" applyAlignment="1" applyProtection="1">
      <alignment horizontal="right" vertical="center"/>
      <protection locked="0"/>
    </xf>
    <xf numFmtId="169" fontId="39" fillId="7" borderId="14" xfId="3" applyNumberFormat="1" applyFont="1" applyFill="1" applyBorder="1" applyAlignment="1" applyProtection="1">
      <alignment vertical="center"/>
      <protection locked="0"/>
    </xf>
    <xf numFmtId="169" fontId="44" fillId="7" borderId="31" xfId="3" applyNumberFormat="1" applyFont="1" applyFill="1" applyBorder="1" applyAlignment="1">
      <alignment horizontal="right" vertical="center" shrinkToFit="1"/>
    </xf>
    <xf numFmtId="0" fontId="45" fillId="7" borderId="0" xfId="0" applyFont="1" applyFill="1" applyAlignment="1">
      <alignment horizontal="left" vertical="center"/>
    </xf>
    <xf numFmtId="0" fontId="43" fillId="7" borderId="0" xfId="0" applyFont="1" applyFill="1" applyAlignment="1">
      <alignment horizontal="left" vertical="center"/>
    </xf>
    <xf numFmtId="169" fontId="39" fillId="7" borderId="13" xfId="3" applyNumberFormat="1" applyFont="1" applyFill="1" applyBorder="1" applyAlignment="1" applyProtection="1">
      <alignment horizontal="right" vertical="center"/>
      <protection locked="0"/>
    </xf>
    <xf numFmtId="176" fontId="37" fillId="7" borderId="13" xfId="0" applyNumberFormat="1" applyFont="1" applyFill="1" applyBorder="1" applyAlignment="1" applyProtection="1">
      <alignment horizontal="right" vertical="center"/>
      <protection locked="0"/>
    </xf>
    <xf numFmtId="0" fontId="46" fillId="7" borderId="0" xfId="0" applyFont="1" applyFill="1" applyAlignment="1">
      <alignment horizontal="left" vertical="top"/>
    </xf>
    <xf numFmtId="0" fontId="0" fillId="7" borderId="0" xfId="0" applyFill="1" applyAlignment="1">
      <alignment horizontal="left" vertical="top"/>
    </xf>
    <xf numFmtId="0" fontId="42" fillId="9" borderId="1" xfId="0" applyFont="1" applyFill="1" applyBorder="1" applyAlignment="1">
      <alignment horizontal="center" vertical="center" wrapText="1"/>
    </xf>
    <xf numFmtId="165" fontId="42" fillId="0" borderId="0" xfId="0" applyNumberFormat="1" applyFont="1" applyAlignment="1">
      <alignment vertical="center" wrapText="1"/>
    </xf>
    <xf numFmtId="1" fontId="42" fillId="9" borderId="1" xfId="0" applyNumberFormat="1" applyFont="1" applyFill="1" applyBorder="1" applyAlignment="1">
      <alignment horizontal="center" vertical="center" wrapText="1"/>
    </xf>
    <xf numFmtId="169" fontId="38" fillId="7" borderId="10" xfId="3" applyNumberFormat="1" applyFont="1" applyFill="1" applyBorder="1" applyAlignment="1">
      <alignment horizontal="right" vertical="center" shrinkToFit="1"/>
    </xf>
    <xf numFmtId="169" fontId="42" fillId="0" borderId="0" xfId="3" applyNumberFormat="1" applyFont="1" applyAlignment="1">
      <alignment horizontal="center" vertical="center" wrapText="1"/>
    </xf>
    <xf numFmtId="169" fontId="43" fillId="0" borderId="0" xfId="3" applyNumberFormat="1" applyFont="1" applyFill="1" applyBorder="1" applyAlignment="1">
      <alignment horizontal="center" vertical="center"/>
    </xf>
    <xf numFmtId="169" fontId="44" fillId="0" borderId="0" xfId="3" applyNumberFormat="1" applyFont="1" applyAlignment="1">
      <alignment horizontal="center" vertical="center"/>
    </xf>
    <xf numFmtId="169" fontId="43" fillId="0" borderId="0" xfId="3" applyNumberFormat="1" applyFont="1" applyAlignment="1">
      <alignment horizontal="left" vertical="center"/>
    </xf>
    <xf numFmtId="169" fontId="43" fillId="0" borderId="0" xfId="3" applyNumberFormat="1" applyFont="1" applyAlignment="1">
      <alignment horizontal="center" vertical="center"/>
    </xf>
    <xf numFmtId="169" fontId="43" fillId="0" borderId="0" xfId="3" applyNumberFormat="1" applyFont="1" applyAlignment="1">
      <alignment horizontal="left" vertical="top"/>
    </xf>
    <xf numFmtId="169" fontId="18" fillId="0" borderId="0" xfId="3" applyNumberFormat="1" applyFont="1" applyAlignment="1">
      <alignment horizontal="left" vertical="top"/>
    </xf>
    <xf numFmtId="169" fontId="18" fillId="0" borderId="0" xfId="3" applyNumberFormat="1" applyFont="1" applyAlignment="1">
      <alignment horizontal="center" vertical="center"/>
    </xf>
    <xf numFmtId="169" fontId="38" fillId="0" borderId="14" xfId="23" applyNumberFormat="1" applyFont="1" applyFill="1" applyBorder="1" applyAlignment="1" applyProtection="1">
      <alignment vertical="center"/>
      <protection locked="0"/>
    </xf>
    <xf numFmtId="169" fontId="38" fillId="0" borderId="14" xfId="3" applyNumberFormat="1" applyFont="1" applyFill="1" applyBorder="1" applyAlignment="1" applyProtection="1">
      <alignment vertical="center"/>
      <protection locked="0"/>
    </xf>
    <xf numFmtId="169" fontId="38" fillId="0" borderId="13" xfId="3" applyNumberFormat="1" applyFont="1" applyFill="1" applyBorder="1" applyAlignment="1" applyProtection="1">
      <alignment horizontal="right" vertical="center"/>
      <protection locked="0"/>
    </xf>
    <xf numFmtId="1" fontId="31" fillId="0" borderId="15" xfId="0" applyNumberFormat="1" applyFont="1" applyBorder="1" applyAlignment="1" applyProtection="1">
      <alignment horizontal="center" vertical="center"/>
      <protection locked="0"/>
    </xf>
    <xf numFmtId="172" fontId="38" fillId="0" borderId="13" xfId="0" applyNumberFormat="1" applyFont="1" applyBorder="1" applyAlignment="1" applyProtection="1">
      <alignment horizontal="right" vertical="center"/>
      <protection locked="0"/>
    </xf>
    <xf numFmtId="1" fontId="31" fillId="0" borderId="15" xfId="0" applyNumberFormat="1" applyFont="1" applyBorder="1" applyAlignment="1" applyProtection="1">
      <alignment horizontal="left" vertical="center"/>
      <protection locked="0"/>
    </xf>
    <xf numFmtId="169" fontId="38" fillId="0" borderId="14" xfId="3" applyNumberFormat="1" applyFont="1" applyFill="1" applyBorder="1" applyAlignment="1" applyProtection="1">
      <alignment horizontal="right" vertical="center"/>
      <protection locked="0"/>
    </xf>
    <xf numFmtId="169" fontId="42" fillId="0" borderId="14" xfId="23" applyNumberFormat="1" applyFont="1" applyFill="1" applyBorder="1" applyAlignment="1" applyProtection="1">
      <alignment horizontal="center" vertical="center"/>
      <protection locked="0"/>
    </xf>
    <xf numFmtId="0" fontId="42" fillId="0" borderId="15" xfId="0" applyFont="1" applyBorder="1" applyAlignment="1" applyProtection="1">
      <alignment horizontal="center" vertical="center"/>
      <protection locked="0"/>
    </xf>
    <xf numFmtId="169" fontId="42" fillId="0" borderId="14" xfId="23" applyNumberFormat="1" applyFont="1" applyFill="1" applyBorder="1" applyAlignment="1" applyProtection="1">
      <alignment vertical="center"/>
      <protection locked="0"/>
    </xf>
    <xf numFmtId="169" fontId="42" fillId="0" borderId="19" xfId="3" applyNumberFormat="1" applyFont="1" applyFill="1" applyBorder="1" applyAlignment="1" applyProtection="1">
      <alignment vertical="center"/>
      <protection locked="0"/>
    </xf>
    <xf numFmtId="169" fontId="42" fillId="0" borderId="2" xfId="3" applyNumberFormat="1" applyFont="1" applyFill="1" applyBorder="1" applyAlignment="1">
      <alignment horizontal="right" vertical="center" shrinkToFit="1"/>
    </xf>
    <xf numFmtId="169" fontId="42" fillId="0" borderId="14" xfId="3" applyNumberFormat="1" applyFont="1" applyFill="1" applyBorder="1" applyAlignment="1" applyProtection="1">
      <alignment vertical="center"/>
      <protection locked="0"/>
    </xf>
    <xf numFmtId="1" fontId="44" fillId="0" borderId="25" xfId="0" applyNumberFormat="1" applyFont="1" applyBorder="1" applyAlignment="1">
      <alignment horizontal="center" vertical="center" shrinkToFit="1"/>
    </xf>
    <xf numFmtId="169" fontId="43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169" fontId="43" fillId="2" borderId="0" xfId="0" applyNumberFormat="1" applyFont="1" applyFill="1" applyAlignment="1">
      <alignment horizontal="left" vertical="center"/>
    </xf>
    <xf numFmtId="169" fontId="25" fillId="2" borderId="0" xfId="0" applyNumberFormat="1" applyFont="1" applyFill="1" applyAlignment="1">
      <alignment horizontal="left" vertical="center"/>
    </xf>
    <xf numFmtId="0" fontId="16" fillId="0" borderId="8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165" fontId="16" fillId="0" borderId="8" xfId="1" applyFont="1" applyFill="1" applyBorder="1" applyAlignment="1" applyProtection="1">
      <alignment horizontal="right" vertical="center"/>
      <protection locked="0"/>
    </xf>
    <xf numFmtId="0" fontId="79" fillId="0" borderId="8" xfId="27" applyNumberFormat="1" applyFont="1" applyFill="1" applyBorder="1" applyAlignment="1">
      <alignment horizontal="center" vertical="center"/>
    </xf>
    <xf numFmtId="169" fontId="79" fillId="0" borderId="8" xfId="28" applyNumberFormat="1" applyFont="1" applyFill="1" applyBorder="1" applyAlignment="1">
      <alignment vertical="center"/>
    </xf>
    <xf numFmtId="0" fontId="69" fillId="0" borderId="8" xfId="0" applyFont="1" applyBorder="1" applyAlignment="1">
      <alignment horizontal="center" vertical="center"/>
    </xf>
    <xf numFmtId="3" fontId="69" fillId="0" borderId="8" xfId="0" applyNumberFormat="1" applyFont="1" applyBorder="1" applyAlignment="1">
      <alignment vertical="center"/>
    </xf>
    <xf numFmtId="1" fontId="16" fillId="0" borderId="71" xfId="0" applyNumberFormat="1" applyFont="1" applyBorder="1" applyAlignment="1">
      <alignment horizontal="center" vertical="center" shrinkToFit="1"/>
    </xf>
    <xf numFmtId="0" fontId="16" fillId="0" borderId="28" xfId="0" applyFont="1" applyBorder="1" applyAlignment="1">
      <alignment horizontal="center" vertical="center" wrapText="1"/>
    </xf>
    <xf numFmtId="0" fontId="69" fillId="0" borderId="28" xfId="0" applyFont="1" applyBorder="1" applyAlignment="1">
      <alignment horizontal="center" vertical="center"/>
    </xf>
    <xf numFmtId="169" fontId="79" fillId="0" borderId="28" xfId="3" applyNumberFormat="1" applyFont="1" applyFill="1" applyBorder="1" applyAlignment="1">
      <alignment vertical="center"/>
    </xf>
    <xf numFmtId="169" fontId="16" fillId="0" borderId="28" xfId="3" applyNumberFormat="1" applyFont="1" applyFill="1" applyBorder="1" applyAlignment="1">
      <alignment horizontal="right" vertical="center" shrinkToFit="1"/>
    </xf>
    <xf numFmtId="165" fontId="16" fillId="0" borderId="28" xfId="20" applyNumberFormat="1" applyFont="1" applyFill="1" applyBorder="1" applyAlignment="1">
      <alignment horizontal="right" vertical="center" shrinkToFit="1"/>
    </xf>
    <xf numFmtId="165" fontId="24" fillId="0" borderId="28" xfId="20" applyNumberFormat="1" applyFont="1" applyFill="1" applyBorder="1" applyAlignment="1">
      <alignment horizontal="right" vertical="center" shrinkToFit="1"/>
    </xf>
    <xf numFmtId="165" fontId="11" fillId="0" borderId="31" xfId="1" applyFont="1" applyFill="1" applyBorder="1" applyAlignment="1">
      <alignment horizontal="left" vertical="center"/>
    </xf>
    <xf numFmtId="165" fontId="11" fillId="0" borderId="31" xfId="1" applyFont="1" applyFill="1" applyBorder="1" applyAlignment="1">
      <alignment horizontal="right" vertical="center" shrinkToFit="1"/>
    </xf>
    <xf numFmtId="169" fontId="11" fillId="0" borderId="31" xfId="3" applyNumberFormat="1" applyFont="1" applyFill="1" applyBorder="1" applyAlignment="1">
      <alignment horizontal="right" vertical="center" shrinkToFit="1"/>
    </xf>
    <xf numFmtId="169" fontId="25" fillId="0" borderId="31" xfId="3" applyNumberFormat="1" applyFont="1" applyFill="1" applyBorder="1" applyAlignment="1">
      <alignment horizontal="right" vertical="center"/>
    </xf>
    <xf numFmtId="169" fontId="25" fillId="0" borderId="31" xfId="3" applyNumberFormat="1" applyFont="1" applyFill="1" applyBorder="1" applyAlignment="1">
      <alignment horizontal="right" vertical="center" shrinkToFit="1"/>
    </xf>
    <xf numFmtId="1" fontId="74" fillId="0" borderId="41" xfId="0" applyNumberFormat="1" applyFont="1" applyBorder="1" applyAlignment="1" applyProtection="1">
      <alignment vertical="center"/>
      <protection locked="0"/>
    </xf>
    <xf numFmtId="1" fontId="74" fillId="0" borderId="41" xfId="0" applyNumberFormat="1" applyFont="1" applyBorder="1" applyAlignment="1" applyProtection="1">
      <alignment horizontal="center" vertical="center"/>
      <protection locked="0"/>
    </xf>
    <xf numFmtId="0" fontId="30" fillId="0" borderId="13" xfId="0" applyFont="1" applyBorder="1" applyAlignment="1">
      <alignment horizontal="center" vertical="center"/>
    </xf>
    <xf numFmtId="166" fontId="30" fillId="0" borderId="13" xfId="15" applyFont="1" applyFill="1" applyBorder="1" applyAlignment="1">
      <alignment horizontal="right" vertical="center"/>
    </xf>
    <xf numFmtId="169" fontId="28" fillId="0" borderId="13" xfId="3" applyNumberFormat="1" applyFont="1" applyFill="1" applyBorder="1" applyAlignment="1" applyProtection="1">
      <alignment horizontal="right" vertical="center"/>
      <protection locked="0"/>
    </xf>
    <xf numFmtId="0" fontId="30" fillId="0" borderId="13" xfId="0" applyFont="1" applyBorder="1" applyAlignment="1">
      <alignment vertical="center"/>
    </xf>
    <xf numFmtId="0" fontId="72" fillId="0" borderId="14" xfId="19" applyFont="1" applyBorder="1" applyAlignment="1">
      <alignment vertical="center"/>
    </xf>
    <xf numFmtId="0" fontId="37" fillId="0" borderId="13" xfId="15" applyNumberFormat="1" applyFont="1" applyFill="1" applyBorder="1" applyAlignment="1">
      <alignment horizontal="center" vertical="center"/>
    </xf>
    <xf numFmtId="165" fontId="22" fillId="0" borderId="13" xfId="1" applyFont="1" applyFill="1" applyBorder="1" applyAlignment="1" applyProtection="1">
      <alignment horizontal="right" vertical="center"/>
      <protection locked="0"/>
    </xf>
    <xf numFmtId="3" fontId="69" fillId="0" borderId="16" xfId="0" applyNumberFormat="1" applyFont="1" applyBorder="1" applyAlignment="1">
      <alignment vertical="center"/>
    </xf>
    <xf numFmtId="169" fontId="79" fillId="0" borderId="15" xfId="3" applyNumberFormat="1" applyFont="1" applyFill="1" applyBorder="1" applyAlignment="1">
      <alignment vertical="center"/>
    </xf>
    <xf numFmtId="169" fontId="79" fillId="0" borderId="8" xfId="3" applyNumberFormat="1" applyFont="1" applyFill="1" applyBorder="1" applyAlignment="1">
      <alignment horizontal="center" vertical="center"/>
    </xf>
    <xf numFmtId="165" fontId="79" fillId="0" borderId="8" xfId="27" applyFont="1" applyFill="1" applyBorder="1" applyAlignment="1">
      <alignment horizontal="center" vertical="center"/>
    </xf>
    <xf numFmtId="169" fontId="38" fillId="0" borderId="14" xfId="23" applyNumberFormat="1" applyFont="1" applyFill="1" applyBorder="1" applyAlignment="1" applyProtection="1">
      <alignment horizontal="center" vertical="center"/>
      <protection locked="0"/>
    </xf>
    <xf numFmtId="165" fontId="38" fillId="0" borderId="8" xfId="0" applyNumberFormat="1" applyFont="1" applyBorder="1" applyAlignment="1">
      <alignment horizontal="right" vertical="center" shrinkToFit="1"/>
    </xf>
    <xf numFmtId="165" fontId="38" fillId="0" borderId="8" xfId="1" applyFont="1" applyFill="1" applyBorder="1" applyAlignment="1">
      <alignment horizontal="right" vertical="center"/>
    </xf>
    <xf numFmtId="165" fontId="38" fillId="0" borderId="26" xfId="1" applyFont="1" applyFill="1" applyBorder="1" applyAlignment="1">
      <alignment horizontal="right" vertical="center"/>
    </xf>
    <xf numFmtId="169" fontId="38" fillId="0" borderId="13" xfId="3" applyNumberFormat="1" applyFont="1" applyFill="1" applyBorder="1" applyAlignment="1" applyProtection="1">
      <alignment vertical="center"/>
      <protection locked="0"/>
    </xf>
    <xf numFmtId="169" fontId="38" fillId="0" borderId="13" xfId="3" applyNumberFormat="1" applyFont="1" applyFill="1" applyBorder="1" applyAlignment="1">
      <alignment horizontal="right" vertical="center" shrinkToFit="1"/>
    </xf>
    <xf numFmtId="169" fontId="38" fillId="0" borderId="38" xfId="3" applyNumberFormat="1" applyFont="1" applyFill="1" applyBorder="1" applyAlignment="1">
      <alignment horizontal="right" vertical="center" shrinkToFit="1"/>
    </xf>
    <xf numFmtId="1" fontId="62" fillId="0" borderId="18" xfId="0" applyNumberFormat="1" applyFont="1" applyBorder="1" applyAlignment="1" applyProtection="1">
      <alignment horizontal="left" vertical="center"/>
      <protection locked="0"/>
    </xf>
    <xf numFmtId="172" fontId="37" fillId="0" borderId="13" xfId="0" applyNumberFormat="1" applyFont="1" applyBorder="1" applyAlignment="1" applyProtection="1">
      <alignment horizontal="right" vertical="center"/>
      <protection locked="0"/>
    </xf>
    <xf numFmtId="165" fontId="39" fillId="0" borderId="13" xfId="0" applyNumberFormat="1" applyFont="1" applyBorder="1" applyAlignment="1">
      <alignment vertical="center"/>
    </xf>
    <xf numFmtId="165" fontId="38" fillId="0" borderId="10" xfId="0" applyNumberFormat="1" applyFont="1" applyBorder="1" applyAlignment="1">
      <alignment horizontal="right" vertical="center" shrinkToFit="1"/>
    </xf>
    <xf numFmtId="176" fontId="31" fillId="0" borderId="18" xfId="0" applyNumberFormat="1" applyFont="1" applyBorder="1" applyAlignment="1" applyProtection="1">
      <alignment horizontal="right" vertical="center"/>
      <protection locked="0"/>
    </xf>
    <xf numFmtId="179" fontId="31" fillId="0" borderId="13" xfId="0" applyNumberFormat="1" applyFont="1" applyBorder="1" applyAlignment="1" applyProtection="1">
      <alignment horizontal="right" vertical="center"/>
      <protection locked="0"/>
    </xf>
    <xf numFmtId="169" fontId="31" fillId="0" borderId="13" xfId="3" applyNumberFormat="1" applyFont="1" applyFill="1" applyBorder="1" applyAlignment="1" applyProtection="1">
      <alignment horizontal="right" vertical="center"/>
      <protection locked="0"/>
    </xf>
    <xf numFmtId="0" fontId="16" fillId="2" borderId="8" xfId="1" applyNumberFormat="1" applyFont="1" applyFill="1" applyBorder="1" applyAlignment="1">
      <alignment horizontal="center" vertical="center" shrinkToFit="1"/>
    </xf>
    <xf numFmtId="165" fontId="16" fillId="2" borderId="8" xfId="20" applyNumberFormat="1" applyFont="1" applyFill="1" applyBorder="1" applyAlignment="1">
      <alignment horizontal="right" vertical="center" shrinkToFit="1"/>
    </xf>
    <xf numFmtId="169" fontId="83" fillId="0" borderId="13" xfId="25" applyNumberFormat="1" applyFont="1" applyBorder="1" applyAlignment="1">
      <alignment horizontal="left" vertical="center"/>
    </xf>
    <xf numFmtId="165" fontId="25" fillId="2" borderId="8" xfId="20" applyNumberFormat="1" applyFont="1" applyFill="1" applyBorder="1" applyAlignment="1">
      <alignment horizontal="right" vertical="center" shrinkToFit="1"/>
    </xf>
    <xf numFmtId="165" fontId="16" fillId="0" borderId="9" xfId="20" applyNumberFormat="1" applyFont="1" applyFill="1" applyBorder="1" applyAlignment="1">
      <alignment horizontal="right" vertical="center" shrinkToFit="1"/>
    </xf>
    <xf numFmtId="165" fontId="11" fillId="0" borderId="0" xfId="1" applyFont="1" applyFill="1" applyAlignment="1">
      <alignment horizontal="left" vertical="center"/>
    </xf>
    <xf numFmtId="167" fontId="28" fillId="0" borderId="0" xfId="1" applyNumberFormat="1" applyFont="1" applyFill="1" applyAlignment="1">
      <alignment horizontal="center" vertical="center"/>
    </xf>
    <xf numFmtId="167" fontId="11" fillId="0" borderId="0" xfId="1" applyNumberFormat="1" applyFont="1" applyFill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165" fontId="25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65" fontId="11" fillId="0" borderId="0" xfId="1" applyFont="1" applyAlignment="1">
      <alignment horizontal="left" vertical="top"/>
    </xf>
    <xf numFmtId="167" fontId="10" fillId="0" borderId="0" xfId="1" applyNumberFormat="1" applyFont="1" applyAlignment="1">
      <alignment horizontal="center" vertical="top"/>
    </xf>
    <xf numFmtId="167" fontId="11" fillId="0" borderId="0" xfId="1" applyNumberFormat="1" applyFont="1" applyAlignment="1">
      <alignment horizontal="center" vertical="top"/>
    </xf>
    <xf numFmtId="167" fontId="54" fillId="0" borderId="0" xfId="1" applyNumberFormat="1" applyFont="1" applyAlignment="1">
      <alignment horizontal="center" vertical="top"/>
    </xf>
    <xf numFmtId="167" fontId="54" fillId="0" borderId="0" xfId="1" applyNumberFormat="1" applyFont="1" applyFill="1" applyAlignment="1">
      <alignment horizontal="center" vertical="center"/>
    </xf>
    <xf numFmtId="165" fontId="25" fillId="0" borderId="10" xfId="20" applyNumberFormat="1" applyFont="1" applyFill="1" applyBorder="1" applyAlignment="1">
      <alignment horizontal="right" vertical="center" shrinkToFit="1"/>
    </xf>
    <xf numFmtId="165" fontId="25" fillId="0" borderId="31" xfId="0" applyNumberFormat="1" applyFont="1" applyBorder="1" applyAlignment="1">
      <alignment vertical="center"/>
    </xf>
    <xf numFmtId="165" fontId="25" fillId="0" borderId="31" xfId="1" applyFont="1" applyFill="1" applyBorder="1" applyAlignment="1">
      <alignment horizontal="center" vertical="center" shrinkToFit="1"/>
    </xf>
    <xf numFmtId="165" fontId="25" fillId="0" borderId="31" xfId="0" applyNumberFormat="1" applyFont="1" applyBorder="1" applyAlignment="1">
      <alignment horizontal="center" vertical="center"/>
    </xf>
    <xf numFmtId="169" fontId="25" fillId="0" borderId="31" xfId="3" applyNumberFormat="1" applyFont="1" applyBorder="1" applyAlignment="1">
      <alignment horizontal="left" vertical="center"/>
    </xf>
    <xf numFmtId="165" fontId="25" fillId="0" borderId="9" xfId="20" applyNumberFormat="1" applyFont="1" applyFill="1" applyBorder="1" applyAlignment="1">
      <alignment horizontal="right" vertical="center" shrinkToFit="1"/>
    </xf>
    <xf numFmtId="165" fontId="25" fillId="0" borderId="8" xfId="20" applyNumberFormat="1" applyFont="1" applyFill="1" applyBorder="1" applyAlignment="1">
      <alignment horizontal="right" vertical="center" shrinkToFit="1"/>
    </xf>
    <xf numFmtId="165" fontId="16" fillId="8" borderId="8" xfId="20" applyNumberFormat="1" applyFont="1" applyFill="1" applyBorder="1" applyAlignment="1">
      <alignment horizontal="right" vertical="center" shrinkToFit="1"/>
    </xf>
    <xf numFmtId="165" fontId="25" fillId="0" borderId="0" xfId="0" applyNumberFormat="1" applyFont="1" applyAlignment="1">
      <alignment vertical="center" wrapText="1"/>
    </xf>
    <xf numFmtId="0" fontId="23" fillId="0" borderId="0" xfId="1" applyNumberFormat="1" applyFont="1" applyAlignment="1">
      <alignment horizontal="center" vertical="center"/>
    </xf>
    <xf numFmtId="165" fontId="16" fillId="10" borderId="8" xfId="20" applyNumberFormat="1" applyFont="1" applyFill="1" applyBorder="1" applyAlignment="1">
      <alignment horizontal="right" vertical="center" shrinkToFit="1"/>
    </xf>
    <xf numFmtId="165" fontId="24" fillId="2" borderId="8" xfId="20" applyNumberFormat="1" applyFont="1" applyFill="1" applyBorder="1" applyAlignment="1">
      <alignment horizontal="right" vertical="center" shrinkToFit="1"/>
    </xf>
    <xf numFmtId="165" fontId="24" fillId="0" borderId="9" xfId="20" applyNumberFormat="1" applyFont="1" applyFill="1" applyBorder="1" applyAlignment="1">
      <alignment horizontal="right" vertical="center" shrinkToFit="1"/>
    </xf>
    <xf numFmtId="165" fontId="16" fillId="2" borderId="1" xfId="20" applyNumberFormat="1" applyFont="1" applyFill="1" applyBorder="1" applyAlignment="1">
      <alignment horizontal="right" vertical="center" shrinkToFit="1"/>
    </xf>
    <xf numFmtId="165" fontId="25" fillId="2" borderId="1" xfId="20" applyNumberFormat="1" applyFont="1" applyFill="1" applyBorder="1" applyAlignment="1">
      <alignment horizontal="right" vertical="center" shrinkToFit="1"/>
    </xf>
    <xf numFmtId="165" fontId="24" fillId="0" borderId="2" xfId="20" applyNumberFormat="1" applyFont="1" applyFill="1" applyBorder="1" applyAlignment="1">
      <alignment horizontal="right" vertical="center" shrinkToFit="1"/>
    </xf>
    <xf numFmtId="165" fontId="16" fillId="2" borderId="45" xfId="20" applyNumberFormat="1" applyFont="1" applyFill="1" applyBorder="1" applyAlignment="1">
      <alignment horizontal="right" vertical="center" shrinkToFit="1"/>
    </xf>
    <xf numFmtId="165" fontId="16" fillId="0" borderId="45" xfId="20" applyNumberFormat="1" applyFont="1" applyFill="1" applyBorder="1" applyAlignment="1">
      <alignment horizontal="right" vertical="center" shrinkToFit="1"/>
    </xf>
    <xf numFmtId="165" fontId="24" fillId="0" borderId="45" xfId="20" applyNumberFormat="1" applyFont="1" applyFill="1" applyBorder="1" applyAlignment="1">
      <alignment horizontal="right" vertical="center" shrinkToFit="1"/>
    </xf>
    <xf numFmtId="165" fontId="16" fillId="7" borderId="45" xfId="20" applyNumberFormat="1" applyFont="1" applyFill="1" applyBorder="1" applyAlignment="1">
      <alignment horizontal="right" vertical="center" shrinkToFit="1"/>
    </xf>
    <xf numFmtId="165" fontId="25" fillId="7" borderId="45" xfId="20" applyNumberFormat="1" applyFont="1" applyFill="1" applyBorder="1" applyAlignment="1">
      <alignment horizontal="right" vertical="center" shrinkToFit="1"/>
    </xf>
    <xf numFmtId="165" fontId="16" fillId="0" borderId="0" xfId="20" applyNumberFormat="1" applyFont="1" applyFill="1" applyBorder="1" applyAlignment="1">
      <alignment horizontal="right" vertical="center" shrinkToFit="1"/>
    </xf>
    <xf numFmtId="165" fontId="24" fillId="0" borderId="0" xfId="20" applyNumberFormat="1" applyFont="1" applyFill="1" applyBorder="1" applyAlignment="1">
      <alignment horizontal="right" vertical="center" shrinkToFit="1"/>
    </xf>
    <xf numFmtId="165" fontId="16" fillId="7" borderId="0" xfId="20" applyNumberFormat="1" applyFont="1" applyFill="1" applyBorder="1" applyAlignment="1">
      <alignment horizontal="right" vertical="center" shrinkToFit="1"/>
    </xf>
    <xf numFmtId="165" fontId="25" fillId="7" borderId="0" xfId="20" applyNumberFormat="1" applyFont="1" applyFill="1" applyBorder="1" applyAlignment="1">
      <alignment horizontal="right" vertical="center" shrinkToFit="1"/>
    </xf>
    <xf numFmtId="165" fontId="24" fillId="7" borderId="45" xfId="20" applyNumberFormat="1" applyFont="1" applyFill="1" applyBorder="1" applyAlignment="1">
      <alignment horizontal="right" vertical="center" shrinkToFit="1"/>
    </xf>
    <xf numFmtId="169" fontId="11" fillId="0" borderId="10" xfId="3" applyNumberFormat="1" applyFont="1" applyFill="1" applyBorder="1" applyAlignment="1">
      <alignment horizontal="right" vertical="center" shrinkToFit="1"/>
    </xf>
    <xf numFmtId="165" fontId="11" fillId="0" borderId="8" xfId="20" applyNumberFormat="1" applyFont="1" applyFill="1" applyBorder="1" applyAlignment="1">
      <alignment horizontal="right" vertical="center" shrinkToFit="1"/>
    </xf>
    <xf numFmtId="165" fontId="11" fillId="8" borderId="8" xfId="20" applyNumberFormat="1" applyFont="1" applyFill="1" applyBorder="1" applyAlignment="1">
      <alignment horizontal="right" vertical="center" shrinkToFit="1"/>
    </xf>
    <xf numFmtId="165" fontId="25" fillId="8" borderId="8" xfId="20" applyNumberFormat="1" applyFont="1" applyFill="1" applyBorder="1" applyAlignment="1">
      <alignment horizontal="right" vertical="center" shrinkToFit="1"/>
    </xf>
    <xf numFmtId="0" fontId="25" fillId="0" borderId="1" xfId="0" applyFont="1" applyBorder="1" applyAlignment="1">
      <alignment horizontal="center" vertical="center" wrapText="1"/>
    </xf>
    <xf numFmtId="0" fontId="11" fillId="0" borderId="8" xfId="1" applyNumberFormat="1" applyFont="1" applyFill="1" applyBorder="1" applyAlignment="1">
      <alignment horizontal="center" vertical="center" shrinkToFit="1"/>
    </xf>
    <xf numFmtId="165" fontId="16" fillId="7" borderId="8" xfId="20" applyNumberFormat="1" applyFont="1" applyFill="1" applyBorder="1" applyAlignment="1">
      <alignment horizontal="right" vertical="center" shrinkToFit="1"/>
    </xf>
    <xf numFmtId="165" fontId="16" fillId="11" borderId="8" xfId="20" applyNumberFormat="1" applyFont="1" applyFill="1" applyBorder="1" applyAlignment="1">
      <alignment horizontal="right" vertical="center" shrinkToFit="1"/>
    </xf>
    <xf numFmtId="165" fontId="11" fillId="0" borderId="8" xfId="20" applyNumberFormat="1" applyFont="1" applyBorder="1" applyAlignment="1">
      <alignment horizontal="right" vertical="center" shrinkToFit="1"/>
    </xf>
    <xf numFmtId="165" fontId="88" fillId="11" borderId="8" xfId="20" applyNumberFormat="1" applyFont="1" applyFill="1" applyBorder="1" applyAlignment="1">
      <alignment horizontal="right" vertical="center" shrinkToFit="1"/>
    </xf>
    <xf numFmtId="1" fontId="10" fillId="7" borderId="25" xfId="0" applyNumberFormat="1" applyFont="1" applyFill="1" applyBorder="1" applyAlignment="1">
      <alignment horizontal="center" vertical="center" shrinkToFit="1"/>
    </xf>
    <xf numFmtId="0" fontId="22" fillId="7" borderId="13" xfId="0" applyFont="1" applyFill="1" applyBorder="1" applyAlignment="1">
      <alignment horizontal="left" vertical="center"/>
    </xf>
    <xf numFmtId="0" fontId="16" fillId="7" borderId="8" xfId="0" applyFont="1" applyFill="1" applyBorder="1" applyAlignment="1">
      <alignment horizontal="center" vertical="center" wrapText="1"/>
    </xf>
    <xf numFmtId="0" fontId="71" fillId="7" borderId="14" xfId="0" applyFont="1" applyFill="1" applyBorder="1" applyAlignment="1">
      <alignment horizontal="center" vertical="center"/>
    </xf>
    <xf numFmtId="0" fontId="16" fillId="7" borderId="8" xfId="1" applyNumberFormat="1" applyFont="1" applyFill="1" applyBorder="1" applyAlignment="1">
      <alignment horizontal="center" vertical="center" shrinkToFit="1"/>
    </xf>
    <xf numFmtId="0" fontId="24" fillId="7" borderId="8" xfId="1" applyNumberFormat="1" applyFont="1" applyFill="1" applyBorder="1" applyAlignment="1">
      <alignment horizontal="center" vertical="center" shrinkToFit="1"/>
    </xf>
    <xf numFmtId="0" fontId="22" fillId="7" borderId="42" xfId="0" applyFont="1" applyFill="1" applyBorder="1" applyAlignment="1">
      <alignment horizontal="center" vertical="center"/>
    </xf>
    <xf numFmtId="165" fontId="71" fillId="7" borderId="13" xfId="0" applyNumberFormat="1" applyFont="1" applyFill="1" applyBorder="1" applyAlignment="1">
      <alignment vertical="center"/>
    </xf>
    <xf numFmtId="169" fontId="22" fillId="7" borderId="15" xfId="20" applyNumberFormat="1" applyFont="1" applyFill="1" applyBorder="1" applyAlignment="1" applyProtection="1">
      <alignment horizontal="right" vertical="center"/>
      <protection locked="0"/>
    </xf>
    <xf numFmtId="165" fontId="16" fillId="7" borderId="10" xfId="0" applyNumberFormat="1" applyFont="1" applyFill="1" applyBorder="1" applyAlignment="1">
      <alignment horizontal="right" vertical="center" shrinkToFit="1"/>
    </xf>
    <xf numFmtId="165" fontId="10" fillId="7" borderId="8" xfId="20" applyNumberFormat="1" applyFont="1" applyFill="1" applyBorder="1" applyAlignment="1">
      <alignment horizontal="left" vertical="center"/>
    </xf>
    <xf numFmtId="165" fontId="24" fillId="7" borderId="8" xfId="20" applyNumberFormat="1" applyFont="1" applyFill="1" applyBorder="1" applyAlignment="1">
      <alignment horizontal="right" vertical="center" shrinkToFit="1"/>
    </xf>
    <xf numFmtId="165" fontId="24" fillId="7" borderId="10" xfId="20" applyNumberFormat="1" applyFont="1" applyFill="1" applyBorder="1" applyAlignment="1">
      <alignment horizontal="right" vertical="center" shrinkToFit="1"/>
    </xf>
    <xf numFmtId="165" fontId="24" fillId="7" borderId="8" xfId="20" applyNumberFormat="1" applyFont="1" applyFill="1" applyBorder="1" applyAlignment="1">
      <alignment horizontal="right" vertical="center"/>
    </xf>
    <xf numFmtId="165" fontId="24" fillId="7" borderId="26" xfId="20" applyNumberFormat="1" applyFont="1" applyFill="1" applyBorder="1" applyAlignment="1">
      <alignment horizontal="right" vertical="center"/>
    </xf>
    <xf numFmtId="9" fontId="26" fillId="7" borderId="0" xfId="2" applyFont="1" applyFill="1" applyBorder="1" applyAlignment="1">
      <alignment horizontal="center" vertical="center"/>
    </xf>
    <xf numFmtId="165" fontId="25" fillId="7" borderId="8" xfId="20" applyNumberFormat="1" applyFont="1" applyFill="1" applyBorder="1" applyAlignment="1">
      <alignment horizontal="right" vertical="center" shrinkToFit="1"/>
    </xf>
    <xf numFmtId="165" fontId="16" fillId="7" borderId="9" xfId="20" applyNumberFormat="1" applyFont="1" applyFill="1" applyBorder="1" applyAlignment="1">
      <alignment horizontal="right" vertical="center" shrinkToFit="1"/>
    </xf>
    <xf numFmtId="0" fontId="10" fillId="7" borderId="0" xfId="0" applyFont="1" applyFill="1" applyAlignment="1">
      <alignment horizontal="left" vertical="center"/>
    </xf>
    <xf numFmtId="169" fontId="11" fillId="8" borderId="15" xfId="20" applyNumberFormat="1" applyFont="1" applyFill="1" applyBorder="1" applyAlignment="1" applyProtection="1">
      <alignment horizontal="right" vertical="center"/>
      <protection locked="0"/>
    </xf>
    <xf numFmtId="1" fontId="22" fillId="2" borderId="14" xfId="0" applyNumberFormat="1" applyFont="1" applyFill="1" applyBorder="1" applyAlignment="1" applyProtection="1">
      <alignment horizontal="center" vertical="center"/>
      <protection locked="0"/>
    </xf>
    <xf numFmtId="169" fontId="22" fillId="2" borderId="15" xfId="20" applyNumberFormat="1" applyFont="1" applyFill="1" applyBorder="1" applyAlignment="1" applyProtection="1">
      <alignment horizontal="right" vertical="center"/>
      <protection locked="0"/>
    </xf>
    <xf numFmtId="165" fontId="16" fillId="2" borderId="10" xfId="0" applyNumberFormat="1" applyFont="1" applyFill="1" applyBorder="1" applyAlignment="1">
      <alignment horizontal="right" vertical="center" shrinkToFit="1"/>
    </xf>
    <xf numFmtId="165" fontId="16" fillId="0" borderId="7" xfId="20" applyNumberFormat="1" applyFont="1" applyFill="1" applyBorder="1" applyAlignment="1">
      <alignment horizontal="right" vertical="center" shrinkToFit="1"/>
    </xf>
    <xf numFmtId="0" fontId="24" fillId="7" borderId="0" xfId="0" applyFont="1" applyFill="1" applyAlignment="1">
      <alignment horizontal="center" vertical="center" wrapText="1"/>
    </xf>
    <xf numFmtId="169" fontId="44" fillId="8" borderId="31" xfId="3" applyNumberFormat="1" applyFont="1" applyFill="1" applyBorder="1" applyAlignment="1">
      <alignment horizontal="right" vertical="center" shrinkToFit="1"/>
    </xf>
    <xf numFmtId="165" fontId="11" fillId="0" borderId="10" xfId="0" applyNumberFormat="1" applyFont="1" applyBorder="1" applyAlignment="1">
      <alignment horizontal="right" vertical="center" shrinkToFit="1"/>
    </xf>
    <xf numFmtId="165" fontId="22" fillId="0" borderId="15" xfId="0" applyNumberFormat="1" applyFont="1" applyBorder="1" applyAlignment="1">
      <alignment horizontal="center" vertical="center"/>
    </xf>
    <xf numFmtId="169" fontId="11" fillId="0" borderId="15" xfId="20" applyNumberFormat="1" applyFont="1" applyFill="1" applyBorder="1" applyAlignment="1" applyProtection="1">
      <alignment horizontal="right" vertical="center"/>
      <protection locked="0"/>
    </xf>
    <xf numFmtId="0" fontId="17" fillId="0" borderId="13" xfId="0" applyFont="1" applyBorder="1" applyAlignment="1">
      <alignment horizontal="center" vertical="center"/>
    </xf>
    <xf numFmtId="1" fontId="17" fillId="0" borderId="13" xfId="0" applyNumberFormat="1" applyFont="1" applyBorder="1" applyAlignment="1" applyProtection="1">
      <alignment horizontal="center" vertical="center"/>
      <protection locked="0"/>
    </xf>
    <xf numFmtId="169" fontId="17" fillId="0" borderId="38" xfId="15" applyNumberFormat="1" applyFont="1" applyFill="1" applyBorder="1" applyAlignment="1">
      <alignment vertical="center"/>
    </xf>
    <xf numFmtId="169" fontId="11" fillId="0" borderId="10" xfId="3" applyNumberFormat="1" applyFont="1" applyBorder="1" applyAlignment="1">
      <alignment horizontal="right" vertical="center" shrinkToFit="1"/>
    </xf>
    <xf numFmtId="3" fontId="17" fillId="0" borderId="13" xfId="0" applyNumberFormat="1" applyFont="1" applyBorder="1" applyAlignment="1">
      <alignment vertical="center"/>
    </xf>
    <xf numFmtId="3" fontId="17" fillId="0" borderId="38" xfId="0" applyNumberFormat="1" applyFont="1" applyBorder="1" applyAlignment="1">
      <alignment vertical="center"/>
    </xf>
    <xf numFmtId="165" fontId="17" fillId="0" borderId="38" xfId="18" applyFont="1" applyFill="1" applyBorder="1" applyAlignment="1" applyProtection="1">
      <alignment horizontal="center" vertical="center"/>
      <protection locked="0"/>
    </xf>
    <xf numFmtId="169" fontId="11" fillId="0" borderId="13" xfId="3" applyNumberFormat="1" applyFont="1" applyFill="1" applyBorder="1" applyAlignment="1" applyProtection="1">
      <alignment horizontal="right" vertical="center"/>
      <protection locked="0"/>
    </xf>
    <xf numFmtId="165" fontId="11" fillId="0" borderId="13" xfId="1" applyFont="1" applyFill="1" applyBorder="1" applyAlignment="1" applyProtection="1">
      <alignment horizontal="right" vertical="center"/>
      <protection locked="0"/>
    </xf>
    <xf numFmtId="165" fontId="11" fillId="0" borderId="13" xfId="1" applyFont="1" applyFill="1" applyBorder="1" applyAlignment="1">
      <alignment vertical="center"/>
    </xf>
    <xf numFmtId="165" fontId="11" fillId="0" borderId="8" xfId="3" applyNumberFormat="1" applyFont="1" applyFill="1" applyBorder="1" applyAlignment="1">
      <alignment horizontal="right" vertical="center" shrinkToFit="1"/>
    </xf>
    <xf numFmtId="1" fontId="87" fillId="0" borderId="18" xfId="0" applyNumberFormat="1" applyFont="1" applyBorder="1" applyAlignment="1" applyProtection="1">
      <alignment horizontal="center" vertical="center"/>
      <protection locked="0"/>
    </xf>
    <xf numFmtId="1" fontId="87" fillId="0" borderId="14" xfId="0" applyNumberFormat="1" applyFont="1" applyBorder="1" applyAlignment="1" applyProtection="1">
      <alignment horizontal="center" vertical="center"/>
      <protection locked="0"/>
    </xf>
    <xf numFmtId="173" fontId="25" fillId="0" borderId="13" xfId="0" applyNumberFormat="1" applyFont="1" applyBorder="1" applyAlignment="1" applyProtection="1">
      <alignment vertical="center"/>
      <protection locked="0"/>
    </xf>
    <xf numFmtId="0" fontId="25" fillId="0" borderId="8" xfId="0" applyFont="1" applyBorder="1" applyAlignment="1">
      <alignment horizontal="center" vertical="center" wrapText="1"/>
    </xf>
    <xf numFmtId="169" fontId="19" fillId="0" borderId="0" xfId="25" applyNumberFormat="1" applyFont="1" applyAlignment="1">
      <alignment horizontal="left" vertical="top"/>
    </xf>
    <xf numFmtId="169" fontId="49" fillId="0" borderId="0" xfId="3" applyNumberFormat="1" applyFont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 wrapText="1"/>
    </xf>
    <xf numFmtId="0" fontId="42" fillId="3" borderId="45" xfId="0" applyFont="1" applyFill="1" applyBorder="1" applyAlignment="1">
      <alignment horizontal="center" vertical="center" wrapText="1"/>
    </xf>
    <xf numFmtId="176" fontId="37" fillId="0" borderId="0" xfId="0" applyNumberFormat="1" applyFont="1" applyAlignment="1" applyProtection="1">
      <alignment horizontal="right" vertical="center"/>
      <protection locked="0"/>
    </xf>
    <xf numFmtId="172" fontId="37" fillId="0" borderId="0" xfId="0" applyNumberFormat="1" applyFont="1" applyAlignment="1" applyProtection="1">
      <alignment horizontal="right" vertical="center"/>
      <protection locked="0"/>
    </xf>
    <xf numFmtId="169" fontId="39" fillId="0" borderId="0" xfId="3" applyNumberFormat="1" applyFont="1" applyBorder="1" applyAlignment="1" applyProtection="1">
      <alignment horizontal="right" vertical="center"/>
      <protection locked="0"/>
    </xf>
    <xf numFmtId="0" fontId="42" fillId="3" borderId="46" xfId="0" applyFont="1" applyFill="1" applyBorder="1" applyAlignment="1">
      <alignment horizontal="center" vertical="center" wrapText="1"/>
    </xf>
    <xf numFmtId="0" fontId="44" fillId="0" borderId="8" xfId="1" applyNumberFormat="1" applyFont="1" applyFill="1" applyBorder="1" applyAlignment="1">
      <alignment horizontal="center" vertical="center" shrinkToFit="1"/>
    </xf>
    <xf numFmtId="0" fontId="43" fillId="0" borderId="8" xfId="1" applyNumberFormat="1" applyFont="1" applyFill="1" applyBorder="1" applyAlignment="1">
      <alignment horizontal="center" vertical="center" shrinkToFit="1"/>
    </xf>
    <xf numFmtId="169" fontId="44" fillId="0" borderId="10" xfId="3" applyNumberFormat="1" applyFont="1" applyFill="1" applyBorder="1" applyAlignment="1">
      <alignment horizontal="right" vertical="center" shrinkToFit="1"/>
    </xf>
    <xf numFmtId="169" fontId="43" fillId="0" borderId="10" xfId="3" applyNumberFormat="1" applyFont="1" applyFill="1" applyBorder="1" applyAlignment="1">
      <alignment horizontal="right" vertical="center" shrinkToFit="1"/>
    </xf>
    <xf numFmtId="165" fontId="44" fillId="0" borderId="8" xfId="20" applyNumberFormat="1" applyFont="1" applyFill="1" applyBorder="1" applyAlignment="1">
      <alignment horizontal="right" vertical="center" shrinkToFit="1"/>
    </xf>
    <xf numFmtId="169" fontId="44" fillId="0" borderId="8" xfId="3" applyNumberFormat="1" applyFont="1" applyFill="1" applyBorder="1" applyAlignment="1">
      <alignment horizontal="right" vertical="center" shrinkToFit="1"/>
    </xf>
    <xf numFmtId="165" fontId="43" fillId="0" borderId="8" xfId="20" applyNumberFormat="1" applyFont="1" applyFill="1" applyBorder="1" applyAlignment="1">
      <alignment horizontal="right" vertical="center" shrinkToFit="1"/>
    </xf>
    <xf numFmtId="176" fontId="31" fillId="0" borderId="14" xfId="0" applyNumberFormat="1" applyFont="1" applyBorder="1" applyAlignment="1" applyProtection="1">
      <alignment horizontal="center" vertical="center"/>
      <protection locked="0"/>
    </xf>
    <xf numFmtId="165" fontId="38" fillId="0" borderId="14" xfId="1" applyFont="1" applyFill="1" applyBorder="1" applyAlignment="1" applyProtection="1">
      <alignment horizontal="center" vertical="center"/>
      <protection locked="0"/>
    </xf>
    <xf numFmtId="169" fontId="38" fillId="0" borderId="14" xfId="3" applyNumberFormat="1" applyFont="1" applyFill="1" applyBorder="1" applyAlignment="1" applyProtection="1">
      <alignment horizontal="center" vertical="center"/>
      <protection locked="0"/>
    </xf>
    <xf numFmtId="169" fontId="39" fillId="2" borderId="10" xfId="3" applyNumberFormat="1" applyFont="1" applyFill="1" applyBorder="1" applyAlignment="1">
      <alignment horizontal="right" vertical="center" shrinkToFit="1"/>
    </xf>
    <xf numFmtId="165" fontId="25" fillId="8" borderId="45" xfId="20" applyNumberFormat="1" applyFont="1" applyFill="1" applyBorder="1" applyAlignment="1">
      <alignment horizontal="right" vertical="center" shrinkToFit="1"/>
    </xf>
    <xf numFmtId="0" fontId="24" fillId="7" borderId="0" xfId="0" applyFont="1" applyFill="1" applyAlignment="1">
      <alignment vertical="center" wrapText="1"/>
    </xf>
    <xf numFmtId="165" fontId="24" fillId="2" borderId="0" xfId="0" applyNumberFormat="1" applyFont="1" applyFill="1" applyAlignment="1">
      <alignment vertical="center" wrapText="1"/>
    </xf>
    <xf numFmtId="169" fontId="24" fillId="0" borderId="8" xfId="3" applyNumberFormat="1" applyFont="1" applyFill="1" applyBorder="1" applyAlignment="1">
      <alignment horizontal="center" vertical="center" shrinkToFit="1"/>
    </xf>
    <xf numFmtId="165" fontId="38" fillId="7" borderId="8" xfId="20" applyNumberFormat="1" applyFont="1" applyFill="1" applyBorder="1" applyAlignment="1">
      <alignment horizontal="right" vertical="center" shrinkToFit="1"/>
    </xf>
    <xf numFmtId="0" fontId="11" fillId="7" borderId="8" xfId="1" applyNumberFormat="1" applyFont="1" applyFill="1" applyBorder="1" applyAlignment="1">
      <alignment horizontal="center" vertical="center" shrinkToFit="1"/>
    </xf>
    <xf numFmtId="165" fontId="11" fillId="7" borderId="10" xfId="0" applyNumberFormat="1" applyFont="1" applyFill="1" applyBorder="1" applyAlignment="1">
      <alignment horizontal="right" vertical="center" shrinkToFit="1"/>
    </xf>
    <xf numFmtId="165" fontId="11" fillId="7" borderId="8" xfId="20" applyNumberFormat="1" applyFont="1" applyFill="1" applyBorder="1" applyAlignment="1">
      <alignment horizontal="right" vertical="center" shrinkToFit="1"/>
    </xf>
    <xf numFmtId="169" fontId="31" fillId="7" borderId="14" xfId="15" applyNumberFormat="1" applyFont="1" applyFill="1" applyBorder="1" applyAlignment="1" applyProtection="1">
      <alignment horizontal="center" vertical="center"/>
      <protection locked="0"/>
    </xf>
    <xf numFmtId="165" fontId="11" fillId="7" borderId="31" xfId="1" applyFont="1" applyFill="1" applyBorder="1" applyAlignment="1">
      <alignment horizontal="center" vertical="center" shrinkToFit="1"/>
    </xf>
    <xf numFmtId="165" fontId="22" fillId="7" borderId="14" xfId="1" applyFont="1" applyFill="1" applyBorder="1" applyAlignment="1" applyProtection="1">
      <alignment horizontal="center" vertical="center"/>
      <protection locked="0"/>
    </xf>
    <xf numFmtId="1" fontId="11" fillId="7" borderId="14" xfId="0" applyNumberFormat="1" applyFont="1" applyFill="1" applyBorder="1" applyAlignment="1" applyProtection="1">
      <alignment horizontal="center" vertical="center"/>
      <protection locked="0"/>
    </xf>
    <xf numFmtId="0" fontId="44" fillId="7" borderId="8" xfId="1" applyNumberFormat="1" applyFont="1" applyFill="1" applyBorder="1" applyAlignment="1">
      <alignment horizontal="center" vertical="center" shrinkToFit="1"/>
    </xf>
    <xf numFmtId="169" fontId="44" fillId="7" borderId="15" xfId="20" applyNumberFormat="1" applyFont="1" applyFill="1" applyBorder="1" applyAlignment="1" applyProtection="1">
      <alignment horizontal="right" vertical="center"/>
      <protection locked="0"/>
    </xf>
    <xf numFmtId="165" fontId="16" fillId="12" borderId="8" xfId="20" applyNumberFormat="1" applyFont="1" applyFill="1" applyBorder="1" applyAlignment="1">
      <alignment horizontal="right" vertical="center" shrinkToFit="1"/>
    </xf>
    <xf numFmtId="169" fontId="39" fillId="12" borderId="13" xfId="3" applyNumberFormat="1" applyFont="1" applyFill="1" applyBorder="1" applyAlignment="1" applyProtection="1">
      <alignment horizontal="right" vertical="center"/>
      <protection locked="0"/>
    </xf>
    <xf numFmtId="165" fontId="38" fillId="12" borderId="8" xfId="20" applyNumberFormat="1" applyFont="1" applyFill="1" applyBorder="1" applyAlignment="1">
      <alignment horizontal="right" vertical="center" shrinkToFit="1"/>
    </xf>
    <xf numFmtId="172" fontId="37" fillId="12" borderId="13" xfId="0" applyNumberFormat="1" applyFont="1" applyFill="1" applyBorder="1" applyAlignment="1" applyProtection="1">
      <alignment horizontal="right" vertical="center"/>
      <protection locked="0"/>
    </xf>
    <xf numFmtId="165" fontId="44" fillId="7" borderId="8" xfId="20" applyNumberFormat="1" applyFont="1" applyFill="1" applyBorder="1" applyAlignment="1">
      <alignment horizontal="right" vertical="center" shrinkToFit="1"/>
    </xf>
    <xf numFmtId="169" fontId="44" fillId="7" borderId="13" xfId="3" applyNumberFormat="1" applyFont="1" applyFill="1" applyBorder="1" applyAlignment="1" applyProtection="1">
      <alignment horizontal="right" vertical="center"/>
      <protection locked="0"/>
    </xf>
    <xf numFmtId="169" fontId="11" fillId="7" borderId="10" xfId="3" applyNumberFormat="1" applyFont="1" applyFill="1" applyBorder="1" applyAlignment="1">
      <alignment horizontal="right" vertical="center" shrinkToFit="1"/>
    </xf>
    <xf numFmtId="169" fontId="11" fillId="7" borderId="8" xfId="3" applyNumberFormat="1" applyFont="1" applyFill="1" applyBorder="1" applyAlignment="1">
      <alignment horizontal="right" vertical="center" shrinkToFit="1"/>
    </xf>
    <xf numFmtId="169" fontId="28" fillId="7" borderId="8" xfId="3" applyNumberFormat="1" applyFont="1" applyFill="1" applyBorder="1" applyAlignment="1">
      <alignment horizontal="right" vertical="center" shrinkToFit="1"/>
    </xf>
    <xf numFmtId="169" fontId="28" fillId="7" borderId="14" xfId="23" applyNumberFormat="1" applyFont="1" applyFill="1" applyBorder="1" applyAlignment="1" applyProtection="1">
      <alignment vertical="center"/>
      <protection locked="0"/>
    </xf>
    <xf numFmtId="0" fontId="25" fillId="7" borderId="8" xfId="0" applyFont="1" applyFill="1" applyBorder="1" applyAlignment="1">
      <alignment horizontal="center" vertical="center" wrapText="1"/>
    </xf>
    <xf numFmtId="169" fontId="16" fillId="7" borderId="10" xfId="3" applyNumberFormat="1" applyFont="1" applyFill="1" applyBorder="1" applyAlignment="1">
      <alignment horizontal="right" vertical="center" shrinkToFit="1"/>
    </xf>
    <xf numFmtId="169" fontId="25" fillId="7" borderId="31" xfId="3" applyNumberFormat="1" applyFont="1" applyFill="1" applyBorder="1" applyAlignment="1">
      <alignment horizontal="right" vertical="center"/>
    </xf>
    <xf numFmtId="169" fontId="11" fillId="7" borderId="0" xfId="3" applyNumberFormat="1" applyFont="1" applyFill="1" applyAlignment="1">
      <alignment horizontal="left" vertical="center"/>
    </xf>
    <xf numFmtId="165" fontId="11" fillId="12" borderId="8" xfId="20" applyNumberFormat="1" applyFont="1" applyFill="1" applyBorder="1" applyAlignment="1">
      <alignment horizontal="right" vertical="center" shrinkToFit="1"/>
    </xf>
    <xf numFmtId="165" fontId="11" fillId="7" borderId="13" xfId="1" applyFont="1" applyFill="1" applyBorder="1" applyAlignment="1" applyProtection="1">
      <alignment horizontal="right" vertical="center"/>
      <protection locked="0"/>
    </xf>
    <xf numFmtId="165" fontId="11" fillId="7" borderId="13" xfId="1" applyFont="1" applyFill="1" applyBorder="1" applyAlignment="1">
      <alignment vertical="center"/>
    </xf>
    <xf numFmtId="165" fontId="87" fillId="7" borderId="13" xfId="18" applyFont="1" applyFill="1" applyBorder="1" applyAlignment="1" applyProtection="1">
      <alignment horizontal="right" vertical="center"/>
      <protection locked="0"/>
    </xf>
    <xf numFmtId="172" fontId="87" fillId="7" borderId="13" xfId="0" applyNumberFormat="1" applyFont="1" applyFill="1" applyBorder="1" applyAlignment="1" applyProtection="1">
      <alignment horizontal="right" vertical="center"/>
      <protection locked="0"/>
    </xf>
    <xf numFmtId="174" fontId="87" fillId="7" borderId="13" xfId="0" applyNumberFormat="1" applyFont="1" applyFill="1" applyBorder="1" applyAlignment="1" applyProtection="1">
      <alignment horizontal="right" vertical="center"/>
      <protection locked="0"/>
    </xf>
    <xf numFmtId="172" fontId="11" fillId="7" borderId="13" xfId="0" applyNumberFormat="1" applyFont="1" applyFill="1" applyBorder="1" applyAlignment="1" applyProtection="1">
      <alignment horizontal="right" vertical="center"/>
      <protection locked="0"/>
    </xf>
    <xf numFmtId="169" fontId="16" fillId="7" borderId="8" xfId="3" applyNumberFormat="1" applyFont="1" applyFill="1" applyBorder="1" applyAlignment="1">
      <alignment horizontal="right" vertical="center" shrinkToFit="1"/>
    </xf>
    <xf numFmtId="165" fontId="42" fillId="7" borderId="8" xfId="20" applyNumberFormat="1" applyFont="1" applyFill="1" applyBorder="1" applyAlignment="1">
      <alignment horizontal="right" vertical="center" shrinkToFit="1"/>
    </xf>
    <xf numFmtId="169" fontId="43" fillId="7" borderId="31" xfId="3" applyNumberFormat="1" applyFont="1" applyFill="1" applyBorder="1" applyAlignment="1">
      <alignment horizontal="right" vertical="center"/>
    </xf>
    <xf numFmtId="0" fontId="43" fillId="7" borderId="8" xfId="1" applyNumberFormat="1" applyFont="1" applyFill="1" applyBorder="1" applyAlignment="1">
      <alignment horizontal="center" vertical="center" shrinkToFit="1"/>
    </xf>
    <xf numFmtId="169" fontId="44" fillId="7" borderId="10" xfId="3" applyNumberFormat="1" applyFont="1" applyFill="1" applyBorder="1" applyAlignment="1">
      <alignment horizontal="right" vertical="center" shrinkToFit="1"/>
    </xf>
    <xf numFmtId="169" fontId="43" fillId="7" borderId="10" xfId="3" applyNumberFormat="1" applyFont="1" applyFill="1" applyBorder="1" applyAlignment="1">
      <alignment horizontal="right" vertical="center" shrinkToFit="1"/>
    </xf>
    <xf numFmtId="165" fontId="44" fillId="7" borderId="13" xfId="1" applyFont="1" applyFill="1" applyBorder="1" applyAlignment="1" applyProtection="1">
      <alignment horizontal="right" vertical="center"/>
      <protection locked="0"/>
    </xf>
    <xf numFmtId="169" fontId="44" fillId="7" borderId="8" xfId="3" applyNumberFormat="1" applyFont="1" applyFill="1" applyBorder="1" applyAlignment="1">
      <alignment horizontal="right" vertical="center" shrinkToFit="1"/>
    </xf>
    <xf numFmtId="165" fontId="43" fillId="7" borderId="8" xfId="20" applyNumberFormat="1" applyFont="1" applyFill="1" applyBorder="1" applyAlignment="1">
      <alignment horizontal="right" vertical="center" shrinkToFit="1"/>
    </xf>
    <xf numFmtId="1" fontId="44" fillId="7" borderId="8" xfId="1" applyNumberFormat="1" applyFont="1" applyFill="1" applyBorder="1" applyAlignment="1">
      <alignment horizontal="center" vertical="center" shrinkToFit="1"/>
    </xf>
    <xf numFmtId="169" fontId="44" fillId="7" borderId="14" xfId="23" applyNumberFormat="1" applyFont="1" applyFill="1" applyBorder="1" applyAlignment="1" applyProtection="1">
      <alignment vertical="center"/>
      <protection locked="0"/>
    </xf>
    <xf numFmtId="169" fontId="39" fillId="7" borderId="8" xfId="3" applyNumberFormat="1" applyFont="1" applyFill="1" applyBorder="1" applyAlignment="1">
      <alignment horizontal="right" vertical="center" shrinkToFit="1"/>
    </xf>
    <xf numFmtId="0" fontId="28" fillId="2" borderId="8" xfId="1" applyNumberFormat="1" applyFont="1" applyFill="1" applyBorder="1" applyAlignment="1">
      <alignment horizontal="center" vertical="center" shrinkToFit="1"/>
    </xf>
    <xf numFmtId="169" fontId="11" fillId="2" borderId="10" xfId="3" applyNumberFormat="1" applyFont="1" applyFill="1" applyBorder="1" applyAlignment="1">
      <alignment horizontal="right" vertical="center" shrinkToFit="1"/>
    </xf>
    <xf numFmtId="167" fontId="38" fillId="7" borderId="0" xfId="1" applyNumberFormat="1" applyFont="1" applyFill="1" applyAlignment="1">
      <alignment horizontal="left" vertical="center"/>
    </xf>
    <xf numFmtId="0" fontId="38" fillId="7" borderId="0" xfId="0" applyFont="1" applyFill="1" applyAlignment="1">
      <alignment horizontal="left" vertical="center"/>
    </xf>
    <xf numFmtId="167" fontId="44" fillId="7" borderId="0" xfId="1" applyNumberFormat="1" applyFont="1" applyFill="1" applyAlignment="1">
      <alignment horizontal="left" vertical="center"/>
    </xf>
    <xf numFmtId="0" fontId="44" fillId="7" borderId="0" xfId="0" applyFont="1" applyFill="1" applyAlignment="1">
      <alignment horizontal="left" vertical="center"/>
    </xf>
    <xf numFmtId="1" fontId="38" fillId="7" borderId="25" xfId="0" applyNumberFormat="1" applyFont="1" applyFill="1" applyBorder="1" applyAlignment="1">
      <alignment horizontal="center" vertical="center" shrinkToFit="1"/>
    </xf>
    <xf numFmtId="0" fontId="31" fillId="7" borderId="18" xfId="0" applyFont="1" applyFill="1" applyBorder="1" applyAlignment="1" applyProtection="1">
      <alignment vertical="center"/>
      <protection locked="0"/>
    </xf>
    <xf numFmtId="0" fontId="31" fillId="7" borderId="13" xfId="0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42" fillId="7" borderId="8" xfId="1" applyNumberFormat="1" applyFont="1" applyFill="1" applyBorder="1" applyAlignment="1">
      <alignment horizontal="center" vertical="center" shrinkToFit="1"/>
    </xf>
    <xf numFmtId="0" fontId="31" fillId="7" borderId="15" xfId="0" applyFont="1" applyFill="1" applyBorder="1" applyAlignment="1">
      <alignment horizontal="left" vertical="center"/>
    </xf>
    <xf numFmtId="169" fontId="31" fillId="7" borderId="13" xfId="15" applyNumberFormat="1" applyFont="1" applyFill="1" applyBorder="1" applyAlignment="1">
      <alignment vertical="center"/>
    </xf>
    <xf numFmtId="165" fontId="38" fillId="7" borderId="8" xfId="20" applyNumberFormat="1" applyFont="1" applyFill="1" applyBorder="1" applyAlignment="1">
      <alignment horizontal="left" vertical="center"/>
    </xf>
    <xf numFmtId="165" fontId="42" fillId="7" borderId="10" xfId="20" applyNumberFormat="1" applyFont="1" applyFill="1" applyBorder="1" applyAlignment="1">
      <alignment horizontal="right" vertical="center" shrinkToFit="1"/>
    </xf>
    <xf numFmtId="169" fontId="42" fillId="7" borderId="10" xfId="3" applyNumberFormat="1" applyFont="1" applyFill="1" applyBorder="1" applyAlignment="1">
      <alignment horizontal="right" vertical="center" shrinkToFit="1"/>
    </xf>
    <xf numFmtId="169" fontId="42" fillId="7" borderId="8" xfId="3" applyNumberFormat="1" applyFont="1" applyFill="1" applyBorder="1" applyAlignment="1">
      <alignment horizontal="right" vertical="center"/>
    </xf>
    <xf numFmtId="169" fontId="42" fillId="7" borderId="26" xfId="3" applyNumberFormat="1" applyFont="1" applyFill="1" applyBorder="1" applyAlignment="1">
      <alignment horizontal="right" vertical="center"/>
    </xf>
    <xf numFmtId="9" fontId="42" fillId="7" borderId="0" xfId="2" applyFont="1" applyFill="1" applyBorder="1" applyAlignment="1">
      <alignment horizontal="center" vertical="center"/>
    </xf>
    <xf numFmtId="1" fontId="38" fillId="7" borderId="0" xfId="1" applyNumberFormat="1" applyFont="1" applyFill="1" applyAlignment="1">
      <alignment horizontal="center" vertical="center"/>
    </xf>
    <xf numFmtId="177" fontId="38" fillId="7" borderId="0" xfId="3" applyNumberFormat="1" applyFont="1" applyFill="1" applyAlignment="1">
      <alignment horizontal="center" vertical="center"/>
    </xf>
    <xf numFmtId="169" fontId="84" fillId="7" borderId="13" xfId="15" applyNumberFormat="1" applyFont="1" applyFill="1" applyBorder="1" applyAlignment="1">
      <alignment vertical="center"/>
    </xf>
    <xf numFmtId="0" fontId="30" fillId="7" borderId="18" xfId="0" applyFont="1" applyFill="1" applyBorder="1" applyAlignment="1" applyProtection="1">
      <alignment horizontal="left" vertical="center"/>
      <protection locked="0"/>
    </xf>
    <xf numFmtId="1" fontId="30" fillId="7" borderId="41" xfId="0" applyNumberFormat="1" applyFont="1" applyFill="1" applyBorder="1" applyAlignment="1" applyProtection="1">
      <alignment horizontal="center" vertical="center"/>
      <protection locked="0"/>
    </xf>
    <xf numFmtId="169" fontId="30" fillId="7" borderId="41" xfId="15" applyNumberFormat="1" applyFont="1" applyFill="1" applyBorder="1" applyAlignment="1" applyProtection="1">
      <alignment horizontal="left" vertical="center"/>
      <protection locked="0"/>
    </xf>
    <xf numFmtId="169" fontId="30" fillId="7" borderId="13" xfId="15" applyNumberFormat="1" applyFont="1" applyFill="1" applyBorder="1" applyAlignment="1" applyProtection="1">
      <alignment horizontal="right" vertical="center"/>
      <protection locked="0"/>
    </xf>
    <xf numFmtId="169" fontId="30" fillId="7" borderId="86" xfId="15" applyNumberFormat="1" applyFont="1" applyFill="1" applyBorder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169" fontId="11" fillId="0" borderId="8" xfId="3" applyNumberFormat="1" applyFont="1" applyBorder="1" applyAlignment="1">
      <alignment horizontal="right" vertical="center" shrinkToFit="1"/>
    </xf>
    <xf numFmtId="0" fontId="28" fillId="7" borderId="0" xfId="0" applyFont="1" applyFill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0" fontId="24" fillId="7" borderId="1" xfId="0" applyFont="1" applyFill="1" applyBorder="1" applyAlignment="1">
      <alignment horizontal="center" vertical="center" wrapText="1"/>
    </xf>
    <xf numFmtId="169" fontId="25" fillId="7" borderId="31" xfId="3" applyNumberFormat="1" applyFont="1" applyFill="1" applyBorder="1" applyAlignment="1">
      <alignment horizontal="right" vertical="center" wrapText="1"/>
    </xf>
    <xf numFmtId="165" fontId="11" fillId="13" borderId="8" xfId="20" applyNumberFormat="1" applyFont="1" applyFill="1" applyBorder="1" applyAlignment="1">
      <alignment horizontal="right" vertical="center" shrinkToFit="1"/>
    </xf>
    <xf numFmtId="165" fontId="23" fillId="0" borderId="0" xfId="1" applyFont="1" applyFill="1" applyAlignment="1">
      <alignment horizontal="left" vertical="center"/>
    </xf>
    <xf numFmtId="165" fontId="24" fillId="7" borderId="31" xfId="20" applyNumberFormat="1" applyFont="1" applyFill="1" applyBorder="1" applyAlignment="1">
      <alignment horizontal="right" vertical="center"/>
    </xf>
    <xf numFmtId="165" fontId="44" fillId="0" borderId="0" xfId="0" applyNumberFormat="1" applyFont="1" applyAlignment="1">
      <alignment horizontal="left" vertical="top"/>
    </xf>
    <xf numFmtId="171" fontId="24" fillId="0" borderId="0" xfId="0" applyNumberFormat="1" applyFont="1" applyAlignment="1">
      <alignment horizontal="left" vertical="center" wrapText="1"/>
    </xf>
    <xf numFmtId="169" fontId="25" fillId="0" borderId="0" xfId="0" applyNumberFormat="1" applyFont="1" applyAlignment="1">
      <alignment horizontal="left" vertical="center" wrapText="1"/>
    </xf>
    <xf numFmtId="165" fontId="24" fillId="0" borderId="0" xfId="0" applyNumberFormat="1" applyFont="1" applyAlignment="1">
      <alignment horizontal="left" vertical="center" wrapText="1"/>
    </xf>
    <xf numFmtId="169" fontId="24" fillId="0" borderId="0" xfId="0" applyNumberFormat="1" applyFont="1" applyAlignment="1">
      <alignment horizontal="left" vertical="center" wrapText="1"/>
    </xf>
    <xf numFmtId="165" fontId="23" fillId="14" borderId="0" xfId="0" applyNumberFormat="1" applyFont="1" applyFill="1" applyAlignment="1">
      <alignment horizontal="left" vertical="center"/>
    </xf>
    <xf numFmtId="165" fontId="16" fillId="14" borderId="9" xfId="20" applyNumberFormat="1" applyFont="1" applyFill="1" applyBorder="1" applyAlignment="1">
      <alignment horizontal="right" vertical="center" shrinkToFit="1"/>
    </xf>
    <xf numFmtId="0" fontId="89" fillId="0" borderId="0" xfId="0" applyFont="1" applyAlignment="1">
      <alignment horizontal="left" vertical="top"/>
    </xf>
    <xf numFmtId="0" fontId="89" fillId="0" borderId="0" xfId="0" applyFont="1" applyAlignment="1">
      <alignment horizontal="center" vertical="top"/>
    </xf>
    <xf numFmtId="0" fontId="89" fillId="0" borderId="13" xfId="0" applyFont="1" applyBorder="1" applyAlignment="1">
      <alignment horizontal="center" vertical="center"/>
    </xf>
    <xf numFmtId="0" fontId="89" fillId="0" borderId="13" xfId="0" applyFont="1" applyBorder="1" applyAlignment="1">
      <alignment horizontal="left" vertical="center"/>
    </xf>
    <xf numFmtId="0" fontId="89" fillId="0" borderId="0" xfId="0" applyFont="1" applyAlignment="1">
      <alignment horizontal="left" vertical="center"/>
    </xf>
    <xf numFmtId="0" fontId="89" fillId="0" borderId="0" xfId="0" applyFont="1" applyAlignment="1">
      <alignment horizontal="center" vertical="center"/>
    </xf>
    <xf numFmtId="169" fontId="89" fillId="0" borderId="0" xfId="3" applyNumberFormat="1" applyFont="1" applyAlignment="1">
      <alignment horizontal="left" vertical="top"/>
    </xf>
    <xf numFmtId="169" fontId="89" fillId="0" borderId="13" xfId="3" applyNumberFormat="1" applyFont="1" applyBorder="1" applyAlignment="1">
      <alignment horizontal="left" vertical="center"/>
    </xf>
    <xf numFmtId="169" fontId="90" fillId="0" borderId="13" xfId="3" applyNumberFormat="1" applyFont="1" applyBorder="1" applyAlignment="1">
      <alignment horizontal="left" vertical="center"/>
    </xf>
    <xf numFmtId="0" fontId="90" fillId="0" borderId="0" xfId="0" applyFont="1" applyAlignment="1">
      <alignment horizontal="left" vertical="center"/>
    </xf>
    <xf numFmtId="0" fontId="39" fillId="2" borderId="8" xfId="1" applyNumberFormat="1" applyFont="1" applyFill="1" applyBorder="1" applyAlignment="1">
      <alignment horizontal="center" vertical="center" shrinkToFit="1"/>
    </xf>
    <xf numFmtId="165" fontId="38" fillId="2" borderId="8" xfId="20" applyNumberFormat="1" applyFont="1" applyFill="1" applyBorder="1" applyAlignment="1">
      <alignment horizontal="right" vertical="center" shrinkToFit="1"/>
    </xf>
    <xf numFmtId="0" fontId="44" fillId="2" borderId="8" xfId="1" applyNumberFormat="1" applyFont="1" applyFill="1" applyBorder="1" applyAlignment="1">
      <alignment horizontal="center" vertical="center" shrinkToFit="1"/>
    </xf>
    <xf numFmtId="169" fontId="44" fillId="0" borderId="14" xfId="23" applyNumberFormat="1" applyFont="1" applyFill="1" applyBorder="1" applyAlignment="1" applyProtection="1">
      <alignment vertical="center"/>
      <protection locked="0"/>
    </xf>
    <xf numFmtId="165" fontId="43" fillId="0" borderId="0" xfId="0" applyNumberFormat="1" applyFont="1" applyAlignment="1">
      <alignment horizontal="left" vertical="center" wrapText="1"/>
    </xf>
    <xf numFmtId="165" fontId="44" fillId="0" borderId="8" xfId="20" applyNumberFormat="1" applyFont="1" applyBorder="1" applyAlignment="1">
      <alignment horizontal="right" vertical="center" shrinkToFit="1"/>
    </xf>
    <xf numFmtId="181" fontId="24" fillId="0" borderId="0" xfId="0" applyNumberFormat="1" applyFont="1" applyAlignment="1">
      <alignment horizontal="left" vertical="center"/>
    </xf>
    <xf numFmtId="165" fontId="24" fillId="0" borderId="8" xfId="20" applyNumberFormat="1" applyFont="1" applyFill="1" applyBorder="1" applyAlignment="1">
      <alignment horizontal="left" vertical="center"/>
    </xf>
    <xf numFmtId="165" fontId="24" fillId="0" borderId="1" xfId="20" applyNumberFormat="1" applyFont="1" applyFill="1" applyBorder="1" applyAlignment="1">
      <alignment horizontal="left" vertical="center"/>
    </xf>
    <xf numFmtId="169" fontId="24" fillId="0" borderId="8" xfId="3" applyNumberFormat="1" applyFont="1" applyFill="1" applyBorder="1" applyAlignment="1">
      <alignment horizontal="left" vertical="center"/>
    </xf>
    <xf numFmtId="165" fontId="24" fillId="0" borderId="3" xfId="20" applyNumberFormat="1" applyFont="1" applyFill="1" applyBorder="1" applyAlignment="1">
      <alignment horizontal="left" vertical="center"/>
    </xf>
    <xf numFmtId="165" fontId="23" fillId="0" borderId="8" xfId="20" applyNumberFormat="1" applyFont="1" applyFill="1" applyBorder="1" applyAlignment="1">
      <alignment horizontal="left" vertical="center"/>
    </xf>
    <xf numFmtId="169" fontId="26" fillId="0" borderId="8" xfId="3" applyNumberFormat="1" applyFont="1" applyFill="1" applyBorder="1" applyAlignment="1">
      <alignment horizontal="left" vertical="center"/>
    </xf>
    <xf numFmtId="168" fontId="23" fillId="0" borderId="0" xfId="0" applyNumberFormat="1" applyFont="1" applyAlignment="1">
      <alignment horizontal="left" vertical="top"/>
    </xf>
    <xf numFmtId="168" fontId="91" fillId="0" borderId="0" xfId="0" applyNumberFormat="1" applyFont="1" applyAlignment="1">
      <alignment horizontal="left" vertical="top"/>
    </xf>
    <xf numFmtId="165" fontId="16" fillId="7" borderId="8" xfId="18" applyFont="1" applyFill="1" applyBorder="1" applyAlignment="1" applyProtection="1">
      <alignment horizontal="center" vertical="center"/>
      <protection locked="0"/>
    </xf>
    <xf numFmtId="165" fontId="16" fillId="7" borderId="1" xfId="18" applyFont="1" applyFill="1" applyBorder="1" applyAlignment="1" applyProtection="1">
      <alignment horizontal="center" vertical="center"/>
      <protection locked="0"/>
    </xf>
    <xf numFmtId="169" fontId="16" fillId="7" borderId="4" xfId="3" applyNumberFormat="1" applyFont="1" applyFill="1" applyBorder="1" applyAlignment="1">
      <alignment horizontal="right" vertical="center" shrinkToFit="1"/>
    </xf>
    <xf numFmtId="0" fontId="24" fillId="7" borderId="8" xfId="0" applyFont="1" applyFill="1" applyBorder="1" applyAlignment="1">
      <alignment horizontal="center" vertical="center" wrapText="1"/>
    </xf>
    <xf numFmtId="165" fontId="16" fillId="7" borderId="1" xfId="20" applyNumberFormat="1" applyFont="1" applyFill="1" applyBorder="1" applyAlignment="1">
      <alignment horizontal="right" vertical="center" shrinkToFit="1"/>
    </xf>
    <xf numFmtId="165" fontId="16" fillId="7" borderId="3" xfId="20" applyNumberFormat="1" applyFont="1" applyFill="1" applyBorder="1" applyAlignment="1">
      <alignment horizontal="right" vertical="center" shrinkToFit="1"/>
    </xf>
    <xf numFmtId="169" fontId="24" fillId="7" borderId="31" xfId="3" applyNumberFormat="1" applyFont="1" applyFill="1" applyBorder="1" applyAlignment="1">
      <alignment horizontal="right" vertical="center"/>
    </xf>
    <xf numFmtId="165" fontId="24" fillId="0" borderId="0" xfId="0" applyNumberFormat="1" applyFont="1" applyAlignment="1">
      <alignment horizontal="center" vertical="center" wrapText="1"/>
    </xf>
    <xf numFmtId="165" fontId="87" fillId="7" borderId="38" xfId="1" applyFont="1" applyFill="1" applyBorder="1" applyAlignment="1" applyProtection="1">
      <alignment horizontal="center" vertical="center"/>
      <protection locked="0"/>
    </xf>
    <xf numFmtId="165" fontId="87" fillId="7" borderId="54" xfId="1" applyFont="1" applyFill="1" applyBorder="1" applyAlignment="1" applyProtection="1">
      <alignment horizontal="center" vertical="center"/>
      <protection locked="0"/>
    </xf>
    <xf numFmtId="169" fontId="11" fillId="7" borderId="15" xfId="20" applyNumberFormat="1" applyFont="1" applyFill="1" applyBorder="1" applyAlignment="1" applyProtection="1">
      <alignment horizontal="right" vertical="center"/>
      <protection locked="0"/>
    </xf>
    <xf numFmtId="169" fontId="87" fillId="7" borderId="13" xfId="15" applyNumberFormat="1" applyFont="1" applyFill="1" applyBorder="1" applyAlignment="1" applyProtection="1">
      <alignment horizontal="right" vertical="center"/>
      <protection locked="0"/>
    </xf>
    <xf numFmtId="0" fontId="28" fillId="7" borderId="8" xfId="1" applyNumberFormat="1" applyFont="1" applyFill="1" applyBorder="1" applyAlignment="1">
      <alignment horizontal="center" vertical="center" shrinkToFit="1"/>
    </xf>
    <xf numFmtId="169" fontId="28" fillId="7" borderId="10" xfId="3" applyNumberFormat="1" applyFont="1" applyFill="1" applyBorder="1" applyAlignment="1">
      <alignment horizontal="right" vertical="center" shrinkToFit="1"/>
    </xf>
    <xf numFmtId="169" fontId="46" fillId="0" borderId="0" xfId="0" applyNumberFormat="1" applyFont="1" applyAlignment="1">
      <alignment horizontal="left" vertical="top"/>
    </xf>
    <xf numFmtId="165" fontId="26" fillId="0" borderId="0" xfId="2" applyNumberFormat="1" applyFont="1" applyFill="1" applyBorder="1" applyAlignment="1">
      <alignment horizontal="center" vertical="center"/>
    </xf>
    <xf numFmtId="0" fontId="17" fillId="7" borderId="13" xfId="0" applyFont="1" applyFill="1" applyBorder="1" applyAlignment="1">
      <alignment horizontal="center" vertical="center"/>
    </xf>
    <xf numFmtId="165" fontId="16" fillId="15" borderId="8" xfId="20" applyNumberFormat="1" applyFont="1" applyFill="1" applyBorder="1" applyAlignment="1">
      <alignment horizontal="right" vertical="center" shrinkToFit="1"/>
    </xf>
    <xf numFmtId="169" fontId="37" fillId="7" borderId="15" xfId="20" applyNumberFormat="1" applyFont="1" applyFill="1" applyBorder="1" applyAlignment="1" applyProtection="1">
      <alignment horizontal="right" vertical="center"/>
      <protection locked="0"/>
    </xf>
    <xf numFmtId="165" fontId="38" fillId="15" borderId="8" xfId="20" applyNumberFormat="1" applyFont="1" applyFill="1" applyBorder="1" applyAlignment="1">
      <alignment horizontal="right" vertical="center" shrinkToFit="1"/>
    </xf>
    <xf numFmtId="165" fontId="93" fillId="0" borderId="31" xfId="20" applyNumberFormat="1" applyFont="1" applyBorder="1" applyAlignment="1">
      <alignment horizontal="right" vertical="center"/>
    </xf>
    <xf numFmtId="169" fontId="37" fillId="0" borderId="13" xfId="15" applyNumberFormat="1" applyFont="1" applyFill="1" applyBorder="1" applyAlignment="1" applyProtection="1">
      <alignment horizontal="right" vertical="center"/>
      <protection locked="0"/>
    </xf>
    <xf numFmtId="169" fontId="44" fillId="0" borderId="13" xfId="3" applyNumberFormat="1" applyFont="1" applyFill="1" applyBorder="1" applyAlignment="1" applyProtection="1">
      <alignment horizontal="right" vertical="center"/>
      <protection locked="0"/>
    </xf>
    <xf numFmtId="169" fontId="44" fillId="0" borderId="14" xfId="3" applyNumberFormat="1" applyFont="1" applyFill="1" applyBorder="1" applyAlignment="1" applyProtection="1">
      <alignment vertical="center"/>
      <protection locked="0"/>
    </xf>
    <xf numFmtId="169" fontId="44" fillId="0" borderId="0" xfId="3" applyNumberFormat="1" applyFont="1" applyFill="1" applyBorder="1" applyAlignment="1" applyProtection="1">
      <alignment horizontal="right" vertical="center"/>
      <protection locked="0"/>
    </xf>
    <xf numFmtId="169" fontId="43" fillId="15" borderId="31" xfId="3" applyNumberFormat="1" applyFont="1" applyFill="1" applyBorder="1" applyAlignment="1">
      <alignment horizontal="right" vertical="center"/>
    </xf>
    <xf numFmtId="169" fontId="24" fillId="7" borderId="0" xfId="3" applyNumberFormat="1" applyFont="1" applyFill="1" applyAlignment="1">
      <alignment horizontal="center" vertical="center" wrapText="1"/>
    </xf>
    <xf numFmtId="169" fontId="46" fillId="0" borderId="0" xfId="0" applyNumberFormat="1" applyFont="1" applyAlignment="1">
      <alignment horizontal="center" vertical="center"/>
    </xf>
    <xf numFmtId="169" fontId="44" fillId="7" borderId="10" xfId="3" applyNumberFormat="1" applyFont="1" applyFill="1" applyBorder="1" applyAlignment="1">
      <alignment horizontal="right" vertical="center" indent="3" shrinkToFit="1"/>
    </xf>
    <xf numFmtId="169" fontId="39" fillId="7" borderId="10" xfId="3" applyNumberFormat="1" applyFont="1" applyFill="1" applyBorder="1" applyAlignment="1">
      <alignment horizontal="right" vertical="center" indent="3" shrinkToFit="1"/>
    </xf>
    <xf numFmtId="165" fontId="44" fillId="11" borderId="8" xfId="20" applyNumberFormat="1" applyFont="1" applyFill="1" applyBorder="1" applyAlignment="1">
      <alignment horizontal="right" vertical="center" shrinkToFit="1"/>
    </xf>
    <xf numFmtId="165" fontId="38" fillId="11" borderId="8" xfId="20" applyNumberFormat="1" applyFont="1" applyFill="1" applyBorder="1" applyAlignment="1">
      <alignment horizontal="right" vertical="center" shrinkToFit="1"/>
    </xf>
    <xf numFmtId="0" fontId="38" fillId="11" borderId="8" xfId="1" applyNumberFormat="1" applyFont="1" applyFill="1" applyBorder="1" applyAlignment="1">
      <alignment horizontal="center" vertical="center" shrinkToFit="1"/>
    </xf>
    <xf numFmtId="169" fontId="30" fillId="7" borderId="32" xfId="15" applyNumberFormat="1" applyFont="1" applyFill="1" applyBorder="1" applyAlignment="1" applyProtection="1">
      <alignment horizontal="right" vertical="center"/>
      <protection locked="0"/>
    </xf>
    <xf numFmtId="165" fontId="25" fillId="0" borderId="31" xfId="20" applyNumberFormat="1" applyFont="1" applyFill="1" applyBorder="1" applyAlignment="1">
      <alignment horizontal="right" vertical="center"/>
    </xf>
    <xf numFmtId="165" fontId="28" fillId="0" borderId="8" xfId="20" applyNumberFormat="1" applyFont="1" applyFill="1" applyBorder="1" applyAlignment="1">
      <alignment horizontal="right" vertical="center" shrinkToFit="1"/>
    </xf>
    <xf numFmtId="0" fontId="94" fillId="0" borderId="13" xfId="0" applyFont="1" applyBorder="1" applyAlignment="1">
      <alignment horizontal="center" vertical="center"/>
    </xf>
    <xf numFmtId="1" fontId="94" fillId="0" borderId="13" xfId="0" applyNumberFormat="1" applyFont="1" applyBorder="1" applyAlignment="1" applyProtection="1">
      <alignment horizontal="center" vertical="center"/>
      <protection locked="0"/>
    </xf>
    <xf numFmtId="0" fontId="42" fillId="16" borderId="0" xfId="0" applyFont="1" applyFill="1" applyAlignment="1">
      <alignment vertical="center" wrapText="1"/>
    </xf>
    <xf numFmtId="0" fontId="42" fillId="16" borderId="1" xfId="0" applyFont="1" applyFill="1" applyBorder="1" applyAlignment="1">
      <alignment horizontal="center" vertical="center" wrapText="1"/>
    </xf>
    <xf numFmtId="165" fontId="38" fillId="16" borderId="8" xfId="20" applyNumberFormat="1" applyFont="1" applyFill="1" applyBorder="1" applyAlignment="1">
      <alignment horizontal="right" vertical="center" shrinkToFit="1"/>
    </xf>
    <xf numFmtId="169" fontId="43" fillId="16" borderId="31" xfId="3" applyNumberFormat="1" applyFont="1" applyFill="1" applyBorder="1" applyAlignment="1">
      <alignment horizontal="right" vertical="center"/>
    </xf>
    <xf numFmtId="0" fontId="45" fillId="16" borderId="0" xfId="0" applyFont="1" applyFill="1" applyAlignment="1">
      <alignment horizontal="left" vertical="center"/>
    </xf>
    <xf numFmtId="0" fontId="46" fillId="16" borderId="0" xfId="0" applyFont="1" applyFill="1" applyAlignment="1">
      <alignment horizontal="left" vertical="top"/>
    </xf>
    <xf numFmtId="0" fontId="0" fillId="16" borderId="0" xfId="0" applyFill="1" applyAlignment="1">
      <alignment horizontal="left" vertical="top"/>
    </xf>
    <xf numFmtId="169" fontId="43" fillId="7" borderId="0" xfId="0" applyNumberFormat="1" applyFont="1" applyFill="1" applyAlignment="1">
      <alignment horizontal="left" vertical="center"/>
    </xf>
    <xf numFmtId="169" fontId="43" fillId="17" borderId="0" xfId="0" applyNumberFormat="1" applyFont="1" applyFill="1" applyAlignment="1">
      <alignment horizontal="left" vertical="center"/>
    </xf>
    <xf numFmtId="0" fontId="42" fillId="15" borderId="0" xfId="0" applyFont="1" applyFill="1" applyAlignment="1">
      <alignment vertical="center" wrapText="1"/>
    </xf>
    <xf numFmtId="0" fontId="42" fillId="15" borderId="9" xfId="0" applyFont="1" applyFill="1" applyBorder="1" applyAlignment="1">
      <alignment horizontal="center" vertical="center" wrapText="1"/>
    </xf>
    <xf numFmtId="0" fontId="45" fillId="15" borderId="0" xfId="0" applyFont="1" applyFill="1" applyAlignment="1">
      <alignment horizontal="left" vertical="center"/>
    </xf>
    <xf numFmtId="169" fontId="43" fillId="15" borderId="0" xfId="0" applyNumberFormat="1" applyFont="1" applyFill="1" applyAlignment="1">
      <alignment horizontal="left" vertical="center"/>
    </xf>
    <xf numFmtId="0" fontId="46" fillId="15" borderId="0" xfId="0" applyFont="1" applyFill="1" applyAlignment="1">
      <alignment horizontal="left" vertical="top"/>
    </xf>
    <xf numFmtId="0" fontId="0" fillId="15" borderId="0" xfId="0" applyFill="1" applyAlignment="1">
      <alignment horizontal="left" vertical="top"/>
    </xf>
    <xf numFmtId="169" fontId="38" fillId="7" borderId="8" xfId="3" applyNumberFormat="1" applyFont="1" applyFill="1" applyBorder="1" applyAlignment="1">
      <alignment horizontal="right" vertical="center" shrinkToFit="1"/>
    </xf>
    <xf numFmtId="169" fontId="42" fillId="7" borderId="0" xfId="0" applyNumberFormat="1" applyFont="1" applyFill="1" applyAlignment="1">
      <alignment vertical="center" wrapText="1"/>
    </xf>
    <xf numFmtId="169" fontId="43" fillId="18" borderId="0" xfId="0" applyNumberFormat="1" applyFont="1" applyFill="1" applyAlignment="1">
      <alignment horizontal="left" vertical="center"/>
    </xf>
    <xf numFmtId="0" fontId="42" fillId="7" borderId="1" xfId="0" applyFont="1" applyFill="1" applyBorder="1" applyAlignment="1">
      <alignment horizontal="center" vertical="center" wrapText="1"/>
    </xf>
    <xf numFmtId="169" fontId="43" fillId="18" borderId="31" xfId="3" applyNumberFormat="1" applyFont="1" applyFill="1" applyBorder="1" applyAlignment="1">
      <alignment horizontal="right" vertical="center"/>
    </xf>
    <xf numFmtId="169" fontId="23" fillId="0" borderId="0" xfId="3" applyNumberFormat="1" applyFont="1" applyAlignment="1">
      <alignment horizontal="left" vertical="center"/>
    </xf>
    <xf numFmtId="0" fontId="24" fillId="7" borderId="2" xfId="0" applyFont="1" applyFill="1" applyBorder="1" applyAlignment="1">
      <alignment horizontal="center" vertical="center" wrapText="1"/>
    </xf>
    <xf numFmtId="43" fontId="24" fillId="0" borderId="0" xfId="0" applyNumberFormat="1" applyFont="1" applyAlignment="1">
      <alignment vertical="center" wrapText="1"/>
    </xf>
    <xf numFmtId="169" fontId="24" fillId="0" borderId="0" xfId="3" applyNumberFormat="1" applyFont="1" applyAlignment="1">
      <alignment vertical="center" wrapText="1"/>
    </xf>
    <xf numFmtId="165" fontId="28" fillId="2" borderId="8" xfId="20" applyNumberFormat="1" applyFont="1" applyFill="1" applyBorder="1" applyAlignment="1">
      <alignment horizontal="right" vertical="center" shrinkToFit="1"/>
    </xf>
    <xf numFmtId="169" fontId="26" fillId="0" borderId="31" xfId="3" applyNumberFormat="1" applyFont="1" applyFill="1" applyBorder="1" applyAlignment="1">
      <alignment horizontal="right" vertical="center"/>
    </xf>
    <xf numFmtId="0" fontId="25" fillId="7" borderId="2" xfId="0" applyFont="1" applyFill="1" applyBorder="1" applyAlignment="1">
      <alignment horizontal="center" vertical="center" wrapText="1"/>
    </xf>
    <xf numFmtId="43" fontId="24" fillId="0" borderId="0" xfId="0" applyNumberFormat="1" applyFont="1" applyAlignment="1">
      <alignment horizontal="left" vertical="center" wrapText="1"/>
    </xf>
    <xf numFmtId="169" fontId="24" fillId="0" borderId="0" xfId="3" applyNumberFormat="1" applyFont="1" applyAlignment="1">
      <alignment horizontal="left" vertical="center" wrapText="1"/>
    </xf>
    <xf numFmtId="165" fontId="28" fillId="7" borderId="8" xfId="20" applyNumberFormat="1" applyFont="1" applyFill="1" applyBorder="1" applyAlignment="1">
      <alignment horizontal="right" vertical="center" shrinkToFit="1"/>
    </xf>
    <xf numFmtId="169" fontId="26" fillId="7" borderId="31" xfId="3" applyNumberFormat="1" applyFont="1" applyFill="1" applyBorder="1" applyAlignment="1">
      <alignment horizontal="right" vertical="center"/>
    </xf>
    <xf numFmtId="169" fontId="16" fillId="18" borderId="10" xfId="3" applyNumberFormat="1" applyFont="1" applyFill="1" applyBorder="1" applyAlignment="1">
      <alignment horizontal="right" vertical="center" shrinkToFit="1"/>
    </xf>
    <xf numFmtId="0" fontId="28" fillId="7" borderId="14" xfId="19" applyFont="1" applyFill="1" applyBorder="1" applyAlignment="1">
      <alignment vertical="center"/>
    </xf>
    <xf numFmtId="173" fontId="24" fillId="7" borderId="6" xfId="0" applyNumberFormat="1" applyFont="1" applyFill="1" applyBorder="1" applyAlignment="1" applyProtection="1">
      <alignment vertical="center"/>
      <protection locked="0"/>
    </xf>
    <xf numFmtId="173" fontId="16" fillId="7" borderId="18" xfId="0" quotePrefix="1" applyNumberFormat="1" applyFont="1" applyFill="1" applyBorder="1" applyAlignment="1" applyProtection="1">
      <alignment horizontal="left" vertical="center"/>
      <protection locked="0"/>
    </xf>
    <xf numFmtId="173" fontId="37" fillId="7" borderId="18" xfId="0" quotePrefix="1" applyNumberFormat="1" applyFont="1" applyFill="1" applyBorder="1" applyAlignment="1" applyProtection="1">
      <alignment horizontal="left" vertical="center"/>
      <protection locked="0"/>
    </xf>
    <xf numFmtId="0" fontId="25" fillId="7" borderId="31" xfId="0" applyFont="1" applyFill="1" applyBorder="1" applyAlignment="1">
      <alignment horizontal="center" vertical="center"/>
    </xf>
    <xf numFmtId="0" fontId="22" fillId="7" borderId="15" xfId="0" applyFont="1" applyFill="1" applyBorder="1" applyAlignment="1" applyProtection="1">
      <alignment horizontal="left" vertical="center"/>
      <protection locked="0"/>
    </xf>
    <xf numFmtId="0" fontId="26" fillId="7" borderId="14" xfId="19" applyFont="1" applyFill="1" applyBorder="1" applyAlignment="1">
      <alignment vertical="center"/>
    </xf>
    <xf numFmtId="173" fontId="24" fillId="7" borderId="18" xfId="0" quotePrefix="1" applyNumberFormat="1" applyFont="1" applyFill="1" applyBorder="1" applyAlignment="1" applyProtection="1">
      <alignment horizontal="left" vertical="center"/>
      <protection locked="0"/>
    </xf>
    <xf numFmtId="0" fontId="78" fillId="7" borderId="8" xfId="26" applyFont="1" applyFill="1" applyBorder="1" applyAlignment="1">
      <alignment vertical="center"/>
    </xf>
    <xf numFmtId="0" fontId="79" fillId="7" borderId="8" xfId="26" applyFont="1" applyFill="1" applyBorder="1" applyAlignment="1">
      <alignment vertical="center"/>
    </xf>
    <xf numFmtId="0" fontId="79" fillId="7" borderId="8" xfId="26" applyFont="1" applyFill="1" applyBorder="1" applyAlignment="1">
      <alignment horizontal="left" vertical="center"/>
    </xf>
    <xf numFmtId="0" fontId="78" fillId="7" borderId="8" xfId="6" applyNumberFormat="1" applyFont="1" applyFill="1" applyBorder="1" applyAlignment="1">
      <alignment vertical="center"/>
    </xf>
    <xf numFmtId="166" fontId="78" fillId="7" borderId="8" xfId="26" applyNumberFormat="1" applyFont="1" applyFill="1" applyBorder="1" applyAlignment="1">
      <alignment vertical="center"/>
    </xf>
    <xf numFmtId="173" fontId="16" fillId="7" borderId="8" xfId="0" quotePrefix="1" applyNumberFormat="1" applyFont="1" applyFill="1" applyBorder="1" applyAlignment="1" applyProtection="1">
      <alignment horizontal="left" vertical="center"/>
      <protection locked="0"/>
    </xf>
    <xf numFmtId="0" fontId="78" fillId="7" borderId="28" xfId="26" applyFont="1" applyFill="1" applyBorder="1" applyAlignment="1">
      <alignment vertical="center"/>
    </xf>
    <xf numFmtId="0" fontId="79" fillId="7" borderId="28" xfId="26" applyFont="1" applyFill="1" applyBorder="1" applyAlignment="1">
      <alignment vertical="center"/>
    </xf>
    <xf numFmtId="0" fontId="46" fillId="7" borderId="0" xfId="0" applyFont="1" applyFill="1" applyAlignment="1">
      <alignment horizontal="left" vertical="center"/>
    </xf>
    <xf numFmtId="165" fontId="25" fillId="7" borderId="31" xfId="1" applyFont="1" applyFill="1" applyBorder="1" applyAlignment="1">
      <alignment horizontal="center" vertical="center" shrinkToFit="1"/>
    </xf>
    <xf numFmtId="0" fontId="26" fillId="7" borderId="8" xfId="0" applyFont="1" applyFill="1" applyBorder="1" applyAlignment="1">
      <alignment horizontal="center" vertical="center" wrapText="1"/>
    </xf>
    <xf numFmtId="165" fontId="31" fillId="7" borderId="14" xfId="1" applyFont="1" applyFill="1" applyBorder="1" applyAlignment="1" applyProtection="1">
      <alignment horizontal="center" vertical="center"/>
      <protection locked="0"/>
    </xf>
    <xf numFmtId="0" fontId="69" fillId="7" borderId="13" xfId="0" applyFont="1" applyFill="1" applyBorder="1" applyAlignment="1">
      <alignment horizontal="center" vertical="center"/>
    </xf>
    <xf numFmtId="3" fontId="69" fillId="7" borderId="16" xfId="0" applyNumberFormat="1" applyFont="1" applyFill="1" applyBorder="1" applyAlignment="1">
      <alignment vertical="center"/>
    </xf>
    <xf numFmtId="0" fontId="40" fillId="7" borderId="8" xfId="1" applyNumberFormat="1" applyFont="1" applyFill="1" applyBorder="1" applyAlignment="1">
      <alignment horizontal="center" vertical="center" shrinkToFit="1"/>
    </xf>
    <xf numFmtId="165" fontId="25" fillId="7" borderId="31" xfId="20" applyNumberFormat="1" applyFont="1" applyFill="1" applyBorder="1" applyAlignment="1">
      <alignment horizontal="right" vertical="center"/>
    </xf>
    <xf numFmtId="0" fontId="16" fillId="7" borderId="3" xfId="1" applyNumberFormat="1" applyFont="1" applyFill="1" applyBorder="1" applyAlignment="1">
      <alignment horizontal="center" vertical="center" shrinkToFit="1"/>
    </xf>
    <xf numFmtId="169" fontId="11" fillId="7" borderId="13" xfId="3" applyNumberFormat="1" applyFont="1" applyFill="1" applyBorder="1" applyAlignment="1" applyProtection="1">
      <alignment horizontal="right" vertical="center"/>
      <protection locked="0"/>
    </xf>
    <xf numFmtId="169" fontId="11" fillId="7" borderId="0" xfId="3" applyNumberFormat="1" applyFont="1" applyFill="1" applyBorder="1" applyAlignment="1" applyProtection="1">
      <alignment horizontal="right" vertical="center"/>
      <protection locked="0"/>
    </xf>
    <xf numFmtId="165" fontId="38" fillId="7" borderId="10" xfId="0" applyNumberFormat="1" applyFont="1" applyFill="1" applyBorder="1" applyAlignment="1">
      <alignment horizontal="right" vertical="center" shrinkToFit="1"/>
    </xf>
    <xf numFmtId="165" fontId="39" fillId="7" borderId="13" xfId="0" applyNumberFormat="1" applyFont="1" applyFill="1" applyBorder="1" applyAlignment="1">
      <alignment vertical="center"/>
    </xf>
    <xf numFmtId="165" fontId="44" fillId="7" borderId="31" xfId="0" applyNumberFormat="1" applyFont="1" applyFill="1" applyBorder="1" applyAlignment="1">
      <alignment horizontal="right" vertical="center" shrinkToFit="1"/>
    </xf>
    <xf numFmtId="169" fontId="37" fillId="2" borderId="15" xfId="20" applyNumberFormat="1" applyFont="1" applyFill="1" applyBorder="1" applyAlignment="1" applyProtection="1">
      <alignment horizontal="right" vertical="center"/>
      <protection locked="0"/>
    </xf>
    <xf numFmtId="165" fontId="31" fillId="2" borderId="14" xfId="1" applyFont="1" applyFill="1" applyBorder="1" applyAlignment="1" applyProtection="1">
      <alignment horizontal="center" vertical="center"/>
      <protection locked="0"/>
    </xf>
    <xf numFmtId="165" fontId="22" fillId="2" borderId="14" xfId="1" applyFont="1" applyFill="1" applyBorder="1" applyAlignment="1" applyProtection="1">
      <alignment horizontal="center" vertical="center"/>
      <protection locked="0"/>
    </xf>
    <xf numFmtId="0" fontId="31" fillId="7" borderId="18" xfId="0" applyFont="1" applyFill="1" applyBorder="1" applyAlignment="1" applyProtection="1">
      <alignment horizontal="left" vertical="center"/>
      <protection locked="0"/>
    </xf>
    <xf numFmtId="1" fontId="16" fillId="7" borderId="15" xfId="0" applyNumberFormat="1" applyFont="1" applyFill="1" applyBorder="1" applyAlignment="1" applyProtection="1">
      <alignment horizontal="center" vertical="center"/>
      <protection locked="0"/>
    </xf>
    <xf numFmtId="169" fontId="31" fillId="7" borderId="13" xfId="15" applyNumberFormat="1" applyFont="1" applyFill="1" applyBorder="1" applyAlignment="1" applyProtection="1">
      <alignment horizontal="right" vertical="center"/>
      <protection locked="0"/>
    </xf>
    <xf numFmtId="9" fontId="26" fillId="7" borderId="0" xfId="2" applyFont="1" applyFill="1" applyBorder="1" applyAlignment="1">
      <alignment horizontal="left" vertical="center"/>
    </xf>
    <xf numFmtId="169" fontId="31" fillId="2" borderId="14" xfId="15" applyNumberFormat="1" applyFont="1" applyFill="1" applyBorder="1" applyAlignment="1" applyProtection="1">
      <alignment horizontal="center" vertical="center"/>
      <protection locked="0"/>
    </xf>
    <xf numFmtId="169" fontId="31" fillId="7" borderId="18" xfId="15" applyNumberFormat="1" applyFont="1" applyFill="1" applyBorder="1" applyAlignment="1" applyProtection="1">
      <alignment horizontal="center" vertical="center"/>
      <protection locked="0"/>
    </xf>
    <xf numFmtId="169" fontId="31" fillId="7" borderId="15" xfId="15" applyNumberFormat="1" applyFont="1" applyFill="1" applyBorder="1" applyAlignment="1" applyProtection="1">
      <alignment horizontal="right" vertical="center"/>
      <protection locked="0"/>
    </xf>
    <xf numFmtId="165" fontId="44" fillId="2" borderId="31" xfId="1" applyFont="1" applyFill="1" applyBorder="1" applyAlignment="1">
      <alignment horizontal="center" vertical="center" shrinkToFit="1"/>
    </xf>
    <xf numFmtId="1" fontId="39" fillId="7" borderId="25" xfId="0" applyNumberFormat="1" applyFont="1" applyFill="1" applyBorder="1" applyAlignment="1">
      <alignment horizontal="center" vertical="center" shrinkToFit="1"/>
    </xf>
    <xf numFmtId="0" fontId="37" fillId="7" borderId="18" xfId="0" applyFont="1" applyFill="1" applyBorder="1" applyAlignment="1" applyProtection="1">
      <alignment horizontal="left" vertical="center"/>
      <protection locked="0"/>
    </xf>
    <xf numFmtId="0" fontId="39" fillId="7" borderId="8" xfId="0" applyFont="1" applyFill="1" applyBorder="1" applyAlignment="1">
      <alignment horizontal="center" vertical="center" wrapText="1"/>
    </xf>
    <xf numFmtId="1" fontId="42" fillId="7" borderId="8" xfId="1" applyNumberFormat="1" applyFont="1" applyFill="1" applyBorder="1" applyAlignment="1">
      <alignment horizontal="center" vertical="center" shrinkToFit="1"/>
    </xf>
    <xf numFmtId="1" fontId="38" fillId="7" borderId="18" xfId="0" applyNumberFormat="1" applyFont="1" applyFill="1" applyBorder="1" applyAlignment="1" applyProtection="1">
      <alignment horizontal="center" vertical="center"/>
      <protection locked="0"/>
    </xf>
    <xf numFmtId="169" fontId="39" fillId="7" borderId="10" xfId="3" applyNumberFormat="1" applyFont="1" applyFill="1" applyBorder="1" applyAlignment="1">
      <alignment horizontal="right" vertical="center" shrinkToFit="1"/>
    </xf>
    <xf numFmtId="169" fontId="22" fillId="7" borderId="58" xfId="20" applyNumberFormat="1" applyFont="1" applyFill="1" applyBorder="1" applyAlignment="1" applyProtection="1">
      <alignment horizontal="right" vertical="center"/>
      <protection locked="0"/>
    </xf>
    <xf numFmtId="165" fontId="46" fillId="7" borderId="8" xfId="20" applyNumberFormat="1" applyFont="1" applyFill="1" applyBorder="1" applyAlignment="1">
      <alignment horizontal="left" vertical="center"/>
    </xf>
    <xf numFmtId="169" fontId="40" fillId="7" borderId="10" xfId="3" applyNumberFormat="1" applyFont="1" applyFill="1" applyBorder="1" applyAlignment="1">
      <alignment horizontal="right" vertical="center" shrinkToFit="1"/>
    </xf>
    <xf numFmtId="169" fontId="40" fillId="7" borderId="8" xfId="3" applyNumberFormat="1" applyFont="1" applyFill="1" applyBorder="1" applyAlignment="1">
      <alignment horizontal="right" vertical="center"/>
    </xf>
    <xf numFmtId="169" fontId="40" fillId="7" borderId="26" xfId="3" applyNumberFormat="1" applyFont="1" applyFill="1" applyBorder="1" applyAlignment="1">
      <alignment horizontal="right" vertical="center"/>
    </xf>
    <xf numFmtId="9" fontId="40" fillId="7" borderId="0" xfId="2" applyFont="1" applyFill="1" applyBorder="1" applyAlignment="1">
      <alignment horizontal="center" vertical="center"/>
    </xf>
    <xf numFmtId="1" fontId="39" fillId="7" borderId="0" xfId="1" applyNumberFormat="1" applyFont="1" applyFill="1" applyAlignment="1">
      <alignment horizontal="center" vertical="center"/>
    </xf>
    <xf numFmtId="177" fontId="39" fillId="7" borderId="0" xfId="3" applyNumberFormat="1" applyFont="1" applyFill="1" applyAlignment="1">
      <alignment horizontal="center" vertical="center"/>
    </xf>
    <xf numFmtId="167" fontId="39" fillId="7" borderId="0" xfId="1" applyNumberFormat="1" applyFont="1" applyFill="1" applyAlignment="1">
      <alignment horizontal="left" vertical="center"/>
    </xf>
    <xf numFmtId="0" fontId="39" fillId="7" borderId="0" xfId="0" applyFont="1" applyFill="1" applyAlignment="1">
      <alignment horizontal="left" vertical="center"/>
    </xf>
    <xf numFmtId="1" fontId="38" fillId="7" borderId="15" xfId="0" applyNumberFormat="1" applyFont="1" applyFill="1" applyBorder="1" applyAlignment="1" applyProtection="1">
      <alignment horizontal="center" vertical="center"/>
      <protection locked="0"/>
    </xf>
    <xf numFmtId="169" fontId="30" fillId="7" borderId="13" xfId="15" applyNumberFormat="1" applyFont="1" applyFill="1" applyBorder="1" applyAlignment="1" applyProtection="1">
      <alignment vertical="center"/>
      <protection locked="0"/>
    </xf>
    <xf numFmtId="169" fontId="22" fillId="7" borderId="40" xfId="20" applyNumberFormat="1" applyFont="1" applyFill="1" applyBorder="1" applyAlignment="1" applyProtection="1">
      <alignment horizontal="right" vertical="center"/>
      <protection locked="0"/>
    </xf>
    <xf numFmtId="0" fontId="41" fillId="7" borderId="18" xfId="0" applyFont="1" applyFill="1" applyBorder="1" applyAlignment="1" applyProtection="1">
      <alignment horizontal="left" vertical="center"/>
      <protection locked="0"/>
    </xf>
    <xf numFmtId="169" fontId="37" fillId="7" borderId="15" xfId="15" applyNumberFormat="1" applyFont="1" applyFill="1" applyBorder="1" applyAlignment="1" applyProtection="1">
      <alignment horizontal="right" vertical="center"/>
      <protection locked="0"/>
    </xf>
    <xf numFmtId="1" fontId="37" fillId="7" borderId="18" xfId="0" applyNumberFormat="1" applyFont="1" applyFill="1" applyBorder="1" applyAlignment="1" applyProtection="1">
      <alignment horizontal="left" vertical="center" wrapText="1"/>
      <protection locked="0"/>
    </xf>
    <xf numFmtId="0" fontId="37" fillId="7" borderId="15" xfId="0" applyFont="1" applyFill="1" applyBorder="1" applyAlignment="1" applyProtection="1">
      <alignment horizontal="center" vertical="center"/>
      <protection locked="0"/>
    </xf>
    <xf numFmtId="1" fontId="38" fillId="2" borderId="8" xfId="1" applyNumberFormat="1" applyFont="1" applyFill="1" applyBorder="1" applyAlignment="1">
      <alignment horizontal="center" vertical="center" shrinkToFit="1"/>
    </xf>
    <xf numFmtId="169" fontId="38" fillId="2" borderId="10" xfId="3" applyNumberFormat="1" applyFont="1" applyFill="1" applyBorder="1" applyAlignment="1">
      <alignment horizontal="right" vertical="center" shrinkToFit="1"/>
    </xf>
    <xf numFmtId="1" fontId="30" fillId="7" borderId="14" xfId="0" applyNumberFormat="1" applyFont="1" applyFill="1" applyBorder="1" applyAlignment="1" applyProtection="1">
      <alignment horizontal="center" vertical="center"/>
      <protection locked="0"/>
    </xf>
    <xf numFmtId="169" fontId="30" fillId="7" borderId="15" xfId="15" applyNumberFormat="1" applyFont="1" applyFill="1" applyBorder="1" applyAlignment="1" applyProtection="1">
      <alignment horizontal="right" vertical="center"/>
      <protection locked="0"/>
    </xf>
    <xf numFmtId="0" fontId="43" fillId="2" borderId="8" xfId="1" applyNumberFormat="1" applyFont="1" applyFill="1" applyBorder="1" applyAlignment="1">
      <alignment horizontal="center" vertical="center" shrinkToFit="1"/>
    </xf>
    <xf numFmtId="169" fontId="46" fillId="0" borderId="0" xfId="3" applyNumberFormat="1" applyFont="1" applyAlignment="1">
      <alignment horizontal="left" vertical="top"/>
    </xf>
    <xf numFmtId="1" fontId="28" fillId="7" borderId="25" xfId="0" applyNumberFormat="1" applyFont="1" applyFill="1" applyBorder="1" applyAlignment="1">
      <alignment horizontal="center" vertical="center" shrinkToFit="1"/>
    </xf>
    <xf numFmtId="0" fontId="22" fillId="7" borderId="8" xfId="0" applyFont="1" applyFill="1" applyBorder="1" applyAlignment="1">
      <alignment vertical="center"/>
    </xf>
    <xf numFmtId="0" fontId="22" fillId="7" borderId="8" xfId="0" applyFont="1" applyFill="1" applyBorder="1" applyAlignment="1" applyProtection="1">
      <alignment horizontal="center" vertical="center"/>
      <protection locked="0"/>
    </xf>
    <xf numFmtId="1" fontId="22" fillId="7" borderId="8" xfId="0" applyNumberFormat="1" applyFont="1" applyFill="1" applyBorder="1" applyAlignment="1" applyProtection="1">
      <alignment horizontal="center" vertical="center"/>
      <protection locked="0"/>
    </xf>
    <xf numFmtId="0" fontId="26" fillId="7" borderId="8" xfId="1" applyNumberFormat="1" applyFont="1" applyFill="1" applyBorder="1" applyAlignment="1">
      <alignment horizontal="center" vertical="center" shrinkToFit="1"/>
    </xf>
    <xf numFmtId="0" fontId="22" fillId="7" borderId="15" xfId="0" applyFont="1" applyFill="1" applyBorder="1" applyAlignment="1" applyProtection="1">
      <alignment horizontal="center" vertical="center"/>
      <protection locked="0"/>
    </xf>
    <xf numFmtId="165" fontId="22" fillId="7" borderId="13" xfId="1" applyFont="1" applyFill="1" applyBorder="1" applyAlignment="1" applyProtection="1">
      <alignment horizontal="right" vertical="center"/>
      <protection locked="0"/>
    </xf>
    <xf numFmtId="165" fontId="28" fillId="7" borderId="13" xfId="1" applyFont="1" applyFill="1" applyBorder="1" applyAlignment="1" applyProtection="1">
      <alignment horizontal="right" vertical="center"/>
      <protection locked="0"/>
    </xf>
    <xf numFmtId="169" fontId="26" fillId="7" borderId="10" xfId="3" applyNumberFormat="1" applyFont="1" applyFill="1" applyBorder="1" applyAlignment="1">
      <alignment horizontal="right" vertical="center" shrinkToFit="1"/>
    </xf>
    <xf numFmtId="169" fontId="26" fillId="7" borderId="8" xfId="3" applyNumberFormat="1" applyFont="1" applyFill="1" applyBorder="1" applyAlignment="1">
      <alignment horizontal="right" vertical="center"/>
    </xf>
    <xf numFmtId="169" fontId="26" fillId="7" borderId="26" xfId="3" applyNumberFormat="1" applyFont="1" applyFill="1" applyBorder="1" applyAlignment="1">
      <alignment horizontal="right" vertical="center"/>
    </xf>
    <xf numFmtId="165" fontId="88" fillId="7" borderId="8" xfId="20" applyNumberFormat="1" applyFont="1" applyFill="1" applyBorder="1" applyAlignment="1">
      <alignment horizontal="right" vertical="center" shrinkToFit="1"/>
    </xf>
    <xf numFmtId="0" fontId="24" fillId="7" borderId="8" xfId="0" applyFont="1" applyFill="1" applyBorder="1" applyAlignment="1" applyProtection="1">
      <alignment vertical="center"/>
      <protection locked="0"/>
    </xf>
    <xf numFmtId="173" fontId="24" fillId="7" borderId="7" xfId="0" applyNumberFormat="1" applyFont="1" applyFill="1" applyBorder="1" applyAlignment="1" applyProtection="1">
      <alignment vertical="center"/>
      <protection locked="0"/>
    </xf>
    <xf numFmtId="0" fontId="22" fillId="7" borderId="18" xfId="0" applyFont="1" applyFill="1" applyBorder="1" applyAlignment="1" applyProtection="1">
      <alignment horizontal="center" vertical="center"/>
      <protection locked="0"/>
    </xf>
    <xf numFmtId="165" fontId="22" fillId="7" borderId="13" xfId="1" applyFont="1" applyFill="1" applyBorder="1" applyAlignment="1" applyProtection="1">
      <alignment horizontal="center" vertical="center"/>
      <protection locked="0"/>
    </xf>
    <xf numFmtId="169" fontId="28" fillId="7" borderId="8" xfId="3" applyNumberFormat="1" applyFont="1" applyFill="1" applyBorder="1" applyAlignment="1">
      <alignment horizontal="left" vertical="center"/>
    </xf>
    <xf numFmtId="169" fontId="26" fillId="7" borderId="8" xfId="3" applyNumberFormat="1" applyFont="1" applyFill="1" applyBorder="1" applyAlignment="1">
      <alignment horizontal="right" vertical="center" shrinkToFit="1"/>
    </xf>
    <xf numFmtId="0" fontId="28" fillId="7" borderId="3" xfId="0" applyFont="1" applyFill="1" applyBorder="1" applyAlignment="1">
      <alignment horizontal="center" vertical="center" wrapText="1"/>
    </xf>
    <xf numFmtId="0" fontId="37" fillId="7" borderId="13" xfId="0" applyFont="1" applyFill="1" applyBorder="1" applyAlignment="1" applyProtection="1">
      <alignment horizontal="center" vertical="center"/>
      <protection locked="0"/>
    </xf>
    <xf numFmtId="0" fontId="22" fillId="7" borderId="13" xfId="0" applyFont="1" applyFill="1" applyBorder="1" applyAlignment="1" applyProtection="1">
      <alignment horizontal="center" vertical="center"/>
      <protection locked="0"/>
    </xf>
    <xf numFmtId="165" fontId="28" fillId="7" borderId="14" xfId="1" applyFont="1" applyFill="1" applyBorder="1" applyAlignment="1" applyProtection="1">
      <alignment vertical="center"/>
      <protection locked="0"/>
    </xf>
    <xf numFmtId="169" fontId="23" fillId="12" borderId="0" xfId="0" applyNumberFormat="1" applyFont="1" applyFill="1" applyAlignment="1">
      <alignment horizontal="left" vertical="center"/>
    </xf>
    <xf numFmtId="165" fontId="25" fillId="2" borderId="31" xfId="20" applyNumberFormat="1" applyFont="1" applyFill="1" applyBorder="1" applyAlignment="1">
      <alignment horizontal="right" vertical="center"/>
    </xf>
    <xf numFmtId="169" fontId="44" fillId="2" borderId="31" xfId="3" applyNumberFormat="1" applyFont="1" applyFill="1" applyBorder="1" applyAlignment="1">
      <alignment horizontal="right" vertical="center" shrinkToFit="1"/>
    </xf>
    <xf numFmtId="169" fontId="39" fillId="2" borderId="8" xfId="3" applyNumberFormat="1" applyFont="1" applyFill="1" applyBorder="1" applyAlignment="1">
      <alignment horizontal="right" vertical="center" shrinkToFit="1"/>
    </xf>
    <xf numFmtId="169" fontId="43" fillId="2" borderId="31" xfId="3" applyNumberFormat="1" applyFont="1" applyFill="1" applyBorder="1" applyAlignment="1">
      <alignment horizontal="right" vertical="center"/>
    </xf>
    <xf numFmtId="169" fontId="39" fillId="2" borderId="10" xfId="3" applyNumberFormat="1" applyFont="1" applyFill="1" applyBorder="1" applyAlignment="1">
      <alignment horizontal="right" vertical="center" indent="3" shrinkToFit="1"/>
    </xf>
    <xf numFmtId="169" fontId="28" fillId="2" borderId="0" xfId="3" applyNumberFormat="1" applyFont="1" applyFill="1" applyBorder="1" applyAlignment="1" applyProtection="1">
      <alignment horizontal="right" vertical="center"/>
      <protection locked="0"/>
    </xf>
    <xf numFmtId="165" fontId="11" fillId="2" borderId="13" xfId="1" applyFont="1" applyFill="1" applyBorder="1" applyAlignment="1" applyProtection="1">
      <alignment horizontal="right" vertical="center"/>
      <protection locked="0"/>
    </xf>
    <xf numFmtId="165" fontId="11" fillId="2" borderId="13" xfId="1" applyFont="1" applyFill="1" applyBorder="1" applyAlignment="1">
      <alignment vertical="center"/>
    </xf>
    <xf numFmtId="165" fontId="28" fillId="0" borderId="8" xfId="20" applyNumberFormat="1" applyFont="1" applyBorder="1" applyAlignment="1">
      <alignment horizontal="right" vertical="center" shrinkToFit="1"/>
    </xf>
    <xf numFmtId="165" fontId="28" fillId="0" borderId="8" xfId="3" applyNumberFormat="1" applyFont="1" applyFill="1" applyBorder="1" applyAlignment="1">
      <alignment horizontal="right" vertical="center" shrinkToFit="1"/>
    </xf>
    <xf numFmtId="165" fontId="28" fillId="7" borderId="8" xfId="3" applyNumberFormat="1" applyFont="1" applyFill="1" applyBorder="1" applyAlignment="1">
      <alignment horizontal="right" vertical="center" shrinkToFit="1"/>
    </xf>
    <xf numFmtId="165" fontId="28" fillId="2" borderId="8" xfId="3" applyNumberFormat="1" applyFont="1" applyFill="1" applyBorder="1" applyAlignment="1">
      <alignment horizontal="right" vertical="center" shrinkToFit="1"/>
    </xf>
    <xf numFmtId="175" fontId="16" fillId="7" borderId="3" xfId="20" applyNumberFormat="1" applyFont="1" applyFill="1" applyBorder="1" applyAlignment="1">
      <alignment horizontal="right" vertical="center" shrinkToFit="1"/>
    </xf>
    <xf numFmtId="175" fontId="16" fillId="7" borderId="4" xfId="0" applyNumberFormat="1" applyFont="1" applyFill="1" applyBorder="1" applyAlignment="1">
      <alignment horizontal="right" vertical="center" shrinkToFit="1"/>
    </xf>
    <xf numFmtId="167" fontId="11" fillId="0" borderId="8" xfId="1" applyNumberFormat="1" applyFont="1" applyBorder="1" applyAlignment="1">
      <alignment horizontal="left" vertical="center"/>
    </xf>
    <xf numFmtId="165" fontId="11" fillId="0" borderId="8" xfId="1" applyFont="1" applyBorder="1" applyAlignment="1">
      <alignment horizontal="left" vertical="center"/>
    </xf>
    <xf numFmtId="165" fontId="95" fillId="0" borderId="0" xfId="1" applyFont="1" applyAlignment="1">
      <alignment horizontal="left" vertical="top"/>
    </xf>
    <xf numFmtId="165" fontId="6" fillId="0" borderId="0" xfId="1" applyFont="1" applyAlignment="1">
      <alignment horizontal="left" vertical="top"/>
    </xf>
    <xf numFmtId="165" fontId="56" fillId="0" borderId="0" xfId="1" applyFont="1" applyAlignment="1">
      <alignment horizontal="left" vertical="top"/>
    </xf>
    <xf numFmtId="166" fontId="24" fillId="0" borderId="0" xfId="0" applyNumberFormat="1" applyFont="1" applyAlignment="1">
      <alignment horizontal="center" vertical="center" wrapText="1"/>
    </xf>
    <xf numFmtId="3" fontId="30" fillId="0" borderId="14" xfId="0" applyNumberFormat="1" applyFont="1" applyBorder="1" applyAlignment="1">
      <alignment horizontal="center" vertical="center"/>
    </xf>
    <xf numFmtId="165" fontId="64" fillId="0" borderId="15" xfId="0" applyNumberFormat="1" applyFont="1" applyBorder="1" applyAlignment="1">
      <alignment horizontal="center" vertical="center"/>
    </xf>
    <xf numFmtId="165" fontId="64" fillId="0" borderId="13" xfId="0" applyNumberFormat="1" applyFont="1" applyBorder="1" applyAlignment="1">
      <alignment vertical="center"/>
    </xf>
    <xf numFmtId="169" fontId="38" fillId="2" borderId="14" xfId="23" applyNumberFormat="1" applyFont="1" applyFill="1" applyBorder="1" applyAlignment="1" applyProtection="1">
      <alignment vertical="center"/>
      <protection locked="0"/>
    </xf>
    <xf numFmtId="0" fontId="42" fillId="0" borderId="9" xfId="0" applyFont="1" applyBorder="1" applyAlignment="1">
      <alignment horizontal="center" vertical="center" wrapText="1"/>
    </xf>
    <xf numFmtId="173" fontId="16" fillId="0" borderId="18" xfId="0" quotePrefix="1" applyNumberFormat="1" applyFont="1" applyBorder="1" applyAlignment="1" applyProtection="1">
      <alignment horizontal="left" vertical="center"/>
      <protection locked="0"/>
    </xf>
    <xf numFmtId="169" fontId="69" fillId="0" borderId="13" xfId="3" applyNumberFormat="1" applyFont="1" applyFill="1" applyBorder="1" applyAlignment="1">
      <alignment horizontal="center" vertical="center"/>
    </xf>
    <xf numFmtId="173" fontId="37" fillId="0" borderId="18" xfId="0" quotePrefix="1" applyNumberFormat="1" applyFont="1" applyBorder="1" applyAlignment="1" applyProtection="1">
      <alignment horizontal="left" vertical="center"/>
      <protection locked="0"/>
    </xf>
    <xf numFmtId="0" fontId="30" fillId="0" borderId="37" xfId="0" applyFont="1" applyBorder="1" applyAlignment="1">
      <alignment vertical="center"/>
    </xf>
    <xf numFmtId="1" fontId="24" fillId="0" borderId="8" xfId="1" applyNumberFormat="1" applyFont="1" applyFill="1" applyBorder="1" applyAlignment="1">
      <alignment horizontal="center" vertical="center" shrinkToFit="1"/>
    </xf>
    <xf numFmtId="169" fontId="44" fillId="2" borderId="10" xfId="3" applyNumberFormat="1" applyFont="1" applyFill="1" applyBorder="1" applyAlignment="1">
      <alignment horizontal="right" vertical="center" shrinkToFit="1"/>
    </xf>
    <xf numFmtId="169" fontId="43" fillId="2" borderId="10" xfId="3" applyNumberFormat="1" applyFont="1" applyFill="1" applyBorder="1" applyAlignment="1">
      <alignment horizontal="right" vertical="center" shrinkToFit="1"/>
    </xf>
    <xf numFmtId="169" fontId="31" fillId="2" borderId="13" xfId="15" applyNumberFormat="1" applyFont="1" applyFill="1" applyBorder="1" applyAlignment="1">
      <alignment vertical="center"/>
    </xf>
    <xf numFmtId="0" fontId="16" fillId="13" borderId="3" xfId="1" applyNumberFormat="1" applyFont="1" applyFill="1" applyBorder="1" applyAlignment="1">
      <alignment horizontal="center" vertical="center" shrinkToFit="1"/>
    </xf>
    <xf numFmtId="0" fontId="25" fillId="13" borderId="8" xfId="0" applyFont="1" applyFill="1" applyBorder="1" applyAlignment="1">
      <alignment horizontal="center" vertical="center" wrapText="1"/>
    </xf>
    <xf numFmtId="169" fontId="11" fillId="13" borderId="31" xfId="3" applyNumberFormat="1" applyFont="1" applyFill="1" applyBorder="1" applyAlignment="1">
      <alignment horizontal="right" vertical="center" shrinkToFit="1"/>
    </xf>
    <xf numFmtId="0" fontId="24" fillId="13" borderId="8" xfId="0" applyFont="1" applyFill="1" applyBorder="1" applyAlignment="1">
      <alignment horizontal="center" vertical="center" wrapText="1"/>
    </xf>
    <xf numFmtId="0" fontId="16" fillId="6" borderId="8" xfId="1" applyNumberFormat="1" applyFont="1" applyFill="1" applyBorder="1" applyAlignment="1">
      <alignment horizontal="center" vertical="center" shrinkToFit="1"/>
    </xf>
    <xf numFmtId="0" fontId="11" fillId="6" borderId="8" xfId="1" applyNumberFormat="1" applyFont="1" applyFill="1" applyBorder="1" applyAlignment="1">
      <alignment horizontal="center" vertical="center" shrinkToFit="1"/>
    </xf>
    <xf numFmtId="169" fontId="11" fillId="6" borderId="10" xfId="3" applyNumberFormat="1" applyFont="1" applyFill="1" applyBorder="1" applyAlignment="1">
      <alignment horizontal="right" vertical="center" shrinkToFit="1"/>
    </xf>
    <xf numFmtId="165" fontId="16" fillId="6" borderId="8" xfId="20" applyNumberFormat="1" applyFont="1" applyFill="1" applyBorder="1" applyAlignment="1">
      <alignment horizontal="right" vertical="center" shrinkToFit="1"/>
    </xf>
    <xf numFmtId="175" fontId="16" fillId="6" borderId="4" xfId="0" applyNumberFormat="1" applyFont="1" applyFill="1" applyBorder="1" applyAlignment="1">
      <alignment horizontal="right" vertical="center" shrinkToFit="1"/>
    </xf>
    <xf numFmtId="175" fontId="16" fillId="6" borderId="3" xfId="20" applyNumberFormat="1" applyFont="1" applyFill="1" applyBorder="1" applyAlignment="1">
      <alignment horizontal="right" vertical="center" shrinkToFit="1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top"/>
    </xf>
    <xf numFmtId="10" fontId="52" fillId="0" borderId="0" xfId="2" applyNumberFormat="1" applyFont="1" applyFill="1" applyBorder="1" applyAlignment="1">
      <alignment horizontal="center" vertical="center"/>
    </xf>
    <xf numFmtId="10" fontId="25" fillId="0" borderId="0" xfId="0" applyNumberFormat="1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169" fontId="16" fillId="0" borderId="0" xfId="0" applyNumberFormat="1" applyFont="1" applyAlignment="1">
      <alignment horizontal="left" vertical="center"/>
    </xf>
    <xf numFmtId="9" fontId="47" fillId="0" borderId="0" xfId="2" applyFont="1" applyFill="1" applyAlignment="1">
      <alignment horizontal="center" vertical="center"/>
    </xf>
    <xf numFmtId="169" fontId="24" fillId="0" borderId="0" xfId="2" applyNumberFormat="1" applyFont="1" applyFill="1" applyBorder="1" applyAlignment="1">
      <alignment horizontal="center" vertical="center"/>
    </xf>
    <xf numFmtId="169" fontId="24" fillId="0" borderId="0" xfId="3" applyNumberFormat="1" applyFont="1" applyFill="1" applyAlignment="1">
      <alignment horizontal="center" vertical="center"/>
    </xf>
    <xf numFmtId="9" fontId="23" fillId="0" borderId="0" xfId="2" applyFont="1" applyFill="1" applyAlignment="1">
      <alignment horizontal="left" vertical="center"/>
    </xf>
    <xf numFmtId="0" fontId="56" fillId="0" borderId="0" xfId="0" applyFont="1" applyAlignment="1">
      <alignment horizontal="left" vertical="center"/>
    </xf>
    <xf numFmtId="169" fontId="83" fillId="0" borderId="0" xfId="0" applyNumberFormat="1" applyFont="1" applyAlignment="1">
      <alignment horizontal="center" vertical="center"/>
    </xf>
    <xf numFmtId="165" fontId="30" fillId="2" borderId="13" xfId="0" applyNumberFormat="1" applyFont="1" applyFill="1" applyBorder="1" applyAlignment="1">
      <alignment vertical="center"/>
    </xf>
    <xf numFmtId="0" fontId="16" fillId="13" borderId="8" xfId="1" applyNumberFormat="1" applyFont="1" applyFill="1" applyBorder="1" applyAlignment="1">
      <alignment horizontal="center" vertical="center" shrinkToFit="1"/>
    </xf>
    <xf numFmtId="169" fontId="16" fillId="13" borderId="8" xfId="3" applyNumberFormat="1" applyFont="1" applyFill="1" applyBorder="1" applyAlignment="1">
      <alignment horizontal="right" vertical="center" shrinkToFit="1"/>
    </xf>
    <xf numFmtId="165" fontId="16" fillId="13" borderId="8" xfId="20" applyNumberFormat="1" applyFont="1" applyFill="1" applyBorder="1" applyAlignment="1">
      <alignment horizontal="right" vertical="center" shrinkToFit="1"/>
    </xf>
    <xf numFmtId="165" fontId="16" fillId="13" borderId="8" xfId="18" applyFont="1" applyFill="1" applyBorder="1" applyAlignment="1" applyProtection="1">
      <alignment horizontal="center" vertical="center"/>
      <protection locked="0"/>
    </xf>
    <xf numFmtId="0" fontId="16" fillId="7" borderId="1" xfId="1" applyNumberFormat="1" applyFont="1" applyFill="1" applyBorder="1" applyAlignment="1">
      <alignment horizontal="center" vertical="center" shrinkToFit="1"/>
    </xf>
    <xf numFmtId="0" fontId="16" fillId="13" borderId="1" xfId="1" applyNumberFormat="1" applyFont="1" applyFill="1" applyBorder="1" applyAlignment="1">
      <alignment horizontal="center" vertical="center" shrinkToFit="1"/>
    </xf>
    <xf numFmtId="165" fontId="16" fillId="13" borderId="1" xfId="18" applyFont="1" applyFill="1" applyBorder="1" applyAlignment="1" applyProtection="1">
      <alignment horizontal="center" vertical="center"/>
      <protection locked="0"/>
    </xf>
    <xf numFmtId="165" fontId="16" fillId="13" borderId="1" xfId="20" applyNumberFormat="1" applyFont="1" applyFill="1" applyBorder="1" applyAlignment="1">
      <alignment horizontal="right" vertical="center" shrinkToFit="1"/>
    </xf>
    <xf numFmtId="169" fontId="16" fillId="13" borderId="10" xfId="3" applyNumberFormat="1" applyFont="1" applyFill="1" applyBorder="1" applyAlignment="1">
      <alignment horizontal="right" vertical="center" shrinkToFit="1"/>
    </xf>
    <xf numFmtId="165" fontId="16" fillId="13" borderId="3" xfId="20" applyNumberFormat="1" applyFont="1" applyFill="1" applyBorder="1" applyAlignment="1">
      <alignment horizontal="right" vertical="center" shrinkToFit="1"/>
    </xf>
    <xf numFmtId="169" fontId="16" fillId="13" borderId="4" xfId="3" applyNumberFormat="1" applyFont="1" applyFill="1" applyBorder="1" applyAlignment="1">
      <alignment horizontal="right" vertical="center" shrinkToFit="1"/>
    </xf>
    <xf numFmtId="0" fontId="24" fillId="0" borderId="18" xfId="19" applyFont="1" applyBorder="1" applyAlignment="1">
      <alignment vertical="center"/>
    </xf>
    <xf numFmtId="0" fontId="16" fillId="0" borderId="15" xfId="0" applyFont="1" applyBorder="1" applyAlignment="1" applyProtection="1">
      <alignment horizontal="center" vertical="center"/>
      <protection locked="0"/>
    </xf>
    <xf numFmtId="0" fontId="16" fillId="0" borderId="18" xfId="19" applyFont="1" applyBorder="1" applyAlignment="1">
      <alignment vertical="center"/>
    </xf>
    <xf numFmtId="1" fontId="31" fillId="7" borderId="14" xfId="0" applyNumberFormat="1" applyFont="1" applyFill="1" applyBorder="1" applyAlignment="1" applyProtection="1">
      <alignment horizontal="center" vertical="center"/>
      <protection locked="0"/>
    </xf>
    <xf numFmtId="176" fontId="31" fillId="7" borderId="13" xfId="0" applyNumberFormat="1" applyFont="1" applyFill="1" applyBorder="1" applyAlignment="1" applyProtection="1">
      <alignment horizontal="right" vertical="center"/>
      <protection locked="0"/>
    </xf>
    <xf numFmtId="165" fontId="16" fillId="0" borderId="0" xfId="1" applyFont="1" applyFill="1" applyAlignment="1">
      <alignment horizontal="left" vertical="center"/>
    </xf>
    <xf numFmtId="167" fontId="16" fillId="0" borderId="0" xfId="1" applyNumberFormat="1" applyFont="1" applyFill="1" applyAlignment="1">
      <alignment horizontal="center" vertical="center"/>
    </xf>
    <xf numFmtId="167" fontId="24" fillId="0" borderId="0" xfId="1" applyNumberFormat="1" applyFont="1" applyFill="1" applyAlignment="1">
      <alignment horizontal="center" vertical="center"/>
    </xf>
    <xf numFmtId="169" fontId="60" fillId="0" borderId="0" xfId="3" applyNumberFormat="1" applyFont="1" applyAlignment="1">
      <alignment horizontal="left" vertical="top"/>
    </xf>
    <xf numFmtId="169" fontId="38" fillId="7" borderId="14" xfId="3" applyNumberFormat="1" applyFont="1" applyFill="1" applyBorder="1" applyAlignment="1" applyProtection="1">
      <alignment vertical="center"/>
      <protection locked="0"/>
    </xf>
    <xf numFmtId="169" fontId="31" fillId="2" borderId="13" xfId="15" applyNumberFormat="1" applyFont="1" applyFill="1" applyBorder="1" applyAlignment="1" applyProtection="1">
      <alignment horizontal="right" vertical="center"/>
      <protection locked="0"/>
    </xf>
    <xf numFmtId="169" fontId="60" fillId="0" borderId="0" xfId="25" applyNumberFormat="1" applyFont="1" applyAlignment="1">
      <alignment horizontal="left" vertical="top"/>
    </xf>
    <xf numFmtId="169" fontId="83" fillId="0" borderId="0" xfId="3" applyNumberFormat="1" applyFont="1" applyAlignment="1">
      <alignment horizontal="center" vertical="center"/>
    </xf>
    <xf numFmtId="169" fontId="83" fillId="0" borderId="0" xfId="3" applyNumberFormat="1" applyFont="1" applyAlignment="1">
      <alignment horizontal="left" vertical="center"/>
    </xf>
    <xf numFmtId="9" fontId="83" fillId="0" borderId="0" xfId="21" applyFont="1" applyAlignment="1">
      <alignment horizontal="center" vertical="center"/>
    </xf>
    <xf numFmtId="0" fontId="96" fillId="0" borderId="0" xfId="25" applyFont="1" applyAlignment="1">
      <alignment horizontal="center" vertical="center"/>
    </xf>
    <xf numFmtId="0" fontId="96" fillId="0" borderId="0" xfId="25" applyFont="1" applyAlignment="1">
      <alignment horizontal="left" vertical="center"/>
    </xf>
    <xf numFmtId="0" fontId="83" fillId="0" borderId="0" xfId="25" applyFont="1" applyAlignment="1">
      <alignment horizontal="left" vertical="center"/>
    </xf>
    <xf numFmtId="169" fontId="96" fillId="0" borderId="0" xfId="25" applyNumberFormat="1" applyFont="1" applyAlignment="1">
      <alignment horizontal="left" vertical="center"/>
    </xf>
    <xf numFmtId="0" fontId="83" fillId="0" borderId="0" xfId="25" applyFont="1" applyAlignment="1">
      <alignment horizontal="center" vertical="center"/>
    </xf>
    <xf numFmtId="169" fontId="90" fillId="0" borderId="0" xfId="3" applyNumberFormat="1" applyFont="1" applyAlignment="1">
      <alignment horizontal="left" vertical="center"/>
    </xf>
    <xf numFmtId="169" fontId="90" fillId="0" borderId="0" xfId="0" applyNumberFormat="1" applyFont="1" applyAlignment="1">
      <alignment horizontal="left" vertical="center"/>
    </xf>
    <xf numFmtId="165" fontId="51" fillId="0" borderId="0" xfId="0" applyNumberFormat="1" applyFont="1" applyAlignment="1">
      <alignment vertical="center" wrapText="1"/>
    </xf>
    <xf numFmtId="169" fontId="51" fillId="0" borderId="0" xfId="0" applyNumberFormat="1" applyFont="1" applyAlignment="1">
      <alignment vertical="center" wrapText="1"/>
    </xf>
    <xf numFmtId="0" fontId="28" fillId="10" borderId="8" xfId="1" applyNumberFormat="1" applyFont="1" applyFill="1" applyBorder="1" applyAlignment="1">
      <alignment horizontal="center" vertical="center" shrinkToFit="1"/>
    </xf>
    <xf numFmtId="169" fontId="28" fillId="10" borderId="10" xfId="3" applyNumberFormat="1" applyFont="1" applyFill="1" applyBorder="1" applyAlignment="1">
      <alignment horizontal="right" vertical="center" shrinkToFit="1"/>
    </xf>
    <xf numFmtId="0" fontId="16" fillId="10" borderId="8" xfId="1" applyNumberFormat="1" applyFont="1" applyFill="1" applyBorder="1" applyAlignment="1">
      <alignment horizontal="center" vertical="center" shrinkToFit="1"/>
    </xf>
    <xf numFmtId="0" fontId="16" fillId="10" borderId="28" xfId="1" applyNumberFormat="1" applyFont="1" applyFill="1" applyBorder="1" applyAlignment="1">
      <alignment horizontal="center" vertical="center" shrinkToFit="1"/>
    </xf>
    <xf numFmtId="165" fontId="16" fillId="10" borderId="28" xfId="20" applyNumberFormat="1" applyFont="1" applyFill="1" applyBorder="1" applyAlignment="1">
      <alignment horizontal="right" vertical="center" shrinkToFit="1"/>
    </xf>
    <xf numFmtId="169" fontId="24" fillId="2" borderId="26" xfId="3" applyNumberFormat="1" applyFont="1" applyFill="1" applyBorder="1" applyAlignment="1">
      <alignment horizontal="right" vertical="center"/>
    </xf>
    <xf numFmtId="169" fontId="25" fillId="0" borderId="0" xfId="0" applyNumberFormat="1" applyFont="1" applyAlignment="1">
      <alignment vertical="center" wrapText="1"/>
    </xf>
    <xf numFmtId="165" fontId="74" fillId="7" borderId="17" xfId="18" applyFont="1" applyFill="1" applyBorder="1" applyAlignment="1" applyProtection="1">
      <alignment horizontal="center" vertical="center"/>
      <protection locked="0"/>
    </xf>
    <xf numFmtId="169" fontId="11" fillId="7" borderId="31" xfId="3" applyNumberFormat="1" applyFont="1" applyFill="1" applyBorder="1" applyAlignment="1">
      <alignment horizontal="right" vertical="center" shrinkToFit="1"/>
    </xf>
    <xf numFmtId="169" fontId="26" fillId="0" borderId="0" xfId="0" applyNumberFormat="1" applyFont="1" applyAlignment="1">
      <alignment horizontal="left" vertical="center"/>
    </xf>
    <xf numFmtId="169" fontId="26" fillId="2" borderId="0" xfId="0" applyNumberFormat="1" applyFont="1" applyFill="1" applyAlignment="1">
      <alignment horizontal="left" vertical="center"/>
    </xf>
    <xf numFmtId="165" fontId="24" fillId="2" borderId="26" xfId="20" applyNumberFormat="1" applyFont="1" applyFill="1" applyBorder="1" applyAlignment="1">
      <alignment horizontal="right" vertical="center"/>
    </xf>
    <xf numFmtId="165" fontId="0" fillId="0" borderId="0" xfId="0" applyNumberFormat="1" applyAlignment="1">
      <alignment horizontal="left" vertical="top"/>
    </xf>
    <xf numFmtId="165" fontId="10" fillId="0" borderId="0" xfId="0" applyNumberFormat="1" applyFont="1" applyAlignment="1">
      <alignment horizontal="left" vertical="center"/>
    </xf>
    <xf numFmtId="165" fontId="97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left" vertical="top"/>
    </xf>
    <xf numFmtId="169" fontId="18" fillId="0" borderId="0" xfId="0" applyNumberFormat="1" applyFont="1" applyAlignment="1">
      <alignment horizontal="left" vertical="top"/>
    </xf>
    <xf numFmtId="169" fontId="28" fillId="2" borderId="10" xfId="3" applyNumberFormat="1" applyFont="1" applyFill="1" applyBorder="1" applyAlignment="1">
      <alignment horizontal="right" vertical="center" shrinkToFit="1"/>
    </xf>
    <xf numFmtId="165" fontId="44" fillId="2" borderId="8" xfId="20" applyNumberFormat="1" applyFont="1" applyFill="1" applyBorder="1" applyAlignment="1">
      <alignment horizontal="right" vertical="center" shrinkToFit="1"/>
    </xf>
    <xf numFmtId="169" fontId="44" fillId="2" borderId="8" xfId="3" applyNumberFormat="1" applyFont="1" applyFill="1" applyBorder="1" applyAlignment="1">
      <alignment horizontal="right" vertical="center" shrinkToFit="1"/>
    </xf>
    <xf numFmtId="165" fontId="43" fillId="2" borderId="8" xfId="20" applyNumberFormat="1" applyFont="1" applyFill="1" applyBorder="1" applyAlignment="1">
      <alignment horizontal="right" vertical="center" shrinkToFit="1"/>
    </xf>
    <xf numFmtId="0" fontId="30" fillId="10" borderId="14" xfId="0" applyFont="1" applyFill="1" applyBorder="1" applyAlignment="1">
      <alignment horizontal="center" vertical="center"/>
    </xf>
    <xf numFmtId="169" fontId="25" fillId="12" borderId="31" xfId="3" applyNumberFormat="1" applyFont="1" applyFill="1" applyBorder="1" applyAlignment="1">
      <alignment horizontal="right" vertical="center"/>
    </xf>
    <xf numFmtId="169" fontId="26" fillId="12" borderId="31" xfId="3" applyNumberFormat="1" applyFont="1" applyFill="1" applyBorder="1" applyAlignment="1">
      <alignment horizontal="right" vertical="center"/>
    </xf>
    <xf numFmtId="169" fontId="25" fillId="14" borderId="31" xfId="3" applyNumberFormat="1" applyFont="1" applyFill="1" applyBorder="1" applyAlignment="1">
      <alignment horizontal="right" vertical="center"/>
    </xf>
    <xf numFmtId="169" fontId="98" fillId="10" borderId="10" xfId="3" applyNumberFormat="1" applyFont="1" applyFill="1" applyBorder="1" applyAlignment="1">
      <alignment horizontal="right" vertical="center" shrinkToFit="1"/>
    </xf>
    <xf numFmtId="0" fontId="16" fillId="3" borderId="3" xfId="1" applyNumberFormat="1" applyFont="1" applyFill="1" applyBorder="1" applyAlignment="1">
      <alignment horizontal="center" vertical="center" shrinkToFit="1"/>
    </xf>
    <xf numFmtId="175" fontId="16" fillId="3" borderId="4" xfId="0" applyNumberFormat="1" applyFont="1" applyFill="1" applyBorder="1" applyAlignment="1">
      <alignment horizontal="right" vertical="center" shrinkToFit="1"/>
    </xf>
    <xf numFmtId="175" fontId="16" fillId="3" borderId="3" xfId="20" applyNumberFormat="1" applyFont="1" applyFill="1" applyBorder="1" applyAlignment="1">
      <alignment horizontal="right" vertical="center" shrinkToFit="1"/>
    </xf>
    <xf numFmtId="181" fontId="43" fillId="0" borderId="0" xfId="0" applyNumberFormat="1" applyFont="1" applyAlignment="1">
      <alignment horizontal="left" vertical="center"/>
    </xf>
    <xf numFmtId="1" fontId="11" fillId="0" borderId="27" xfId="0" applyNumberFormat="1" applyFont="1" applyBorder="1" applyAlignment="1">
      <alignment horizontal="center" vertical="center" shrinkToFit="1"/>
    </xf>
    <xf numFmtId="1" fontId="87" fillId="0" borderId="8" xfId="0" applyNumberFormat="1" applyFont="1" applyBorder="1" applyAlignment="1" applyProtection="1">
      <alignment horizontal="left" vertical="center"/>
      <protection locked="0"/>
    </xf>
    <xf numFmtId="0" fontId="11" fillId="0" borderId="8" xfId="0" applyFont="1" applyBorder="1" applyAlignment="1">
      <alignment horizontal="center" vertical="center" wrapText="1"/>
    </xf>
    <xf numFmtId="165" fontId="99" fillId="0" borderId="8" xfId="18" applyFont="1" applyFill="1" applyBorder="1" applyAlignment="1" applyProtection="1">
      <alignment horizontal="center" vertical="center"/>
      <protection locked="0"/>
    </xf>
    <xf numFmtId="169" fontId="11" fillId="0" borderId="8" xfId="23" applyNumberFormat="1" applyFont="1" applyFill="1" applyBorder="1" applyAlignment="1" applyProtection="1">
      <alignment vertical="center"/>
      <protection locked="0"/>
    </xf>
    <xf numFmtId="0" fontId="11" fillId="13" borderId="8" xfId="1" applyNumberFormat="1" applyFont="1" applyFill="1" applyBorder="1" applyAlignment="1">
      <alignment horizontal="center" vertical="center" shrinkToFit="1"/>
    </xf>
    <xf numFmtId="0" fontId="25" fillId="0" borderId="8" xfId="1" applyNumberFormat="1" applyFont="1" applyFill="1" applyBorder="1" applyAlignment="1">
      <alignment horizontal="center" vertical="center" shrinkToFit="1"/>
    </xf>
    <xf numFmtId="1" fontId="100" fillId="0" borderId="8" xfId="0" applyNumberFormat="1" applyFont="1" applyBorder="1" applyAlignment="1" applyProtection="1">
      <alignment horizontal="center" vertical="center"/>
      <protection locked="0"/>
    </xf>
    <xf numFmtId="165" fontId="100" fillId="0" borderId="8" xfId="18" applyFont="1" applyFill="1" applyBorder="1" applyAlignment="1" applyProtection="1">
      <alignment horizontal="center" vertical="center"/>
      <protection locked="0"/>
    </xf>
    <xf numFmtId="169" fontId="11" fillId="0" borderId="8" xfId="15" applyNumberFormat="1" applyFont="1" applyFill="1" applyBorder="1" applyAlignment="1">
      <alignment vertical="center"/>
    </xf>
    <xf numFmtId="169" fontId="11" fillId="0" borderId="8" xfId="3" applyNumberFormat="1" applyFont="1" applyFill="1" applyBorder="1" applyAlignment="1">
      <alignment horizontal="right" vertical="center" shrinkToFit="1"/>
    </xf>
    <xf numFmtId="169" fontId="11" fillId="13" borderId="8" xfId="3" applyNumberFormat="1" applyFont="1" applyFill="1" applyBorder="1" applyAlignment="1">
      <alignment horizontal="right" vertical="center" shrinkToFit="1"/>
    </xf>
    <xf numFmtId="165" fontId="25" fillId="0" borderId="8" xfId="20" applyNumberFormat="1" applyFont="1" applyFill="1" applyBorder="1" applyAlignment="1">
      <alignment horizontal="left" vertical="center"/>
    </xf>
    <xf numFmtId="169" fontId="25" fillId="0" borderId="8" xfId="3" applyNumberFormat="1" applyFont="1" applyFill="1" applyBorder="1" applyAlignment="1">
      <alignment horizontal="right" vertical="center" shrinkToFit="1"/>
    </xf>
    <xf numFmtId="169" fontId="25" fillId="0" borderId="8" xfId="3" applyNumberFormat="1" applyFont="1" applyFill="1" applyBorder="1" applyAlignment="1">
      <alignment horizontal="right" vertical="center"/>
    </xf>
    <xf numFmtId="169" fontId="25" fillId="0" borderId="26" xfId="3" applyNumberFormat="1" applyFont="1" applyFill="1" applyBorder="1" applyAlignment="1">
      <alignment horizontal="right" vertical="center"/>
    </xf>
    <xf numFmtId="165" fontId="11" fillId="2" borderId="8" xfId="20" applyNumberFormat="1" applyFont="1" applyFill="1" applyBorder="1" applyAlignment="1">
      <alignment horizontal="right" vertical="center" shrinkToFit="1"/>
    </xf>
    <xf numFmtId="165" fontId="11" fillId="0" borderId="9" xfId="20" applyNumberFormat="1" applyFont="1" applyFill="1" applyBorder="1" applyAlignment="1">
      <alignment horizontal="right" vertical="center" shrinkToFit="1"/>
    </xf>
    <xf numFmtId="1" fontId="11" fillId="0" borderId="25" xfId="0" applyNumberFormat="1" applyFont="1" applyBorder="1" applyAlignment="1">
      <alignment horizontal="center" vertical="center" shrinkToFit="1"/>
    </xf>
    <xf numFmtId="0" fontId="101" fillId="0" borderId="37" xfId="19" applyFont="1" applyBorder="1" applyAlignment="1">
      <alignment vertical="center"/>
    </xf>
    <xf numFmtId="1" fontId="11" fillId="0" borderId="8" xfId="0" applyNumberFormat="1" applyFont="1" applyBorder="1" applyAlignment="1" applyProtection="1">
      <alignment vertical="center"/>
      <protection locked="0"/>
    </xf>
    <xf numFmtId="1" fontId="99" fillId="0" borderId="8" xfId="0" applyNumberFormat="1" applyFont="1" applyBorder="1" applyAlignment="1" applyProtection="1">
      <alignment horizontal="center" vertical="center"/>
      <protection locked="0"/>
    </xf>
    <xf numFmtId="169" fontId="11" fillId="0" borderId="8" xfId="3" applyNumberFormat="1" applyFont="1" applyFill="1" applyBorder="1" applyAlignment="1" applyProtection="1">
      <alignment horizontal="right" vertical="center"/>
      <protection locked="0"/>
    </xf>
    <xf numFmtId="169" fontId="24" fillId="4" borderId="0" xfId="0" applyNumberFormat="1" applyFont="1" applyFill="1" applyAlignment="1">
      <alignment horizontal="left" vertical="center"/>
    </xf>
    <xf numFmtId="0" fontId="89" fillId="0" borderId="0" xfId="25" applyFont="1" applyAlignment="1">
      <alignment horizontal="left" vertical="center"/>
    </xf>
    <xf numFmtId="169" fontId="102" fillId="0" borderId="0" xfId="3" applyNumberFormat="1" applyFont="1" applyAlignment="1">
      <alignment horizontal="left" vertical="center"/>
    </xf>
    <xf numFmtId="0" fontId="77" fillId="0" borderId="0" xfId="25" applyFont="1" applyAlignment="1">
      <alignment horizontal="center" vertical="center"/>
    </xf>
    <xf numFmtId="0" fontId="77" fillId="0" borderId="0" xfId="25" applyFont="1" applyAlignment="1">
      <alignment horizontal="left" vertical="top"/>
    </xf>
    <xf numFmtId="169" fontId="103" fillId="0" borderId="0" xfId="3" applyNumberFormat="1" applyFont="1" applyAlignment="1">
      <alignment horizontal="left" vertical="top"/>
    </xf>
    <xf numFmtId="169" fontId="77" fillId="0" borderId="0" xfId="25" applyNumberFormat="1" applyFont="1" applyAlignment="1">
      <alignment horizontal="left" vertical="top"/>
    </xf>
    <xf numFmtId="169" fontId="103" fillId="0" borderId="0" xfId="25" applyNumberFormat="1" applyFont="1" applyAlignment="1">
      <alignment horizontal="left" vertical="top"/>
    </xf>
    <xf numFmtId="0" fontId="50" fillId="0" borderId="0" xfId="25" applyFont="1" applyAlignment="1">
      <alignment horizontal="left" vertical="top"/>
    </xf>
    <xf numFmtId="169" fontId="59" fillId="0" borderId="13" xfId="25" applyNumberFormat="1" applyFont="1" applyBorder="1" applyAlignment="1">
      <alignment horizontal="left" vertical="center"/>
    </xf>
    <xf numFmtId="169" fontId="104" fillId="0" borderId="0" xfId="25" applyNumberFormat="1" applyFont="1" applyAlignment="1">
      <alignment horizontal="left" vertical="top"/>
    </xf>
    <xf numFmtId="9" fontId="104" fillId="0" borderId="0" xfId="21" applyFont="1" applyAlignment="1">
      <alignment horizontal="center" vertical="center"/>
    </xf>
    <xf numFmtId="0" fontId="7" fillId="0" borderId="0" xfId="25" applyFont="1" applyAlignment="1">
      <alignment horizontal="center" vertical="center"/>
    </xf>
    <xf numFmtId="169" fontId="25" fillId="0" borderId="0" xfId="3" applyNumberFormat="1" applyFont="1" applyAlignment="1">
      <alignment horizontal="left" vertical="center"/>
    </xf>
    <xf numFmtId="169" fontId="7" fillId="0" borderId="0" xfId="25" applyNumberFormat="1" applyFont="1" applyAlignment="1">
      <alignment horizontal="left" vertical="top"/>
    </xf>
    <xf numFmtId="0" fontId="19" fillId="0" borderId="0" xfId="25" applyFont="1" applyAlignment="1">
      <alignment horizontal="center" vertical="center"/>
    </xf>
    <xf numFmtId="0" fontId="105" fillId="0" borderId="0" xfId="25" applyFont="1" applyAlignment="1">
      <alignment horizontal="center" vertical="center"/>
    </xf>
    <xf numFmtId="0" fontId="105" fillId="0" borderId="0" xfId="25" applyFont="1" applyAlignment="1">
      <alignment horizontal="left" vertical="top"/>
    </xf>
    <xf numFmtId="0" fontId="106" fillId="0" borderId="0" xfId="25" applyFont="1" applyAlignment="1">
      <alignment horizontal="left" vertical="top"/>
    </xf>
    <xf numFmtId="169" fontId="54" fillId="0" borderId="0" xfId="3" applyNumberFormat="1" applyFont="1" applyAlignment="1">
      <alignment horizontal="left" vertical="center"/>
    </xf>
    <xf numFmtId="169" fontId="105" fillId="0" borderId="0" xfId="25" applyNumberFormat="1" applyFont="1" applyAlignment="1">
      <alignment horizontal="left" vertical="top"/>
    </xf>
    <xf numFmtId="169" fontId="106" fillId="0" borderId="0" xfId="25" applyNumberFormat="1" applyFont="1" applyAlignment="1">
      <alignment horizontal="left" vertical="top"/>
    </xf>
    <xf numFmtId="9" fontId="107" fillId="0" borderId="0" xfId="21" applyFont="1" applyAlignment="1">
      <alignment horizontal="center" vertical="center"/>
    </xf>
    <xf numFmtId="0" fontId="106" fillId="0" borderId="0" xfId="25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165" fontId="23" fillId="2" borderId="0" xfId="1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165" fontId="25" fillId="2" borderId="0" xfId="1" applyFont="1" applyFill="1" applyAlignment="1">
      <alignment horizontal="left" vertical="center"/>
    </xf>
    <xf numFmtId="167" fontId="23" fillId="2" borderId="0" xfId="1" applyNumberFormat="1" applyFont="1" applyFill="1" applyAlignment="1">
      <alignment horizontal="center" vertical="center"/>
    </xf>
    <xf numFmtId="167" fontId="25" fillId="2" borderId="0" xfId="1" applyNumberFormat="1" applyFont="1" applyFill="1" applyAlignment="1">
      <alignment horizontal="center" vertical="center"/>
    </xf>
    <xf numFmtId="167" fontId="54" fillId="2" borderId="0" xfId="1" applyNumberFormat="1" applyFont="1" applyFill="1" applyAlignment="1">
      <alignment horizontal="center" vertical="center"/>
    </xf>
    <xf numFmtId="167" fontId="23" fillId="2" borderId="0" xfId="1" applyNumberFormat="1" applyFont="1" applyFill="1" applyAlignment="1">
      <alignment horizontal="left" vertical="center"/>
    </xf>
    <xf numFmtId="169" fontId="23" fillId="2" borderId="0" xfId="0" applyNumberFormat="1" applyFont="1" applyFill="1" applyAlignment="1">
      <alignment horizontal="left" vertical="center"/>
    </xf>
    <xf numFmtId="167" fontId="108" fillId="0" borderId="0" xfId="1" applyNumberFormat="1" applyFont="1" applyAlignment="1">
      <alignment horizontal="left" vertical="top"/>
    </xf>
    <xf numFmtId="165" fontId="42" fillId="0" borderId="0" xfId="0" applyNumberFormat="1" applyFont="1" applyAlignment="1">
      <alignment horizontal="center" vertical="center" wrapText="1"/>
    </xf>
    <xf numFmtId="165" fontId="42" fillId="0" borderId="0" xfId="0" applyNumberFormat="1" applyFont="1" applyAlignment="1">
      <alignment horizontal="left" vertical="center" wrapText="1"/>
    </xf>
    <xf numFmtId="0" fontId="43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1" fontId="43" fillId="2" borderId="0" xfId="0" applyNumberFormat="1" applyFont="1" applyFill="1" applyAlignment="1">
      <alignment horizontal="center" vertical="center"/>
    </xf>
    <xf numFmtId="181" fontId="43" fillId="2" borderId="0" xfId="0" applyNumberFormat="1" applyFont="1" applyFill="1" applyAlignment="1">
      <alignment horizontal="left" vertical="center"/>
    </xf>
    <xf numFmtId="171" fontId="43" fillId="2" borderId="0" xfId="0" applyNumberFormat="1" applyFont="1" applyFill="1" applyAlignment="1">
      <alignment horizontal="left" vertical="center"/>
    </xf>
    <xf numFmtId="165" fontId="43" fillId="2" borderId="0" xfId="0" applyNumberFormat="1" applyFont="1" applyFill="1" applyAlignment="1">
      <alignment horizontal="left" vertical="center"/>
    </xf>
    <xf numFmtId="169" fontId="43" fillId="2" borderId="0" xfId="3" applyNumberFormat="1" applyFont="1" applyFill="1" applyAlignment="1">
      <alignment horizontal="left" vertical="center"/>
    </xf>
    <xf numFmtId="169" fontId="43" fillId="2" borderId="0" xfId="3" applyNumberFormat="1" applyFont="1" applyFill="1" applyAlignment="1">
      <alignment horizontal="center" vertical="center"/>
    </xf>
    <xf numFmtId="167" fontId="43" fillId="2" borderId="0" xfId="1" applyNumberFormat="1" applyFont="1" applyFill="1" applyAlignment="1">
      <alignment horizontal="left" vertical="center"/>
    </xf>
    <xf numFmtId="1" fontId="43" fillId="2" borderId="0" xfId="1" applyNumberFormat="1" applyFont="1" applyFill="1" applyAlignment="1">
      <alignment horizontal="center" vertical="center"/>
    </xf>
    <xf numFmtId="177" fontId="43" fillId="2" borderId="0" xfId="3" applyNumberFormat="1" applyFont="1" applyFill="1" applyAlignment="1">
      <alignment horizontal="center" vertical="center"/>
    </xf>
    <xf numFmtId="166" fontId="42" fillId="0" borderId="0" xfId="3" applyFont="1" applyAlignment="1">
      <alignment horizontal="center" vertical="center" wrapText="1"/>
    </xf>
    <xf numFmtId="169" fontId="102" fillId="0" borderId="0" xfId="3" applyNumberFormat="1" applyFont="1" applyAlignment="1">
      <alignment horizontal="left" vertical="top"/>
    </xf>
    <xf numFmtId="169" fontId="109" fillId="0" borderId="0" xfId="25" applyNumberFormat="1" applyFont="1" applyAlignment="1">
      <alignment horizontal="left" vertical="center"/>
    </xf>
    <xf numFmtId="169" fontId="48" fillId="0" borderId="0" xfId="2" applyNumberFormat="1" applyFont="1" applyFill="1" applyBorder="1" applyAlignment="1">
      <alignment horizontal="center" vertical="center"/>
    </xf>
    <xf numFmtId="0" fontId="110" fillId="0" borderId="0" xfId="25" applyFont="1" applyAlignment="1">
      <alignment horizontal="left" vertical="top"/>
    </xf>
    <xf numFmtId="169" fontId="110" fillId="0" borderId="0" xfId="25" applyNumberFormat="1" applyFont="1" applyAlignment="1">
      <alignment horizontal="left" vertical="top"/>
    </xf>
    <xf numFmtId="9" fontId="110" fillId="0" borderId="0" xfId="21" applyFont="1" applyAlignment="1">
      <alignment horizontal="center" vertical="center"/>
    </xf>
    <xf numFmtId="0" fontId="110" fillId="0" borderId="0" xfId="25" applyFont="1" applyAlignment="1">
      <alignment horizontal="center" vertical="center"/>
    </xf>
    <xf numFmtId="169" fontId="25" fillId="7" borderId="55" xfId="20" applyNumberFormat="1" applyFont="1" applyFill="1" applyBorder="1" applyAlignment="1">
      <alignment horizontal="left" vertical="center"/>
    </xf>
    <xf numFmtId="0" fontId="25" fillId="7" borderId="55" xfId="25" applyFont="1" applyFill="1" applyBorder="1" applyAlignment="1">
      <alignment horizontal="center" vertical="center"/>
    </xf>
    <xf numFmtId="0" fontId="25" fillId="7" borderId="55" xfId="25" applyFont="1" applyFill="1" applyBorder="1" applyAlignment="1">
      <alignment horizontal="left" vertical="center"/>
    </xf>
    <xf numFmtId="10" fontId="25" fillId="7" borderId="55" xfId="21" applyNumberFormat="1" applyFont="1" applyFill="1" applyBorder="1" applyAlignment="1">
      <alignment horizontal="center" vertical="center"/>
    </xf>
    <xf numFmtId="10" fontId="25" fillId="7" borderId="87" xfId="21" applyNumberFormat="1" applyFont="1" applyFill="1" applyBorder="1" applyAlignment="1">
      <alignment horizontal="center" vertical="center"/>
    </xf>
    <xf numFmtId="0" fontId="25" fillId="7" borderId="0" xfId="25" applyFont="1" applyFill="1" applyAlignment="1">
      <alignment horizontal="left" vertical="center"/>
    </xf>
    <xf numFmtId="169" fontId="24" fillId="7" borderId="0" xfId="3" applyNumberFormat="1" applyFont="1" applyFill="1" applyAlignment="1">
      <alignment horizontal="center" vertical="center"/>
    </xf>
    <xf numFmtId="169" fontId="24" fillId="7" borderId="0" xfId="3" applyNumberFormat="1" applyFont="1" applyFill="1" applyAlignment="1">
      <alignment horizontal="left" vertical="center"/>
    </xf>
    <xf numFmtId="10" fontId="24" fillId="7" borderId="0" xfId="2" applyNumberFormat="1" applyFont="1" applyFill="1" applyAlignment="1">
      <alignment horizontal="center" vertical="center"/>
    </xf>
    <xf numFmtId="0" fontId="11" fillId="7" borderId="0" xfId="25" applyFont="1" applyFill="1" applyAlignment="1">
      <alignment horizontal="center" vertical="center"/>
    </xf>
    <xf numFmtId="0" fontId="11" fillId="7" borderId="0" xfId="25" applyFont="1" applyFill="1" applyAlignment="1">
      <alignment horizontal="left" vertical="center"/>
    </xf>
    <xf numFmtId="169" fontId="11" fillId="7" borderId="0" xfId="25" applyNumberFormat="1" applyFont="1" applyFill="1" applyAlignment="1">
      <alignment horizontal="left" vertical="center"/>
    </xf>
    <xf numFmtId="169" fontId="25" fillId="7" borderId="0" xfId="25" applyNumberFormat="1" applyFont="1" applyFill="1" applyAlignment="1">
      <alignment horizontal="left" vertical="center"/>
    </xf>
    <xf numFmtId="169" fontId="25" fillId="7" borderId="0" xfId="2" applyNumberFormat="1" applyFont="1" applyFill="1" applyAlignment="1">
      <alignment horizontal="center" vertical="center"/>
    </xf>
    <xf numFmtId="169" fontId="48" fillId="7" borderId="0" xfId="25" applyNumberFormat="1" applyFont="1" applyFill="1" applyAlignment="1">
      <alignment horizontal="left" vertical="center"/>
    </xf>
    <xf numFmtId="0" fontId="89" fillId="7" borderId="0" xfId="25" applyFont="1" applyFill="1" applyAlignment="1">
      <alignment horizontal="left" vertical="center"/>
    </xf>
    <xf numFmtId="169" fontId="102" fillId="7" borderId="0" xfId="3" applyNumberFormat="1" applyFont="1" applyFill="1" applyAlignment="1">
      <alignment horizontal="left" vertical="center"/>
    </xf>
    <xf numFmtId="9" fontId="25" fillId="7" borderId="0" xfId="21" applyFont="1" applyFill="1" applyAlignment="1">
      <alignment horizontal="center" vertical="center"/>
    </xf>
    <xf numFmtId="0" fontId="25" fillId="7" borderId="0" xfId="25" applyFont="1" applyFill="1" applyAlignment="1">
      <alignment horizontal="center" vertical="center"/>
    </xf>
    <xf numFmtId="169" fontId="90" fillId="0" borderId="0" xfId="25" applyNumberFormat="1" applyFont="1" applyAlignment="1">
      <alignment horizontal="left" vertical="top"/>
    </xf>
    <xf numFmtId="0" fontId="90" fillId="0" borderId="14" xfId="0" applyFont="1" applyBorder="1" applyAlignment="1">
      <alignment horizontal="center" vertical="center"/>
    </xf>
    <xf numFmtId="0" fontId="90" fillId="0" borderId="18" xfId="0" applyFont="1" applyBorder="1" applyAlignment="1">
      <alignment horizontal="center" vertical="center"/>
    </xf>
    <xf numFmtId="0" fontId="90" fillId="0" borderId="15" xfId="0" applyFont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/>
      <protection locked="0"/>
    </xf>
    <xf numFmtId="0" fontId="33" fillId="0" borderId="23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21" xfId="0" applyFont="1" applyBorder="1" applyAlignment="1">
      <alignment horizontal="left" vertical="center" wrapText="1"/>
    </xf>
    <xf numFmtId="0" fontId="33" fillId="0" borderId="5" xfId="0" applyFont="1" applyBorder="1" applyAlignment="1">
      <alignment horizontal="left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4" fillId="8" borderId="8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4" fillId="6" borderId="45" xfId="0" applyFont="1" applyFill="1" applyBorder="1" applyAlignment="1">
      <alignment horizontal="center" vertical="center" wrapText="1"/>
    </xf>
    <xf numFmtId="0" fontId="24" fillId="6" borderId="46" xfId="0" applyFont="1" applyFill="1" applyBorder="1" applyAlignment="1">
      <alignment horizontal="center" vertical="center" wrapText="1"/>
    </xf>
    <xf numFmtId="0" fontId="24" fillId="6" borderId="47" xfId="0" applyFont="1" applyFill="1" applyBorder="1" applyAlignment="1">
      <alignment horizontal="center" vertical="center" wrapText="1"/>
    </xf>
    <xf numFmtId="0" fontId="24" fillId="6" borderId="39" xfId="0" applyFont="1" applyFill="1" applyBorder="1" applyAlignment="1">
      <alignment horizontal="center" vertical="center" wrapText="1"/>
    </xf>
    <xf numFmtId="0" fontId="24" fillId="6" borderId="48" xfId="0" applyFont="1" applyFill="1" applyBorder="1" applyAlignment="1">
      <alignment horizontal="center" vertical="center" wrapText="1"/>
    </xf>
    <xf numFmtId="165" fontId="24" fillId="2" borderId="1" xfId="1" applyFont="1" applyFill="1" applyBorder="1" applyAlignment="1">
      <alignment horizontal="center" vertical="center" wrapText="1"/>
    </xf>
    <xf numFmtId="165" fontId="24" fillId="2" borderId="3" xfId="1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165" fontId="24" fillId="2" borderId="9" xfId="1" applyFont="1" applyFill="1" applyBorder="1" applyAlignment="1">
      <alignment horizontal="center" vertical="center" wrapText="1"/>
    </xf>
    <xf numFmtId="0" fontId="24" fillId="6" borderId="64" xfId="0" applyFont="1" applyFill="1" applyBorder="1" applyAlignment="1">
      <alignment horizontal="center" vertical="center" wrapText="1"/>
    </xf>
    <xf numFmtId="0" fontId="24" fillId="6" borderId="82" xfId="0" applyFont="1" applyFill="1" applyBorder="1" applyAlignment="1">
      <alignment horizontal="center" vertical="center" wrapText="1"/>
    </xf>
    <xf numFmtId="0" fontId="24" fillId="6" borderId="65" xfId="0" applyFont="1" applyFill="1" applyBorder="1" applyAlignment="1">
      <alignment horizontal="center" vertical="center" wrapText="1"/>
    </xf>
    <xf numFmtId="169" fontId="24" fillId="0" borderId="0" xfId="20" applyNumberFormat="1" applyFont="1" applyFill="1" applyBorder="1" applyAlignment="1">
      <alignment horizontal="center" vertical="center" wrapText="1"/>
    </xf>
    <xf numFmtId="0" fontId="24" fillId="10" borderId="83" xfId="0" applyFont="1" applyFill="1" applyBorder="1" applyAlignment="1">
      <alignment horizontal="center" vertical="center" wrapText="1"/>
    </xf>
    <xf numFmtId="0" fontId="24" fillId="10" borderId="41" xfId="0" applyFont="1" applyFill="1" applyBorder="1" applyAlignment="1">
      <alignment horizontal="center" vertical="center" wrapText="1"/>
    </xf>
    <xf numFmtId="0" fontId="24" fillId="10" borderId="84" xfId="0" applyFont="1" applyFill="1" applyBorder="1" applyAlignment="1">
      <alignment horizontal="center" vertical="center" wrapText="1"/>
    </xf>
    <xf numFmtId="0" fontId="24" fillId="2" borderId="83" xfId="0" applyFont="1" applyFill="1" applyBorder="1" applyAlignment="1">
      <alignment horizontal="center" vertical="center" wrapText="1"/>
    </xf>
    <xf numFmtId="0" fontId="24" fillId="2" borderId="41" xfId="0" applyFont="1" applyFill="1" applyBorder="1" applyAlignment="1">
      <alignment horizontal="center" vertical="center" wrapText="1"/>
    </xf>
    <xf numFmtId="0" fontId="24" fillId="2" borderId="8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24" fillId="3" borderId="85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 wrapText="1"/>
    </xf>
    <xf numFmtId="0" fontId="42" fillId="5" borderId="4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 wrapText="1"/>
    </xf>
    <xf numFmtId="0" fontId="42" fillId="3" borderId="12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2" fillId="5" borderId="27" xfId="0" applyFont="1" applyFill="1" applyBorder="1" applyAlignment="1">
      <alignment horizontal="center" vertical="center" wrapText="1"/>
    </xf>
    <xf numFmtId="0" fontId="42" fillId="5" borderId="30" xfId="0" applyFont="1" applyFill="1" applyBorder="1" applyAlignment="1">
      <alignment horizontal="center" vertical="center" wrapText="1"/>
    </xf>
    <xf numFmtId="0" fontId="42" fillId="5" borderId="29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9" xfId="0" applyFont="1" applyFill="1" applyBorder="1" applyAlignment="1">
      <alignment horizontal="center" vertical="center" wrapText="1"/>
    </xf>
    <xf numFmtId="0" fontId="42" fillId="5" borderId="3" xfId="0" applyFont="1" applyFill="1" applyBorder="1" applyAlignment="1">
      <alignment horizontal="center" vertical="center" wrapText="1"/>
    </xf>
    <xf numFmtId="0" fontId="42" fillId="4" borderId="8" xfId="0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center" vertical="center" wrapText="1"/>
    </xf>
    <xf numFmtId="0" fontId="42" fillId="2" borderId="11" xfId="0" applyFont="1" applyFill="1" applyBorder="1" applyAlignment="1">
      <alignment horizontal="center" vertical="center" wrapText="1"/>
    </xf>
    <xf numFmtId="0" fontId="42" fillId="2" borderId="12" xfId="0" applyFont="1" applyFill="1" applyBorder="1" applyAlignment="1">
      <alignment horizontal="center" vertical="center" wrapText="1"/>
    </xf>
    <xf numFmtId="0" fontId="42" fillId="8" borderId="8" xfId="0" applyFont="1" applyFill="1" applyBorder="1" applyAlignment="1">
      <alignment horizontal="center" vertical="center" wrapText="1"/>
    </xf>
    <xf numFmtId="0" fontId="42" fillId="6" borderId="2" xfId="0" applyFont="1" applyFill="1" applyBorder="1" applyAlignment="1">
      <alignment horizontal="center" vertical="center" wrapText="1"/>
    </xf>
    <xf numFmtId="0" fontId="42" fillId="6" borderId="45" xfId="0" applyFont="1" applyFill="1" applyBorder="1" applyAlignment="1">
      <alignment horizontal="center" vertical="center" wrapText="1"/>
    </xf>
    <xf numFmtId="0" fontId="42" fillId="6" borderId="46" xfId="0" applyFont="1" applyFill="1" applyBorder="1" applyAlignment="1">
      <alignment horizontal="center" vertical="center" wrapText="1"/>
    </xf>
    <xf numFmtId="0" fontId="42" fillId="6" borderId="47" xfId="0" applyFont="1" applyFill="1" applyBorder="1" applyAlignment="1">
      <alignment horizontal="center" vertical="center" wrapText="1"/>
    </xf>
    <xf numFmtId="0" fontId="42" fillId="6" borderId="39" xfId="0" applyFont="1" applyFill="1" applyBorder="1" applyAlignment="1">
      <alignment horizontal="center" vertical="center" wrapText="1"/>
    </xf>
    <xf numFmtId="0" fontId="42" fillId="6" borderId="48" xfId="0" applyFont="1" applyFill="1" applyBorder="1" applyAlignment="1">
      <alignment horizontal="center" vertical="center" wrapText="1"/>
    </xf>
    <xf numFmtId="0" fontId="42" fillId="2" borderId="52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4" borderId="10" xfId="0" applyFont="1" applyFill="1" applyBorder="1" applyAlignment="1">
      <alignment horizontal="center" vertical="center" wrapText="1"/>
    </xf>
    <xf numFmtId="0" fontId="42" fillId="4" borderId="11" xfId="0" applyFont="1" applyFill="1" applyBorder="1" applyAlignment="1">
      <alignment horizontal="center" vertical="center" wrapText="1"/>
    </xf>
    <xf numFmtId="0" fontId="42" fillId="4" borderId="12" xfId="0" applyFont="1" applyFill="1" applyBorder="1" applyAlignment="1">
      <alignment horizontal="center" vertical="center" wrapText="1"/>
    </xf>
    <xf numFmtId="0" fontId="42" fillId="8" borderId="10" xfId="0" applyFont="1" applyFill="1" applyBorder="1" applyAlignment="1">
      <alignment horizontal="center" vertical="center" wrapText="1"/>
    </xf>
    <xf numFmtId="0" fontId="42" fillId="8" borderId="11" xfId="0" applyFont="1" applyFill="1" applyBorder="1" applyAlignment="1">
      <alignment horizontal="center" vertical="center" wrapText="1"/>
    </xf>
    <xf numFmtId="0" fontId="42" fillId="8" borderId="12" xfId="0" applyFont="1" applyFill="1" applyBorder="1" applyAlignment="1">
      <alignment horizontal="center" vertical="center" wrapText="1"/>
    </xf>
    <xf numFmtId="0" fontId="42" fillId="6" borderId="6" xfId="0" applyFont="1" applyFill="1" applyBorder="1" applyAlignment="1">
      <alignment horizontal="center" vertical="center" wrapText="1"/>
    </xf>
    <xf numFmtId="0" fontId="42" fillId="6" borderId="0" xfId="0" applyFont="1" applyFill="1" applyAlignment="1">
      <alignment horizontal="center" vertical="center" wrapText="1"/>
    </xf>
    <xf numFmtId="0" fontId="42" fillId="6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51" fillId="0" borderId="23" xfId="0" applyFont="1" applyBorder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0" fontId="24" fillId="2" borderId="52" xfId="0" applyFont="1" applyFill="1" applyBorder="1" applyAlignment="1">
      <alignment horizontal="center" vertical="center" wrapText="1"/>
    </xf>
    <xf numFmtId="0" fontId="24" fillId="5" borderId="66" xfId="0" applyFont="1" applyFill="1" applyBorder="1" applyAlignment="1">
      <alignment horizontal="center" vertical="center" wrapText="1"/>
    </xf>
    <xf numFmtId="0" fontId="24" fillId="5" borderId="52" xfId="0" applyFont="1" applyFill="1" applyBorder="1" applyAlignment="1">
      <alignment horizontal="center" vertical="center" wrapText="1"/>
    </xf>
    <xf numFmtId="0" fontId="24" fillId="5" borderId="68" xfId="0" applyFont="1" applyFill="1" applyBorder="1" applyAlignment="1">
      <alignment horizontal="center" vertical="center" wrapText="1"/>
    </xf>
    <xf numFmtId="0" fontId="24" fillId="5" borderId="69" xfId="0" applyFont="1" applyFill="1" applyBorder="1" applyAlignment="1">
      <alignment horizontal="center" vertical="center" wrapText="1"/>
    </xf>
    <xf numFmtId="0" fontId="24" fillId="5" borderId="51" xfId="0" applyFont="1" applyFill="1" applyBorder="1" applyAlignment="1">
      <alignment horizontal="center" vertical="center" wrapText="1"/>
    </xf>
    <xf numFmtId="169" fontId="25" fillId="0" borderId="14" xfId="25" applyNumberFormat="1" applyFont="1" applyBorder="1" applyAlignment="1">
      <alignment horizontal="center" vertical="center"/>
    </xf>
    <xf numFmtId="169" fontId="25" fillId="0" borderId="18" xfId="25" applyNumberFormat="1" applyFont="1" applyBorder="1" applyAlignment="1">
      <alignment horizontal="center" vertical="center"/>
    </xf>
    <xf numFmtId="169" fontId="25" fillId="0" borderId="15" xfId="25" applyNumberFormat="1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6" borderId="18" xfId="0" applyFont="1" applyFill="1" applyBorder="1" applyAlignment="1">
      <alignment horizontal="center" vertical="center"/>
    </xf>
    <xf numFmtId="0" fontId="23" fillId="6" borderId="15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52" fillId="4" borderId="14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5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8" xfId="0" applyFont="1" applyFill="1" applyBorder="1" applyAlignment="1">
      <alignment horizontal="center" vertical="center" wrapText="1"/>
    </xf>
    <xf numFmtId="0" fontId="23" fillId="8" borderId="15" xfId="0" applyFont="1" applyFill="1" applyBorder="1" applyAlignment="1">
      <alignment horizontal="center" vertical="center" wrapText="1"/>
    </xf>
    <xf numFmtId="0" fontId="83" fillId="0" borderId="14" xfId="25" applyFont="1" applyBorder="1" applyAlignment="1">
      <alignment horizontal="center" vertical="center"/>
    </xf>
    <xf numFmtId="0" fontId="83" fillId="0" borderId="18" xfId="25" applyFont="1" applyBorder="1" applyAlignment="1">
      <alignment horizontal="center" vertical="center"/>
    </xf>
    <xf numFmtId="0" fontId="83" fillId="0" borderId="15" xfId="25" applyFont="1" applyBorder="1" applyAlignment="1">
      <alignment horizontal="center" vertical="center"/>
    </xf>
    <xf numFmtId="0" fontId="23" fillId="6" borderId="14" xfId="25" applyFont="1" applyFill="1" applyBorder="1" applyAlignment="1">
      <alignment horizontal="center" vertical="center"/>
    </xf>
    <xf numFmtId="0" fontId="23" fillId="6" borderId="18" xfId="25" applyFont="1" applyFill="1" applyBorder="1" applyAlignment="1">
      <alignment horizontal="center" vertical="center"/>
    </xf>
    <xf numFmtId="0" fontId="23" fillId="6" borderId="15" xfId="25" applyFont="1" applyFill="1" applyBorder="1" applyAlignment="1">
      <alignment horizontal="center" vertical="center"/>
    </xf>
    <xf numFmtId="0" fontId="29" fillId="0" borderId="0" xfId="25" applyFont="1" applyAlignment="1">
      <alignment horizontal="center" vertical="center"/>
    </xf>
    <xf numFmtId="0" fontId="23" fillId="0" borderId="17" xfId="25" applyFont="1" applyBorder="1" applyAlignment="1">
      <alignment horizontal="center" vertical="center"/>
    </xf>
    <xf numFmtId="0" fontId="23" fillId="0" borderId="16" xfId="25" applyFont="1" applyBorder="1" applyAlignment="1">
      <alignment horizontal="center" vertical="center"/>
    </xf>
    <xf numFmtId="0" fontId="52" fillId="4" borderId="14" xfId="25" applyFont="1" applyFill="1" applyBorder="1" applyAlignment="1">
      <alignment horizontal="center" vertical="center" wrapText="1"/>
    </xf>
    <xf numFmtId="0" fontId="52" fillId="4" borderId="18" xfId="25" applyFont="1" applyFill="1" applyBorder="1" applyAlignment="1">
      <alignment horizontal="center" vertical="center" wrapText="1"/>
    </xf>
    <xf numFmtId="0" fontId="23" fillId="4" borderId="18" xfId="25" applyFont="1" applyFill="1" applyBorder="1" applyAlignment="1">
      <alignment horizontal="center" vertical="center" wrapText="1"/>
    </xf>
    <xf numFmtId="0" fontId="23" fillId="4" borderId="15" xfId="25" applyFont="1" applyFill="1" applyBorder="1" applyAlignment="1">
      <alignment horizontal="center" vertical="center" wrapText="1"/>
    </xf>
    <xf numFmtId="0" fontId="23" fillId="2" borderId="14" xfId="25" applyFont="1" applyFill="1" applyBorder="1" applyAlignment="1">
      <alignment horizontal="center" vertical="center" wrapText="1"/>
    </xf>
    <xf numFmtId="0" fontId="23" fillId="2" borderId="18" xfId="25" applyFont="1" applyFill="1" applyBorder="1" applyAlignment="1">
      <alignment horizontal="center" vertical="center" wrapText="1"/>
    </xf>
    <xf numFmtId="0" fontId="23" fillId="2" borderId="15" xfId="25" applyFont="1" applyFill="1" applyBorder="1" applyAlignment="1">
      <alignment horizontal="center" vertical="center" wrapText="1"/>
    </xf>
    <xf numFmtId="0" fontId="23" fillId="8" borderId="14" xfId="25" applyFont="1" applyFill="1" applyBorder="1" applyAlignment="1">
      <alignment horizontal="center" vertical="center" wrapText="1"/>
    </xf>
    <xf numFmtId="0" fontId="23" fillId="8" borderId="18" xfId="25" applyFont="1" applyFill="1" applyBorder="1" applyAlignment="1">
      <alignment horizontal="center" vertical="center" wrapText="1"/>
    </xf>
    <xf numFmtId="0" fontId="23" fillId="8" borderId="15" xfId="25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left" vertical="center"/>
    </xf>
    <xf numFmtId="165" fontId="11" fillId="0" borderId="31" xfId="0" applyNumberFormat="1" applyFont="1" applyFill="1" applyBorder="1" applyAlignment="1">
      <alignment horizontal="center" vertical="center"/>
    </xf>
    <xf numFmtId="9" fontId="25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165" fontId="25" fillId="0" borderId="8" xfId="20" applyNumberFormat="1" applyFont="1" applyBorder="1" applyAlignment="1">
      <alignment horizontal="right" vertical="center" shrinkToFit="1"/>
    </xf>
    <xf numFmtId="165" fontId="11" fillId="0" borderId="31" xfId="0" applyNumberFormat="1" applyFont="1" applyFill="1" applyBorder="1" applyAlignment="1">
      <alignment vertical="center"/>
    </xf>
    <xf numFmtId="169" fontId="11" fillId="0" borderId="31" xfId="3" applyNumberFormat="1" applyFont="1" applyFill="1" applyBorder="1" applyAlignment="1">
      <alignment horizontal="left" vertical="center"/>
    </xf>
  </cellXfs>
  <cellStyles count="29">
    <cellStyle name="Comma" xfId="3" builtinId="3"/>
    <cellStyle name="Comma [0]" xfId="1" builtinId="6"/>
    <cellStyle name="Comma [0] 10" xfId="6" xr:uid="{00000000-0005-0000-0000-000002000000}"/>
    <cellStyle name="Comma [0] 13" xfId="27" xr:uid="{34CC96F2-9D48-4C31-AE62-250009CE7154}"/>
    <cellStyle name="Comma [0] 2" xfId="17" xr:uid="{00000000-0005-0000-0000-000003000000}"/>
    <cellStyle name="Comma [0] 3" xfId="18" xr:uid="{00000000-0005-0000-0000-000004000000}"/>
    <cellStyle name="Comma [0] 4" xfId="24" xr:uid="{00000000-0005-0000-0000-000005000000}"/>
    <cellStyle name="Comma 10" xfId="5" xr:uid="{00000000-0005-0000-0000-000006000000}"/>
    <cellStyle name="Comma 11 3" xfId="11" xr:uid="{00000000-0005-0000-0000-000007000000}"/>
    <cellStyle name="Comma 12" xfId="10" xr:uid="{00000000-0005-0000-0000-000008000000}"/>
    <cellStyle name="Comma 2" xfId="15" xr:uid="{00000000-0005-0000-0000-000009000000}"/>
    <cellStyle name="Comma 2 3 2 2" xfId="28" xr:uid="{AC629337-B97B-473D-99B9-82E6B2E8B7D1}"/>
    <cellStyle name="Comma 3" xfId="16" xr:uid="{00000000-0005-0000-0000-00000A000000}"/>
    <cellStyle name="Comma 4" xfId="20" xr:uid="{00000000-0005-0000-0000-00000B000000}"/>
    <cellStyle name="Comma 5" xfId="23" xr:uid="{00000000-0005-0000-0000-00000C000000}"/>
    <cellStyle name="Normal" xfId="0" builtinId="0"/>
    <cellStyle name="Normal 110" xfId="8" xr:uid="{00000000-0005-0000-0000-00000E000000}"/>
    <cellStyle name="Normal 14" xfId="19" xr:uid="{00000000-0005-0000-0000-00000F000000}"/>
    <cellStyle name="Normal 2" xfId="4" xr:uid="{00000000-0005-0000-0000-000010000000}"/>
    <cellStyle name="Normal 2 2" xfId="13" xr:uid="{00000000-0005-0000-0000-000011000000}"/>
    <cellStyle name="Normal 2 3 2 2" xfId="26" xr:uid="{FE4D62BE-FE35-4738-B033-5224E4234C8F}"/>
    <cellStyle name="Normal 3" xfId="9" xr:uid="{00000000-0005-0000-0000-000012000000}"/>
    <cellStyle name="Normal 4" xfId="14" xr:uid="{00000000-0005-0000-0000-000013000000}"/>
    <cellStyle name="Normal 4 2" xfId="7" xr:uid="{00000000-0005-0000-0000-000014000000}"/>
    <cellStyle name="Normal 5" xfId="22" xr:uid="{00000000-0005-0000-0000-000015000000}"/>
    <cellStyle name="Normal 6" xfId="25" xr:uid="{00000000-0005-0000-0000-000016000000}"/>
    <cellStyle name="Percent" xfId="2" builtinId="5"/>
    <cellStyle name="Percent 2" xfId="12" xr:uid="{00000000-0005-0000-0000-000018000000}"/>
    <cellStyle name="Percent 3" xfId="21" xr:uid="{00000000-0005-0000-0000-000019000000}"/>
  </cellStyles>
  <dxfs count="0"/>
  <tableStyles count="0" defaultTableStyle="TableStyleMedium9" defaultPivotStyle="PivotStyleLight16"/>
  <colors>
    <mruColors>
      <color rgb="FFFF66CC"/>
      <color rgb="FFFF00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kniks%20SIDRAP\ANALISA%20BARU\Bina%20Marga\5-ALAT%20-%20Cop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TazMania\Smoke%20Project\Penawaran%202005\cv%20buyung\paket%207\kaluku\1-BOQ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HAM-FIKA\polewali\13%20MILYAR\RAB%20PEMELIHARAAN%20BERKALA%20JLN%20BTS%20KOTA%20POLEWALI%20-%20BTS%20PROV%20SUL%20S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COMPANY\Proyek%20-%202007\PU-LUTRA\RAB%20ASMAH-TJ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Muju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Rehab.%20Balai%20Ni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ajoa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ee%202014\RAB%20VILLA%20CAMBA-CAMBANG%20-%20(EE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%20RAB\Daftar%20Analisa%20K%20barru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5-RAB%20KEJARI%20MAMASA-ANI%20KURANGI%20V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ne\RABPJK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DAM-PANGKEP%20(TOMBOLO)\D-STIMULUS(PEM.SARANA%20AIR%20BAKU%20TOMBOLO)\PERENCANAAN%20PPI%20PANGKEP\RAB%20PEMBANGUNAN%20PPI%20PANGK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PEMBOBOTAN%20DERMAGA\limbangan\limbangan%20%20CV.agung%20MANDIR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My%20Document%20Windat\BONE\PASAR%20BONE%2008\GUDANG%20BONE%202009\JUNI\Juli\RAB%20GUDANG%20BONE%20FILE\Gudang%20Uloe%20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%20Windat\MAKASSAR\BKPMD\RAB%20BKPMD\Kakanta%20Project\File%20Penawaran\2010\Tender%20UNM\TENDER%20PASCASARJANA\PT.%20KAKANTA\RAB%20Tawar%2022%2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\LABORATORIUM%20PERIKANAN\RAB%20PERIKANAN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ender\TIM-EST\budi\TenderJalan\CM-Ja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AIN\Pujananting\AHSP%202015%20PARE%20NON%20PP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HS2006\Copy%20of%20PAHS2006%20R2%20draft(MIS)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ivisi%2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02-Sadli\Data%202006\RSUD\PEMELIHARAAN%20RSU\rumah%20dokt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AM-PANGKEP%20(TOMBOLO)\D-STIMULUS(PEM.SARANA%20AIR%20BAKU%20TOMBOLO)\PERENCANAAN%20PPI%20PANGKEP\RAB%20PEMBANGUNAN%20PPI%20PANGKE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ocuments%20and%20Settings\mjc\My%20Documents\PASAR%20SIDRAP\Dokumen%20Lelang%20Pasar%20Pangkajene\1-RAB%20REVISI-PANG\4-rab%20rubah%20hrg%20bahan%20pasar%20pangkajene-contigenc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la'e\c\My%20Documents\My%20Files%20BeeT\maros\pbb\aspal%20A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ocuments%20and%20Settings\Start%20Menu\INSTANT-ACCESS\My%20Documents\RSU%20Enrekang%202005\maros\pbb\aspal%20A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0\Data%20Untuk%20Dinas\RAB%20SARANA%20DAN%20PRASARANA%20APARATUR\Minimarke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%20dewi\2017\dinas%20perikanan\gudang%20penyimpanan%20barang\DATA%202013\PERHUB.%202013\perhub%202013\rambu%202013\anggaran%20perubahan\penawarana%20perubahan\HALTE%20NISAR\HALTE%20-%20PENAWA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tul\My%20Documents\pagar_ruma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ser\My%20Documents\LAP%20HARGA%20SAT\ANL%20HARGA%20SATUAN\EXCEL-PAHS\PANDUAN%20BQ\EE%20FO%20Pamanukan\3-DI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UMPULAN%20ANALISA%20HARGA\MY%20PROJECT\PT.%20NARAYANA%20ADICIPTA\FAJAR%20MAKMUR\PENAWARAN%20KARAWA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KASSAR\TRIBUN\RAB-TRIBU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esktop\RRI\DATA%20KOMPUTER%20IWAN%20(D)%2027%20Juni%2012\My%20Document%20Windat\Perkebunan%20SULBAR\GOWA\GOWA%202010\Kantor%20DPRD%20Gowa%202010\cAmpUr2\Pekerjaan%20Penyelesaian%20B1\File%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data%202012\perikanan%202012\PENAWARAN%20H.MIMING\irigasi%20tmini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k-d8c40027609\data%20(d)\Documents%20and%20Settings\User\Favorites\My%20Documents\majid\Perumahan%20Borong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mong-computer\c\A.%20YASA%20INTI%20CONSULTANT\A.%20PROYEK%20KONSULTAN\My%20Documents\Skripsi%20Na%20Chelly\rab\Data\RAB2000\JULI%20(SD)\My%20Documents\Pengkerikilan%20Jalan%20Desa%20(P3DT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C%20DAK%202010\MC%20CV%20ADAMAL%20DAK%202010%20Laporan.xlsx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PBDESA%202025-PAJAK%20BARU\Realisasi%20ABPDesa%202025%20ACC%20@%20-%20Copy\08.REALISASI%20PERUBAHAN.SESUAI%20PAJAK%20BARU.xlsx" TargetMode="External"/><Relationship Id="rId1" Type="http://schemas.openxmlformats.org/officeDocument/2006/relationships/externalLinkPath" Target="08.REALISASI%20PERUBAHAN.SESUAI%20PAJAK%20BARU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APBDESA%202025/02.%20PERUBAHAN/08.REALISASI%20PERUBAHAN.jadi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PBDESA%202025-PAJAK%20BARU\02.%20PERUBAHAN\08.REALISASI%20PERUBAHAN.SESUAI%20PAJAK%20BAR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PBDESA%202025/02.%20PERUBAHAN/08.REALISASI.%20PERUBAHA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LPM%20Boriappaka\PDAM-PANGKEP%20(TOMBOLO)\D-STIMULUS(PEM.SARANA%20AIR%20BAKU%20TOMBOLO)\PERENCANAAN%20PPI%20PANGKEP\rev_RAB%20PEMBANGUNAN%20PPI%20PANGKE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antor%20D\OP%20II\Documents%20and%20Settings\171208\My%20Documents\RAB%20Batangmata\TIM-EST\budi\TenderJalan\CM-Jal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\PROYEK%20JALAN%20KUPANG\Documents%20and%20Settings\User\Local%20Settings\Temp\Temporary%20Directory%201%20for%20TubanBulu.zip\MERR\Skedul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NTAI%20APATANAH\My%20Documents\reog\teka\SOLO-3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7\DINAS%20PARIWISATA\gambar\PENAWARAN-2010\JN_2010\RAB%20LUTIM-2010\JEMBT.LAUMPANG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alatan (3)"/>
      <sheetName val="Peralatan"/>
      <sheetName val="Peralatan (2)"/>
    </sheetNames>
    <sheetDataSet>
      <sheetData sheetId="0"/>
      <sheetData sheetId="1">
        <row r="26">
          <cell r="BO26" t="str">
            <v xml:space="preserve"> Alat Baru</v>
          </cell>
        </row>
        <row r="27">
          <cell r="BO27">
            <v>1450000000</v>
          </cell>
        </row>
        <row r="46">
          <cell r="BO46" t="str">
            <v xml:space="preserve"> Alat Baru</v>
          </cell>
        </row>
        <row r="47">
          <cell r="BO47">
            <v>450000000</v>
          </cell>
        </row>
        <row r="66">
          <cell r="BO66" t="str">
            <v xml:space="preserve"> Alat Baru</v>
          </cell>
        </row>
        <row r="67">
          <cell r="BO67">
            <v>75000000</v>
          </cell>
        </row>
        <row r="86">
          <cell r="BO86" t="str">
            <v xml:space="preserve"> Alat Baru</v>
          </cell>
        </row>
        <row r="87">
          <cell r="BO87">
            <v>475000000</v>
          </cell>
        </row>
        <row r="106">
          <cell r="BO106" t="str">
            <v xml:space="preserve"> Alat Baru</v>
          </cell>
        </row>
        <row r="107">
          <cell r="BO107">
            <v>65000000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100000000</v>
          </cell>
        </row>
        <row r="186">
          <cell r="BO186" t="str">
            <v xml:space="preserve"> Alat Baru</v>
          </cell>
        </row>
        <row r="187">
          <cell r="BO187">
            <v>170000000</v>
          </cell>
        </row>
        <row r="206">
          <cell r="BO206" t="str">
            <v xml:space="preserve"> Alat Baru</v>
          </cell>
        </row>
        <row r="207">
          <cell r="BO207">
            <v>1300000000</v>
          </cell>
        </row>
        <row r="226">
          <cell r="BO226" t="str">
            <v xml:space="preserve"> Alat Baru</v>
          </cell>
        </row>
        <row r="227">
          <cell r="BO227">
            <v>175000000</v>
          </cell>
        </row>
        <row r="246">
          <cell r="BO246" t="str">
            <v xml:space="preserve"> Alat Baru</v>
          </cell>
        </row>
        <row r="247">
          <cell r="BO247">
            <v>125000000</v>
          </cell>
        </row>
        <row r="266">
          <cell r="BO266" t="str">
            <v xml:space="preserve"> Alat Baru</v>
          </cell>
        </row>
        <row r="267">
          <cell r="BO267">
            <v>300000000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125000000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225000000</v>
          </cell>
        </row>
        <row r="386">
          <cell r="BO386" t="str">
            <v xml:space="preserve"> Alat Baru</v>
          </cell>
        </row>
        <row r="387">
          <cell r="BO387">
            <v>350000000</v>
          </cell>
        </row>
        <row r="406">
          <cell r="BO406" t="str">
            <v xml:space="preserve"> Alat Baru</v>
          </cell>
        </row>
        <row r="407">
          <cell r="BO407">
            <v>5000000</v>
          </cell>
        </row>
        <row r="426">
          <cell r="BO426" t="str">
            <v xml:space="preserve"> Alat Baru</v>
          </cell>
        </row>
        <row r="427">
          <cell r="BO427">
            <v>950000000</v>
          </cell>
        </row>
        <row r="446">
          <cell r="BO446" t="str">
            <v xml:space="preserve"> Alat Baru</v>
          </cell>
        </row>
        <row r="447">
          <cell r="BO447">
            <v>5500000</v>
          </cell>
        </row>
        <row r="466">
          <cell r="BO466" t="str">
            <v xml:space="preserve"> Alat Baru</v>
          </cell>
        </row>
        <row r="467">
          <cell r="BO467">
            <v>70000000</v>
          </cell>
        </row>
        <row r="486">
          <cell r="BO486" t="str">
            <v xml:space="preserve"> Alat Baru</v>
          </cell>
        </row>
        <row r="487">
          <cell r="BO487">
            <v>100000000</v>
          </cell>
        </row>
        <row r="506">
          <cell r="BO506" t="str">
            <v xml:space="preserve"> Alat Baru</v>
          </cell>
        </row>
        <row r="507">
          <cell r="BO507">
            <v>10000000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100000000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2">
        <row r="26">
          <cell r="R26" t="str">
            <v xml:space="preserve"> Alat Baru</v>
          </cell>
        </row>
        <row r="27">
          <cell r="R27">
            <v>115000000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fo"/>
      <sheetName val="maj"/>
      <sheetName val="%"/>
      <sheetName val="Peta Quarry"/>
      <sheetName val="Lalu Lintas"/>
      <sheetName val="Jembatan Sementara"/>
      <sheetName val="s pen"/>
      <sheetName val="Rek"/>
      <sheetName val="Rek (2)"/>
      <sheetName val="kuan"/>
      <sheetName val="daftar Rek"/>
      <sheetName val="BOQ"/>
      <sheetName val="BOQ (2)"/>
      <sheetName val="BOQ (3)"/>
      <sheetName val="Mob"/>
      <sheetName val="D2"/>
      <sheetName val="D3"/>
      <sheetName val="D4"/>
      <sheetName val="D5"/>
      <sheetName val="D6"/>
      <sheetName val="D6 (2)"/>
      <sheetName val="D7(1)"/>
      <sheetName val="D7(2)"/>
      <sheetName val="D7(3)"/>
      <sheetName val="D8(1)"/>
      <sheetName val="D8(2)"/>
      <sheetName val="D9"/>
      <sheetName val="D10 LS-Rutin"/>
      <sheetName val="5-Alt rekap"/>
      <sheetName val="5-Alt(1)"/>
      <sheetName val="5-Alt (2)"/>
      <sheetName val="s"/>
      <sheetName val="subMPU"/>
      <sheetName val="TKDN"/>
      <sheetName val="4-sewa alat"/>
      <sheetName val="4-Basic Price"/>
      <sheetName val="4-Anl Quarry"/>
      <sheetName val="Phit.MobAlat"/>
      <sheetName val="4-form harga bhn"/>
      <sheetName val="D6 ASBT"/>
      <sheetName val="D10 Kuantitas"/>
      <sheetName val="D10 Anl HSP"/>
      <sheetName val="AggHls&amp;Ks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H30">
            <v>12781798631.286753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">
          <cell r="AW9">
            <v>467707.26136056206</v>
          </cell>
        </row>
        <row r="12">
          <cell r="AW12">
            <v>141719.99416040618</v>
          </cell>
        </row>
        <row r="13">
          <cell r="AW13">
            <v>129797.6224252492</v>
          </cell>
        </row>
        <row r="14">
          <cell r="AW14">
            <v>546067.51894643786</v>
          </cell>
        </row>
        <row r="15">
          <cell r="AW15">
            <v>218560.56208522132</v>
          </cell>
        </row>
        <row r="16">
          <cell r="AW16">
            <v>379497.98598497483</v>
          </cell>
        </row>
        <row r="17">
          <cell r="AW17">
            <v>421162.09322059539</v>
          </cell>
        </row>
        <row r="18">
          <cell r="AW18">
            <v>399232.71211119508</v>
          </cell>
        </row>
        <row r="20">
          <cell r="AW20">
            <v>364800.16636393958</v>
          </cell>
        </row>
        <row r="23">
          <cell r="AW23">
            <v>177213.55390979</v>
          </cell>
        </row>
        <row r="24">
          <cell r="AW24">
            <v>319006.52024057799</v>
          </cell>
        </row>
        <row r="30">
          <cell r="AW30">
            <v>206606.7081541408</v>
          </cell>
        </row>
        <row r="34">
          <cell r="AW34">
            <v>1146374.1555954497</v>
          </cell>
        </row>
        <row r="36">
          <cell r="AW36">
            <v>425535.28258158843</v>
          </cell>
        </row>
        <row r="38">
          <cell r="AW38">
            <v>396670.51937153604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11428.571428571429</v>
          </cell>
        </row>
        <row r="10">
          <cell r="D10" t="str">
            <v>(L03)</v>
          </cell>
          <cell r="E10" t="str">
            <v>Jam</v>
          </cell>
          <cell r="F10">
            <v>12857.142857142857</v>
          </cell>
        </row>
        <row r="11">
          <cell r="D11" t="str">
            <v>(L04)</v>
          </cell>
          <cell r="E11" t="str">
            <v>Jam</v>
          </cell>
          <cell r="F11">
            <v>12857.142857142857</v>
          </cell>
        </row>
        <row r="12">
          <cell r="D12" t="str">
            <v>(L05)</v>
          </cell>
          <cell r="E12" t="str">
            <v>Jam</v>
          </cell>
          <cell r="F12">
            <v>11428.571428571429</v>
          </cell>
        </row>
        <row r="13">
          <cell r="D13" t="str">
            <v>(L06)</v>
          </cell>
          <cell r="E13" t="str">
            <v>Jam</v>
          </cell>
          <cell r="F13">
            <v>11428.571428571429</v>
          </cell>
        </row>
        <row r="14">
          <cell r="D14" t="str">
            <v>(L07)</v>
          </cell>
          <cell r="E14" t="str">
            <v>Jam</v>
          </cell>
          <cell r="F14">
            <v>11428.571428571429</v>
          </cell>
        </row>
        <row r="15">
          <cell r="D15" t="str">
            <v>(L08)</v>
          </cell>
          <cell r="E15" t="str">
            <v>Jam</v>
          </cell>
          <cell r="F15">
            <v>12857.142857142857</v>
          </cell>
        </row>
        <row r="16">
          <cell r="D16" t="str">
            <v>(L09)</v>
          </cell>
          <cell r="E16" t="str">
            <v>Jam</v>
          </cell>
          <cell r="F16">
            <v>11428.571428571429</v>
          </cell>
        </row>
        <row r="17">
          <cell r="D17" t="str">
            <v>(L10)</v>
          </cell>
          <cell r="E17" t="str">
            <v>Jam</v>
          </cell>
          <cell r="F17">
            <v>12142.857142857143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 ASRAMA"/>
      <sheetName val="AnLisa"/>
      <sheetName val="harga"/>
      <sheetName val="SCHEDULE"/>
      <sheetName val="BACKUP"/>
      <sheetName val="Asrama Master"/>
      <sheetName val="Total"/>
      <sheetName val="RKP"/>
      <sheetName val="RAB"/>
      <sheetName val="Analisa"/>
      <sheetName val="-Harga"/>
      <sheetName val="Besi"/>
      <sheetName val="VOLUME"/>
      <sheetName val="@$anTy"/>
    </sheetNames>
    <sheetDataSet>
      <sheetData sheetId="0">
        <row r="3">
          <cell r="B3" t="str">
            <v>REKAPITULASI DAFTAR KUANTITAS DAN HARGA</v>
          </cell>
        </row>
        <row r="5">
          <cell r="B5" t="str">
            <v xml:space="preserve"> KEGIATAN</v>
          </cell>
          <cell r="D5" t="str">
            <v>: PEMBANGUNAN SARANA &amp; PRASARANA PENDIDIKAN DAN KEBUDAYAAN</v>
          </cell>
        </row>
        <row r="6">
          <cell r="D6" t="str">
            <v xml:space="preserve">  KABUPATEN LUWU UTARA T.A. 2007</v>
          </cell>
        </row>
        <row r="7">
          <cell r="B7" t="str">
            <v xml:space="preserve"> PEKERJAAN</v>
          </cell>
          <cell r="D7" t="str">
            <v>: PEMBANGUNAN ASRAMA MAHASISWA LUWU UTARA</v>
          </cell>
        </row>
        <row r="8">
          <cell r="B8" t="str">
            <v xml:space="preserve"> LOKASI </v>
          </cell>
          <cell r="D8" t="str">
            <v>: KOTA MAKASSAR</v>
          </cell>
        </row>
        <row r="10">
          <cell r="B10" t="str">
            <v>NO.</v>
          </cell>
          <cell r="C10" t="str">
            <v>URAIAN JENIS PEKERJAAN</v>
          </cell>
          <cell r="G10" t="str">
            <v>JUMLAH HARGA</v>
          </cell>
        </row>
        <row r="13">
          <cell r="B13" t="str">
            <v>I</v>
          </cell>
          <cell r="C13" t="str">
            <v xml:space="preserve"> PEKERJAAN PENDAHULUAN</v>
          </cell>
          <cell r="G13">
            <v>2850000</v>
          </cell>
        </row>
        <row r="14">
          <cell r="B14" t="str">
            <v>II</v>
          </cell>
          <cell r="C14" t="str">
            <v xml:space="preserve"> PEKERJAAN TANAH / PASIR</v>
          </cell>
          <cell r="G14">
            <v>12861619.951187501</v>
          </cell>
        </row>
        <row r="15">
          <cell r="B15" t="str">
            <v>III</v>
          </cell>
          <cell r="C15" t="str">
            <v xml:space="preserve"> PEKERJAAN PONDASI, TEMBOK BATU BATA DAN BETON</v>
          </cell>
          <cell r="G15">
            <v>275927213.66568005</v>
          </cell>
        </row>
        <row r="16">
          <cell r="B16" t="str">
            <v>IV</v>
          </cell>
          <cell r="C16" t="str">
            <v>PEKERJAAN PLESTERAN</v>
          </cell>
          <cell r="G16">
            <v>27110072.451280005</v>
          </cell>
        </row>
        <row r="17">
          <cell r="B17" t="str">
            <v>V</v>
          </cell>
          <cell r="C17" t="str">
            <v xml:space="preserve"> PEKERJAAN ATAP / KAP</v>
          </cell>
          <cell r="G17">
            <v>73566197.409200013</v>
          </cell>
        </row>
        <row r="18">
          <cell r="B18" t="str">
            <v>VI</v>
          </cell>
          <cell r="C18" t="str">
            <v xml:space="preserve"> PEKERJAAN PLAFOND DAN RANGKA</v>
          </cell>
          <cell r="G18">
            <v>18250233.080000006</v>
          </cell>
        </row>
        <row r="19">
          <cell r="B19" t="str">
            <v>VII</v>
          </cell>
          <cell r="C19" t="str">
            <v xml:space="preserve"> PEKERJAAN KERAMIK</v>
          </cell>
          <cell r="G19">
            <v>65115931.592</v>
          </cell>
        </row>
        <row r="20">
          <cell r="B20" t="str">
            <v>VIII</v>
          </cell>
          <cell r="C20" t="str">
            <v xml:space="preserve"> PEKERJAAN KUSEN PINTU/JENDELA</v>
          </cell>
          <cell r="G20">
            <v>56644928</v>
          </cell>
        </row>
        <row r="21">
          <cell r="B21" t="str">
            <v>IX</v>
          </cell>
          <cell r="C21" t="str">
            <v>PEKERJAAN KUNCI, ENGSEL, GRENDEL DAN HAK ANGIN</v>
          </cell>
          <cell r="G21">
            <v>28321095</v>
          </cell>
        </row>
        <row r="22">
          <cell r="B22" t="str">
            <v>X</v>
          </cell>
          <cell r="C22" t="str">
            <v>PEKERJAAN LISTRIK</v>
          </cell>
          <cell r="G22">
            <v>21808240</v>
          </cell>
        </row>
        <row r="23">
          <cell r="B23" t="str">
            <v>XI</v>
          </cell>
          <cell r="C23" t="str">
            <v>PEKERJAAN SANITASI / PIPA</v>
          </cell>
          <cell r="G23">
            <v>19970703.007083334</v>
          </cell>
        </row>
        <row r="24">
          <cell r="B24" t="str">
            <v>XII</v>
          </cell>
          <cell r="C24" t="str">
            <v>PEKERJAAN CAT</v>
          </cell>
          <cell r="G24">
            <v>13536949.638959998</v>
          </cell>
        </row>
        <row r="25">
          <cell r="B25" t="str">
            <v>XIII</v>
          </cell>
          <cell r="C25" t="str">
            <v>PEKERJAAN LUAR GEDUNG</v>
          </cell>
          <cell r="G25">
            <v>5319618</v>
          </cell>
        </row>
        <row r="26">
          <cell r="B26" t="str">
            <v>Jumlah Harga Pekejaan A</v>
          </cell>
          <cell r="G26">
            <v>621282801.79539084</v>
          </cell>
        </row>
        <row r="27">
          <cell r="B27" t="str">
            <v>B.</v>
          </cell>
          <cell r="C27" t="str">
            <v>PEMBANGUNAN PAGAR KELILING</v>
          </cell>
        </row>
        <row r="28">
          <cell r="B28" t="str">
            <v>I</v>
          </cell>
          <cell r="C28" t="e">
            <v>#REF!</v>
          </cell>
          <cell r="G28" t="e">
            <v>#REF!</v>
          </cell>
        </row>
        <row r="29">
          <cell r="B29" t="str">
            <v>II</v>
          </cell>
          <cell r="C29" t="e">
            <v>#REF!</v>
          </cell>
          <cell r="G29" t="e">
            <v>#REF!</v>
          </cell>
        </row>
        <row r="30">
          <cell r="B30" t="str">
            <v>III</v>
          </cell>
          <cell r="C30" t="e">
            <v>#REF!</v>
          </cell>
          <cell r="G30" t="e">
            <v>#REF!</v>
          </cell>
        </row>
        <row r="31">
          <cell r="B31" t="str">
            <v>IV</v>
          </cell>
          <cell r="C31" t="e">
            <v>#REF!</v>
          </cell>
          <cell r="G31" t="e">
            <v>#REF!</v>
          </cell>
        </row>
        <row r="32">
          <cell r="B32" t="str">
            <v>Jumlah Harga Pekejaan B</v>
          </cell>
          <cell r="G32" t="e">
            <v>#REF!</v>
          </cell>
        </row>
        <row r="34">
          <cell r="B34" t="str">
            <v>A</v>
          </cell>
          <cell r="C34" t="str">
            <v>Jumlah Harga Pekerjaan  (termasuk biaya umum dan keuntungan)</v>
          </cell>
          <cell r="G34">
            <v>621282801.79539084</v>
          </cell>
        </row>
        <row r="35">
          <cell r="B35" t="str">
            <v>B</v>
          </cell>
          <cell r="C35" t="str">
            <v>Pajak Pertambahan Nilai ( PPN ) = 10% x (A)</v>
          </cell>
          <cell r="G35">
            <v>62128280.179539084</v>
          </cell>
        </row>
        <row r="36">
          <cell r="B36" t="str">
            <v>C</v>
          </cell>
          <cell r="C36" t="str">
            <v>JUMLAH  TOTAL HARGA PEKERJAAN = (A) + (B)</v>
          </cell>
          <cell r="G36">
            <v>683411081.97492993</v>
          </cell>
        </row>
        <row r="37">
          <cell r="B37" t="str">
            <v>D</v>
          </cell>
          <cell r="C37" t="str">
            <v>PEMBULATAN JUMLAH TOTAL HARGA PEKERJAAN</v>
          </cell>
          <cell r="G37">
            <v>683411000</v>
          </cell>
        </row>
        <row r="38">
          <cell r="B38" t="str">
            <v>Terbilang : Enam Ratus Delapan Puluh Tiga Juta Empat Ratus Sebelas Ribu Rupiah</v>
          </cell>
        </row>
        <row r="42">
          <cell r="F42" t="str">
            <v>Masamba,  29  Maret  2007</v>
          </cell>
        </row>
        <row r="43">
          <cell r="B43" t="str">
            <v>Diperiksa,</v>
          </cell>
        </row>
        <row r="44">
          <cell r="B44" t="str">
            <v>P P T K</v>
          </cell>
          <cell r="F44" t="str">
            <v>CV. TIDAR  JAYA</v>
          </cell>
        </row>
        <row r="50">
          <cell r="B50" t="str">
            <v>HAERUDDIN, SH</v>
          </cell>
          <cell r="F50" t="str">
            <v>Ir. MUH. SOFYAN KASO</v>
          </cell>
        </row>
        <row r="51">
          <cell r="B51" t="str">
            <v>Nip. 580 055 929</v>
          </cell>
          <cell r="F51" t="str">
            <v>Direktur</v>
          </cell>
        </row>
        <row r="52">
          <cell r="B52" t="str">
            <v>Nip. 010 170 081</v>
          </cell>
          <cell r="F52" t="str">
            <v>Nip : 010 247 987</v>
          </cell>
        </row>
      </sheetData>
      <sheetData sheetId="1"/>
      <sheetData sheetId="2"/>
      <sheetData sheetId="3">
        <row r="16">
          <cell r="F16">
            <v>30000</v>
          </cell>
        </row>
        <row r="34">
          <cell r="F34">
            <v>70000</v>
          </cell>
        </row>
        <row r="37">
          <cell r="F37">
            <v>2500</v>
          </cell>
        </row>
        <row r="52">
          <cell r="F52">
            <v>30000</v>
          </cell>
        </row>
        <row r="62">
          <cell r="F62">
            <v>7000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P8" t="str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Bahan"/>
      <sheetName val="Analisa"/>
      <sheetName val="Times"/>
      <sheetName val="Rupiah"/>
      <sheetName val="Daftar Hrg Bahan &amp; upa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"/>
      <sheetName val="Analisa"/>
      <sheetName val="Bahan"/>
      <sheetName val="Times"/>
      <sheetName val="Bahan (2)"/>
      <sheetName val="RAB (2)"/>
      <sheetName val="Daftar Hrg Bahan &amp; upah"/>
    </sheetNames>
    <sheetDataSet>
      <sheetData sheetId="0"/>
      <sheetData sheetId="1">
        <row r="57">
          <cell r="H57">
            <v>20050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AB Wae Tuo"/>
      <sheetName val="Daftar Harga"/>
      <sheetName val="Analisa K"/>
      <sheetName val="Analisa E"/>
      <sheetName val="Analisa F"/>
      <sheetName val="Times"/>
      <sheetName val="Harga Alat"/>
      <sheetName val="Huruf"/>
      <sheetName val="mc"/>
      <sheetName val="A-Alat Sewa Standart"/>
      <sheetName val="HB "/>
      <sheetName val="time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kasi 1"/>
      <sheetName val="Sheet1"/>
      <sheetName val="Sheet2"/>
      <sheetName val="Sheet3"/>
      <sheetName val="Analisa"/>
      <sheetName val="Hrg Bahan"/>
      <sheetName val="EE Villa"/>
      <sheetName val="TIME SCHEDULE"/>
      <sheetName val="Volume"/>
      <sheetName val="Sheet4"/>
    </sheetNames>
    <sheetDataSet>
      <sheetData sheetId="0"/>
      <sheetData sheetId="1"/>
      <sheetData sheetId="2"/>
      <sheetData sheetId="3"/>
      <sheetData sheetId="4">
        <row r="465">
          <cell r="M465">
            <v>156656.25</v>
          </cell>
        </row>
        <row r="511">
          <cell r="M511">
            <v>30690</v>
          </cell>
        </row>
        <row r="545">
          <cell r="M545">
            <v>16657.5</v>
          </cell>
        </row>
      </sheetData>
      <sheetData sheetId="5">
        <row r="8">
          <cell r="N8">
            <v>112500</v>
          </cell>
        </row>
        <row r="9">
          <cell r="N9">
            <v>270000</v>
          </cell>
        </row>
        <row r="14">
          <cell r="N14">
            <v>87000</v>
          </cell>
        </row>
        <row r="15">
          <cell r="N15">
            <v>112500</v>
          </cell>
        </row>
        <row r="16">
          <cell r="N16">
            <v>150000</v>
          </cell>
        </row>
        <row r="17">
          <cell r="N17">
            <v>87000</v>
          </cell>
        </row>
        <row r="20">
          <cell r="N20">
            <v>15000</v>
          </cell>
        </row>
        <row r="23">
          <cell r="N23">
            <v>550</v>
          </cell>
        </row>
        <row r="26">
          <cell r="N26">
            <v>11000000</v>
          </cell>
        </row>
        <row r="30">
          <cell r="N30">
            <v>4500000</v>
          </cell>
        </row>
        <row r="31">
          <cell r="N31">
            <v>5000000</v>
          </cell>
        </row>
        <row r="33">
          <cell r="N33">
            <v>2625000</v>
          </cell>
        </row>
        <row r="70">
          <cell r="N70">
            <v>10500</v>
          </cell>
        </row>
        <row r="88">
          <cell r="N88">
            <v>18750</v>
          </cell>
        </row>
        <row r="99">
          <cell r="N99">
            <v>23750</v>
          </cell>
        </row>
        <row r="100">
          <cell r="N100">
            <v>13750</v>
          </cell>
        </row>
        <row r="108">
          <cell r="N108">
            <v>2000</v>
          </cell>
        </row>
        <row r="122">
          <cell r="N122">
            <v>60000</v>
          </cell>
        </row>
        <row r="146">
          <cell r="N146">
            <v>150000</v>
          </cell>
        </row>
        <row r="154">
          <cell r="N154">
            <v>25000</v>
          </cell>
        </row>
        <row r="155">
          <cell r="N155">
            <v>20000</v>
          </cell>
        </row>
        <row r="157">
          <cell r="N157">
            <v>15000</v>
          </cell>
        </row>
        <row r="158">
          <cell r="N158">
            <v>14500</v>
          </cell>
        </row>
        <row r="165">
          <cell r="N165">
            <v>176500</v>
          </cell>
        </row>
        <row r="166">
          <cell r="N166">
            <v>400000</v>
          </cell>
        </row>
        <row r="169">
          <cell r="N169">
            <v>20000</v>
          </cell>
        </row>
        <row r="178">
          <cell r="N178">
            <v>80000</v>
          </cell>
        </row>
        <row r="179">
          <cell r="N179">
            <v>93000</v>
          </cell>
        </row>
        <row r="180">
          <cell r="N180">
            <v>22500</v>
          </cell>
        </row>
        <row r="181">
          <cell r="N181">
            <v>10000</v>
          </cell>
        </row>
        <row r="186">
          <cell r="N186">
            <v>15000</v>
          </cell>
        </row>
        <row r="189">
          <cell r="N189">
            <v>31500</v>
          </cell>
        </row>
        <row r="195">
          <cell r="N195">
            <v>25000</v>
          </cell>
        </row>
        <row r="200">
          <cell r="N200">
            <v>8000</v>
          </cell>
        </row>
        <row r="212">
          <cell r="N212">
            <v>13000</v>
          </cell>
        </row>
        <row r="213">
          <cell r="N213">
            <v>17000</v>
          </cell>
        </row>
        <row r="223">
          <cell r="N223">
            <v>210000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lian Tanah"/>
      <sheetName val="An.K0"/>
      <sheetName val="An.K1"/>
      <sheetName val="An.K2"/>
      <sheetName val="An.K3"/>
      <sheetName val="An.K4"/>
      <sheetName val="An.K5"/>
      <sheetName val="An.K6"/>
      <sheetName val="An.K7"/>
      <sheetName val="An.K8"/>
      <sheetName val="Alat"/>
      <sheetName val="An. Alat"/>
      <sheetName val="Daf. K"/>
      <sheetName val="Analisa Quary"/>
      <sheetName val="Daftar Bahan"/>
      <sheetName val="D. Upa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6">
          <cell r="B366" t="str">
            <v>Pengaduk beton 125 ltr - 6 HP</v>
          </cell>
        </row>
      </sheetData>
      <sheetData sheetId="9"/>
      <sheetData sheetId="10">
        <row r="5">
          <cell r="E5" t="str">
            <v>E.001</v>
          </cell>
          <cell r="F5">
            <v>700000000</v>
          </cell>
          <cell r="G5">
            <v>0.20483218564643682</v>
          </cell>
          <cell r="H5">
            <v>2.5</v>
          </cell>
          <cell r="I5">
            <v>8</v>
          </cell>
          <cell r="J5">
            <v>750</v>
          </cell>
          <cell r="K5">
            <v>6000</v>
          </cell>
          <cell r="L5">
            <v>510748.14454058622</v>
          </cell>
          <cell r="M5">
            <v>1276870.3613514656</v>
          </cell>
          <cell r="O5" t="str">
            <v>E.001</v>
          </cell>
          <cell r="P5" t="str">
            <v>Bulldozer</v>
          </cell>
          <cell r="Q5">
            <v>180</v>
          </cell>
          <cell r="R5" t="str">
            <v>HP</v>
          </cell>
          <cell r="S5" t="str">
            <v>UMUR KERJA : 8 Tahun</v>
          </cell>
        </row>
        <row r="6">
          <cell r="E6" t="str">
            <v>E.002</v>
          </cell>
          <cell r="F6">
            <v>950000000</v>
          </cell>
          <cell r="G6">
            <v>0.20483218564643682</v>
          </cell>
          <cell r="H6">
            <v>2.5</v>
          </cell>
          <cell r="I6">
            <v>8</v>
          </cell>
          <cell r="J6">
            <v>750</v>
          </cell>
          <cell r="K6">
            <v>6000</v>
          </cell>
          <cell r="L6">
            <v>578585.44301399391</v>
          </cell>
          <cell r="M6">
            <v>1446463.6075349848</v>
          </cell>
          <cell r="O6" t="str">
            <v>E.002</v>
          </cell>
          <cell r="P6" t="str">
            <v>Excavator</v>
          </cell>
          <cell r="Q6">
            <v>145</v>
          </cell>
          <cell r="R6" t="str">
            <v>HP</v>
          </cell>
          <cell r="S6" t="str">
            <v>UMUR KERJA : 8 Tahun</v>
          </cell>
        </row>
        <row r="7">
          <cell r="E7" t="str">
            <v>E.010</v>
          </cell>
          <cell r="F7">
            <v>660000000</v>
          </cell>
          <cell r="G7">
            <v>0.20483218564643682</v>
          </cell>
          <cell r="H7">
            <v>2.5</v>
          </cell>
          <cell r="I7">
            <v>8</v>
          </cell>
          <cell r="J7">
            <v>750</v>
          </cell>
          <cell r="K7">
            <v>6000</v>
          </cell>
          <cell r="L7">
            <v>453042.98765573744</v>
          </cell>
          <cell r="M7">
            <v>1132607.4691393436</v>
          </cell>
          <cell r="O7" t="str">
            <v>E.010</v>
          </cell>
          <cell r="P7" t="str">
            <v>Motor Grader</v>
          </cell>
          <cell r="Q7">
            <v>145</v>
          </cell>
          <cell r="R7" t="str">
            <v>HP</v>
          </cell>
          <cell r="S7" t="str">
            <v>UMUR KERJA : 8 Tahun</v>
          </cell>
        </row>
        <row r="8">
          <cell r="E8" t="str">
            <v>E.052</v>
          </cell>
          <cell r="F8">
            <v>520000000</v>
          </cell>
          <cell r="G8">
            <v>0.20483218564643682</v>
          </cell>
          <cell r="H8">
            <v>2.5</v>
          </cell>
          <cell r="I8">
            <v>8</v>
          </cell>
          <cell r="J8">
            <v>750</v>
          </cell>
          <cell r="K8">
            <v>6000</v>
          </cell>
          <cell r="L8">
            <v>392436.28506899276</v>
          </cell>
          <cell r="M8">
            <v>981090.7126724819</v>
          </cell>
          <cell r="O8" t="str">
            <v>E.052</v>
          </cell>
          <cell r="P8" t="str">
            <v>Loader Wheeled</v>
          </cell>
          <cell r="Q8">
            <v>145</v>
          </cell>
          <cell r="R8" t="str">
            <v>HP</v>
          </cell>
          <cell r="S8" t="str">
            <v>UMUR KERJA : 8 Tahun</v>
          </cell>
        </row>
        <row r="9">
          <cell r="E9" t="str">
            <v>E.080</v>
          </cell>
          <cell r="F9">
            <v>200000000</v>
          </cell>
          <cell r="G9">
            <v>0.18062178192763814</v>
          </cell>
          <cell r="H9">
            <v>2</v>
          </cell>
          <cell r="I9">
            <v>10</v>
          </cell>
          <cell r="J9">
            <v>600</v>
          </cell>
          <cell r="K9">
            <v>6000</v>
          </cell>
          <cell r="L9">
            <v>197116.87604866421</v>
          </cell>
          <cell r="M9">
            <v>394233.75209732843</v>
          </cell>
          <cell r="O9" t="str">
            <v>E.080</v>
          </cell>
          <cell r="P9" t="str">
            <v>Roller 3 Wheel 8-10 ton</v>
          </cell>
          <cell r="Q9">
            <v>87</v>
          </cell>
          <cell r="R9" t="str">
            <v>HP</v>
          </cell>
          <cell r="S9" t="str">
            <v>UMUR KERJA : 10 Tahun</v>
          </cell>
        </row>
        <row r="10">
          <cell r="E10" t="str">
            <v>E.082</v>
          </cell>
          <cell r="F10">
            <v>325000000</v>
          </cell>
          <cell r="G10">
            <v>0.20483218564643682</v>
          </cell>
          <cell r="H10">
            <v>2.5</v>
          </cell>
          <cell r="I10">
            <v>8</v>
          </cell>
          <cell r="J10">
            <v>750</v>
          </cell>
          <cell r="K10">
            <v>6000</v>
          </cell>
          <cell r="L10">
            <v>267630.85032024811</v>
          </cell>
          <cell r="M10">
            <v>669077.1258006203</v>
          </cell>
          <cell r="O10" t="str">
            <v>E.082</v>
          </cell>
          <cell r="P10" t="str">
            <v>Self Vibrator Roller 10 ton</v>
          </cell>
          <cell r="Q10">
            <v>110</v>
          </cell>
          <cell r="R10" t="str">
            <v>HP</v>
          </cell>
          <cell r="S10" t="str">
            <v>UMUR KERJA : 8 Tahun</v>
          </cell>
        </row>
        <row r="11">
          <cell r="E11" t="str">
            <v>E.084</v>
          </cell>
          <cell r="F11">
            <v>500000000</v>
          </cell>
          <cell r="G11">
            <v>0.18062178192763814</v>
          </cell>
          <cell r="H11">
            <v>2</v>
          </cell>
          <cell r="I11">
            <v>10</v>
          </cell>
          <cell r="J11">
            <v>600</v>
          </cell>
          <cell r="K11">
            <v>6000</v>
          </cell>
          <cell r="L11">
            <v>351430.84361143416</v>
          </cell>
          <cell r="M11">
            <v>702861.68722286832</v>
          </cell>
          <cell r="O11" t="str">
            <v>E.084</v>
          </cell>
          <cell r="P11" t="str">
            <v>Pneumatic Roller 8-15 ton</v>
          </cell>
          <cell r="Q11">
            <v>95</v>
          </cell>
          <cell r="R11" t="str">
            <v>HP</v>
          </cell>
          <cell r="S11" t="str">
            <v>UMUR KERJA : 10 Tahun</v>
          </cell>
        </row>
        <row r="12">
          <cell r="E12" t="str">
            <v>E.087</v>
          </cell>
          <cell r="F12">
            <v>160000000</v>
          </cell>
          <cell r="G12">
            <v>0.24667978105957364</v>
          </cell>
          <cell r="H12">
            <v>3.3333333333333335</v>
          </cell>
          <cell r="I12">
            <v>6</v>
          </cell>
          <cell r="J12">
            <v>1000</v>
          </cell>
          <cell r="K12">
            <v>6000</v>
          </cell>
          <cell r="L12">
            <v>75341.513447688732</v>
          </cell>
          <cell r="M12">
            <v>251138.37815896244</v>
          </cell>
          <cell r="O12" t="str">
            <v>E.087</v>
          </cell>
          <cell r="P12" t="str">
            <v>Vibrator Roller 600 kg</v>
          </cell>
          <cell r="Q12">
            <v>12</v>
          </cell>
          <cell r="R12" t="str">
            <v>HP</v>
          </cell>
          <cell r="S12" t="str">
            <v>UMUR KERJA : 6 Tahun</v>
          </cell>
        </row>
        <row r="13">
          <cell r="E13" t="str">
            <v>E.088</v>
          </cell>
          <cell r="F13">
            <v>15000000</v>
          </cell>
          <cell r="G13">
            <v>0.24667978105957364</v>
          </cell>
          <cell r="H13">
            <v>1.25</v>
          </cell>
          <cell r="I13">
            <v>6</v>
          </cell>
          <cell r="J13">
            <v>375</v>
          </cell>
          <cell r="K13">
            <v>2250</v>
          </cell>
          <cell r="L13">
            <v>19989.348537515867</v>
          </cell>
          <cell r="M13">
            <v>24986.685671894833</v>
          </cell>
          <cell r="O13" t="str">
            <v>E.088</v>
          </cell>
          <cell r="P13" t="str">
            <v>Plate Vibrator Tamper</v>
          </cell>
          <cell r="Q13">
            <v>4</v>
          </cell>
          <cell r="R13" t="str">
            <v>HP</v>
          </cell>
          <cell r="S13" t="str">
            <v>UMUR KERJA : 6 Tahun</v>
          </cell>
        </row>
        <row r="14">
          <cell r="E14" t="str">
            <v>E.089</v>
          </cell>
          <cell r="F14">
            <v>15000000</v>
          </cell>
          <cell r="G14">
            <v>0.28085403903961037</v>
          </cell>
          <cell r="H14">
            <v>1.2</v>
          </cell>
          <cell r="I14">
            <v>5</v>
          </cell>
          <cell r="J14">
            <v>360</v>
          </cell>
          <cell r="K14">
            <v>1800</v>
          </cell>
          <cell r="L14">
            <v>21682.372478952857</v>
          </cell>
          <cell r="M14">
            <v>26018.846974743428</v>
          </cell>
          <cell r="O14" t="str">
            <v>E.089</v>
          </cell>
          <cell r="P14" t="str">
            <v xml:space="preserve">Concrete Vibrator </v>
          </cell>
          <cell r="Q14">
            <v>4</v>
          </cell>
          <cell r="R14" t="str">
            <v>HP</v>
          </cell>
          <cell r="S14" t="str">
            <v>UMUR KERJA : 5 Tahun</v>
          </cell>
        </row>
        <row r="15">
          <cell r="E15" t="str">
            <v>E.154</v>
          </cell>
          <cell r="F15">
            <v>75000000</v>
          </cell>
          <cell r="G15">
            <v>0.24667978105957364</v>
          </cell>
          <cell r="H15">
            <v>3.3333333333333335</v>
          </cell>
          <cell r="I15">
            <v>6</v>
          </cell>
          <cell r="J15">
            <v>1000</v>
          </cell>
          <cell r="K15">
            <v>6000</v>
          </cell>
          <cell r="L15">
            <v>34282.841030889613</v>
          </cell>
          <cell r="M15">
            <v>114276.13676963205</v>
          </cell>
          <cell r="O15" t="str">
            <v>E.154</v>
          </cell>
          <cell r="P15" t="str">
            <v>Asphalt Sprayer Towed 400 L</v>
          </cell>
          <cell r="Q15">
            <v>6</v>
          </cell>
          <cell r="R15" t="str">
            <v>HP</v>
          </cell>
          <cell r="S15" t="str">
            <v>UMUR KERJA : 6 Tahun</v>
          </cell>
        </row>
        <row r="16">
          <cell r="E16" t="str">
            <v>E.155</v>
          </cell>
          <cell r="F16">
            <v>1400000000</v>
          </cell>
          <cell r="G16">
            <v>0.18062178192763814</v>
          </cell>
          <cell r="H16">
            <v>2</v>
          </cell>
          <cell r="I16">
            <v>10</v>
          </cell>
          <cell r="J16">
            <v>600</v>
          </cell>
          <cell r="K16">
            <v>6000</v>
          </cell>
          <cell r="L16">
            <v>813490.01640409546</v>
          </cell>
          <cell r="M16">
            <v>1626980.0328081909</v>
          </cell>
          <cell r="O16" t="str">
            <v>E.155</v>
          </cell>
          <cell r="P16" t="str">
            <v>Asphalt Mixing Plant 30 t / h</v>
          </cell>
          <cell r="Q16">
            <v>150</v>
          </cell>
          <cell r="R16" t="str">
            <v>HP</v>
          </cell>
          <cell r="S16" t="str">
            <v>UMUR KERJA : 10 Tahun</v>
          </cell>
        </row>
        <row r="17">
          <cell r="E17" t="str">
            <v>E.157</v>
          </cell>
          <cell r="F17">
            <v>400000000</v>
          </cell>
          <cell r="G17">
            <v>0.22260307571215759</v>
          </cell>
          <cell r="H17">
            <v>2.8571428571428572</v>
          </cell>
          <cell r="I17">
            <v>7</v>
          </cell>
          <cell r="J17">
            <v>857.14285714285711</v>
          </cell>
          <cell r="K17">
            <v>6000</v>
          </cell>
          <cell r="L17">
            <v>217915.26260978417</v>
          </cell>
          <cell r="M17">
            <v>622615.03602795477</v>
          </cell>
          <cell r="O17" t="str">
            <v>E.157</v>
          </cell>
          <cell r="P17" t="str">
            <v>Asphalt Finisher</v>
          </cell>
          <cell r="Q17">
            <v>60</v>
          </cell>
          <cell r="R17" t="str">
            <v>HP</v>
          </cell>
          <cell r="S17" t="str">
            <v>UMUR KERJA : 7 Tahun</v>
          </cell>
        </row>
        <row r="18">
          <cell r="E18" t="str">
            <v>E.182</v>
          </cell>
          <cell r="F18">
            <v>175000000</v>
          </cell>
          <cell r="G18">
            <v>0.24667978105957364</v>
          </cell>
          <cell r="H18">
            <v>3.3333333333333335</v>
          </cell>
          <cell r="I18">
            <v>6</v>
          </cell>
          <cell r="J18">
            <v>1000</v>
          </cell>
          <cell r="K18">
            <v>6000</v>
          </cell>
          <cell r="L18">
            <v>171862.70787874245</v>
          </cell>
          <cell r="M18">
            <v>572875.69292914157</v>
          </cell>
          <cell r="O18" t="str">
            <v>E.182</v>
          </cell>
          <cell r="P18" t="str">
            <v>Water Tank Truck</v>
          </cell>
          <cell r="Q18">
            <v>115</v>
          </cell>
          <cell r="R18" t="str">
            <v>HP</v>
          </cell>
          <cell r="S18" t="str">
            <v>UMUR KERJA : 6 Tahun</v>
          </cell>
        </row>
        <row r="19">
          <cell r="E19" t="str">
            <v>E.211</v>
          </cell>
          <cell r="F19">
            <v>140000000</v>
          </cell>
          <cell r="G19">
            <v>0.24667978105957364</v>
          </cell>
          <cell r="H19">
            <v>3.3333333333333335</v>
          </cell>
          <cell r="I19">
            <v>6</v>
          </cell>
          <cell r="J19">
            <v>1000</v>
          </cell>
          <cell r="K19">
            <v>6000</v>
          </cell>
          <cell r="L19">
            <v>158410.92352299395</v>
          </cell>
          <cell r="M19">
            <v>528036.41174331319</v>
          </cell>
          <cell r="O19" t="str">
            <v>E.211</v>
          </cell>
          <cell r="P19" t="str">
            <v>Dump Truck, 3,5 ton</v>
          </cell>
          <cell r="Q19">
            <v>115</v>
          </cell>
          <cell r="R19" t="str">
            <v>HP</v>
          </cell>
          <cell r="S19" t="str">
            <v>UMUR KERJA : 6 Tahun</v>
          </cell>
        </row>
        <row r="20">
          <cell r="E20" t="str">
            <v>E.212</v>
          </cell>
          <cell r="F20">
            <v>175000000</v>
          </cell>
          <cell r="G20">
            <v>0.24667978105957364</v>
          </cell>
          <cell r="H20">
            <v>3.3333333333333335</v>
          </cell>
          <cell r="I20">
            <v>6</v>
          </cell>
          <cell r="J20">
            <v>1000</v>
          </cell>
          <cell r="K20">
            <v>6000</v>
          </cell>
          <cell r="L20">
            <v>199150.65207874242</v>
          </cell>
          <cell r="M20">
            <v>663835.50692914147</v>
          </cell>
          <cell r="O20" t="str">
            <v>E.212</v>
          </cell>
          <cell r="P20" t="str">
            <v>Dump Truck, 5,0 ton</v>
          </cell>
          <cell r="Q20">
            <v>145</v>
          </cell>
          <cell r="R20" t="str">
            <v>HP</v>
          </cell>
          <cell r="S20" t="str">
            <v>UMUR KERJA : 6 Tahun</v>
          </cell>
        </row>
        <row r="21">
          <cell r="E21" t="str">
            <v>E.221</v>
          </cell>
          <cell r="F21">
            <v>150000000</v>
          </cell>
          <cell r="G21">
            <v>0.24667978105957364</v>
          </cell>
          <cell r="H21">
            <v>3.3333333333333335</v>
          </cell>
          <cell r="I21">
            <v>6</v>
          </cell>
          <cell r="J21">
            <v>1000</v>
          </cell>
          <cell r="K21">
            <v>6000</v>
          </cell>
          <cell r="L21">
            <v>162254.29048177923</v>
          </cell>
          <cell r="M21">
            <v>540847.63493926416</v>
          </cell>
          <cell r="O21" t="str">
            <v>E.221</v>
          </cell>
          <cell r="P21" t="str">
            <v>Flat Bed Truck 4,0 ton</v>
          </cell>
          <cell r="Q21">
            <v>115</v>
          </cell>
          <cell r="R21" t="str">
            <v>HP</v>
          </cell>
          <cell r="S21" t="str">
            <v>UMUR KERJA : 6 Tahun</v>
          </cell>
        </row>
        <row r="22">
          <cell r="E22" t="str">
            <v>E.251</v>
          </cell>
          <cell r="F22">
            <v>10000000</v>
          </cell>
          <cell r="G22">
            <v>0.28085403903961037</v>
          </cell>
          <cell r="H22">
            <v>3</v>
          </cell>
          <cell r="I22">
            <v>5</v>
          </cell>
          <cell r="J22">
            <v>900</v>
          </cell>
          <cell r="K22">
            <v>4500</v>
          </cell>
          <cell r="L22">
            <v>10269.31681838743</v>
          </cell>
          <cell r="M22">
            <v>30807.950455162289</v>
          </cell>
          <cell r="O22" t="str">
            <v>E.251</v>
          </cell>
          <cell r="P22" t="str">
            <v>Concrete Mixer 0,125 m3</v>
          </cell>
          <cell r="Q22">
            <v>6</v>
          </cell>
          <cell r="R22" t="str">
            <v>HP</v>
          </cell>
          <cell r="S22" t="str">
            <v>UMUR KERJA : 5 Tahun</v>
          </cell>
        </row>
        <row r="23">
          <cell r="E23" t="str">
            <v>E.252</v>
          </cell>
          <cell r="F23">
            <v>15000000</v>
          </cell>
          <cell r="G23">
            <v>0.28085403903961037</v>
          </cell>
          <cell r="H23">
            <v>3</v>
          </cell>
          <cell r="I23">
            <v>5</v>
          </cell>
          <cell r="J23">
            <v>900</v>
          </cell>
          <cell r="K23">
            <v>4500</v>
          </cell>
          <cell r="L23">
            <v>16313.573367581144</v>
          </cell>
          <cell r="M23">
            <v>48940.720102743435</v>
          </cell>
          <cell r="O23" t="str">
            <v>E.252</v>
          </cell>
          <cell r="P23" t="str">
            <v>Concrete Mixer 0,25 m3</v>
          </cell>
          <cell r="Q23">
            <v>10</v>
          </cell>
          <cell r="R23" t="str">
            <v>HP</v>
          </cell>
          <cell r="S23" t="str">
            <v>UMUR KERJA : 5 Tahun</v>
          </cell>
        </row>
        <row r="24">
          <cell r="E24" t="str">
            <v>E.301</v>
          </cell>
          <cell r="F24">
            <v>35000000</v>
          </cell>
          <cell r="G24">
            <v>0.20483218564643682</v>
          </cell>
          <cell r="H24">
            <v>1.5625</v>
          </cell>
          <cell r="I24">
            <v>8</v>
          </cell>
          <cell r="J24">
            <v>468.75</v>
          </cell>
          <cell r="K24">
            <v>3750</v>
          </cell>
          <cell r="L24">
            <v>56078.615934697838</v>
          </cell>
          <cell r="M24">
            <v>87622.83739796537</v>
          </cell>
          <cell r="O24" t="str">
            <v>E.301</v>
          </cell>
          <cell r="P24" t="str">
            <v>Compresor, Air 150 m3</v>
          </cell>
          <cell r="Q24">
            <v>35</v>
          </cell>
          <cell r="R24" t="str">
            <v>HP</v>
          </cell>
          <cell r="S24" t="str">
            <v>UMUR KERJA : 8 Tahun</v>
          </cell>
        </row>
        <row r="25">
          <cell r="E25" t="str">
            <v>E.341</v>
          </cell>
          <cell r="F25">
            <v>21000000</v>
          </cell>
          <cell r="G25">
            <v>0.3327079107505071</v>
          </cell>
          <cell r="H25">
            <v>1.875</v>
          </cell>
          <cell r="I25">
            <v>4</v>
          </cell>
          <cell r="J25">
            <v>562.5</v>
          </cell>
          <cell r="K25">
            <v>2250</v>
          </cell>
          <cell r="L25">
            <v>26203.978629127785</v>
          </cell>
          <cell r="M25">
            <v>49132.459929614597</v>
          </cell>
          <cell r="O25" t="str">
            <v>E.341</v>
          </cell>
          <cell r="P25" t="str">
            <v>Water Pump ( Ø 5 cm)</v>
          </cell>
          <cell r="Q25">
            <v>8</v>
          </cell>
          <cell r="R25" t="str">
            <v>HP</v>
          </cell>
          <cell r="S25" t="str">
            <v>UMUR KERJA : 4 Tahun</v>
          </cell>
        </row>
        <row r="26">
          <cell r="E26" t="str">
            <v>E.342</v>
          </cell>
          <cell r="F26">
            <v>12000000</v>
          </cell>
          <cell r="G26">
            <v>0.3327079107505071</v>
          </cell>
          <cell r="H26">
            <v>2.5</v>
          </cell>
          <cell r="I26">
            <v>4</v>
          </cell>
          <cell r="J26">
            <v>750</v>
          </cell>
          <cell r="K26">
            <v>3000</v>
          </cell>
          <cell r="L26">
            <v>17207.635761054767</v>
          </cell>
          <cell r="M26">
            <v>43019.089402636921</v>
          </cell>
          <cell r="O26" t="str">
            <v>E.342</v>
          </cell>
          <cell r="P26" t="str">
            <v>Water Pump ( Ø 10 cm)</v>
          </cell>
          <cell r="Q26">
            <v>10</v>
          </cell>
          <cell r="R26" t="str">
            <v>HP</v>
          </cell>
          <cell r="S26" t="str">
            <v>UMUR KERJA : 4 Tahun</v>
          </cell>
        </row>
        <row r="27">
          <cell r="E27" t="str">
            <v>E.351</v>
          </cell>
          <cell r="F27">
            <v>2446000</v>
          </cell>
          <cell r="G27">
            <v>0.28085403903961037</v>
          </cell>
          <cell r="H27">
            <v>2.5</v>
          </cell>
          <cell r="I27">
            <v>5</v>
          </cell>
          <cell r="J27">
            <v>750</v>
          </cell>
          <cell r="K27">
            <v>3750</v>
          </cell>
          <cell r="L27">
            <v>1412.3383962162779</v>
          </cell>
          <cell r="M27">
            <v>3530.8459905406949</v>
          </cell>
          <cell r="O27" t="str">
            <v>E.351</v>
          </cell>
          <cell r="P27" t="str">
            <v>Jackhamer, Equipment, etc.</v>
          </cell>
          <cell r="Q27">
            <v>0</v>
          </cell>
          <cell r="R27" t="str">
            <v>HP</v>
          </cell>
          <cell r="S27" t="str">
            <v>UMUR KERJA : 5 Tahun</v>
          </cell>
        </row>
        <row r="28">
          <cell r="E28" t="str">
            <v>E.401</v>
          </cell>
          <cell r="F28">
            <v>20452000</v>
          </cell>
          <cell r="G28">
            <v>0.28085403903961037</v>
          </cell>
          <cell r="H28">
            <v>2</v>
          </cell>
          <cell r="I28">
            <v>5</v>
          </cell>
          <cell r="J28">
            <v>600</v>
          </cell>
          <cell r="K28">
            <v>3000</v>
          </cell>
          <cell r="L28">
            <v>14761.419092096952</v>
          </cell>
          <cell r="M28">
            <v>29522.838184193904</v>
          </cell>
          <cell r="O28" t="str">
            <v>E.401</v>
          </cell>
          <cell r="P28" t="str">
            <v>Tractor Equipment, etc.</v>
          </cell>
          <cell r="Q28">
            <v>0</v>
          </cell>
          <cell r="R28" t="str">
            <v>HP</v>
          </cell>
          <cell r="S28" t="str">
            <v>UMUR KERJA : 5 Tahun</v>
          </cell>
        </row>
      </sheetData>
      <sheetData sheetId="11"/>
      <sheetData sheetId="12"/>
      <sheetData sheetId="13"/>
      <sheetData sheetId="14">
        <row r="6">
          <cell r="F6" t="str">
            <v>M.010</v>
          </cell>
          <cell r="G6">
            <v>55000</v>
          </cell>
          <cell r="H6">
            <v>70</v>
          </cell>
          <cell r="I6">
            <v>3224.8612299105816</v>
          </cell>
          <cell r="J6">
            <v>277932.88323280332</v>
          </cell>
        </row>
        <row r="7">
          <cell r="F7" t="str">
            <v>M.011</v>
          </cell>
          <cell r="G7">
            <v>65000</v>
          </cell>
          <cell r="H7">
            <v>70</v>
          </cell>
          <cell r="I7">
            <v>3173.8635885514946</v>
          </cell>
          <cell r="J7">
            <v>284298.7466866186</v>
          </cell>
        </row>
        <row r="8">
          <cell r="F8" t="str">
            <v>M.012</v>
          </cell>
          <cell r="G8">
            <v>50000</v>
          </cell>
          <cell r="H8">
            <v>70</v>
          </cell>
          <cell r="I8">
            <v>3173.8635885514946</v>
          </cell>
          <cell r="J8">
            <v>269448.7466866186</v>
          </cell>
        </row>
        <row r="9">
          <cell r="F9" t="str">
            <v>M.022</v>
          </cell>
          <cell r="G9">
            <v>200000</v>
          </cell>
          <cell r="H9">
            <v>70</v>
          </cell>
          <cell r="I9">
            <v>3173.8635885514946</v>
          </cell>
          <cell r="J9">
            <v>417948.7466866186</v>
          </cell>
        </row>
        <row r="10">
          <cell r="F10" t="str">
            <v>M.023</v>
          </cell>
          <cell r="G10">
            <v>200000</v>
          </cell>
          <cell r="H10">
            <v>70</v>
          </cell>
          <cell r="I10">
            <v>3173.8635885514946</v>
          </cell>
          <cell r="J10">
            <v>417948.7466866186</v>
          </cell>
        </row>
        <row r="11">
          <cell r="F11" t="str">
            <v>M.024</v>
          </cell>
          <cell r="G11">
            <v>200000</v>
          </cell>
          <cell r="H11">
            <v>70</v>
          </cell>
          <cell r="I11">
            <v>3173.8635885514946</v>
          </cell>
          <cell r="J11">
            <v>417948.7466866186</v>
          </cell>
        </row>
        <row r="12">
          <cell r="F12" t="str">
            <v>M.025</v>
          </cell>
          <cell r="G12">
            <v>200000</v>
          </cell>
          <cell r="H12">
            <v>70</v>
          </cell>
          <cell r="I12">
            <v>3173.8635885514946</v>
          </cell>
          <cell r="J12">
            <v>417948.7466866186</v>
          </cell>
        </row>
        <row r="13">
          <cell r="F13" t="str">
            <v>M.026</v>
          </cell>
          <cell r="G13">
            <v>200000</v>
          </cell>
          <cell r="H13">
            <v>70</v>
          </cell>
          <cell r="I13">
            <v>3173.8635885514946</v>
          </cell>
          <cell r="J13">
            <v>417948.7466866186</v>
          </cell>
        </row>
        <row r="14">
          <cell r="F14" t="str">
            <v>M.026</v>
          </cell>
          <cell r="G14">
            <v>200000</v>
          </cell>
          <cell r="H14">
            <v>70</v>
          </cell>
          <cell r="I14">
            <v>3173.8635885514946</v>
          </cell>
          <cell r="J14">
            <v>417948.7466866186</v>
          </cell>
        </row>
        <row r="15">
          <cell r="F15" t="str">
            <v>M.031</v>
          </cell>
          <cell r="G15">
            <v>110000</v>
          </cell>
          <cell r="H15">
            <v>5</v>
          </cell>
          <cell r="I15">
            <v>2245.0387519440183</v>
          </cell>
          <cell r="J15">
            <v>120012.94182212288</v>
          </cell>
        </row>
        <row r="16">
          <cell r="F16" t="str">
            <v>M.033</v>
          </cell>
          <cell r="G16">
            <v>150000</v>
          </cell>
          <cell r="H16">
            <v>5</v>
          </cell>
          <cell r="I16">
            <v>2245.0387519440183</v>
          </cell>
          <cell r="J16">
            <v>159612.9418221229</v>
          </cell>
        </row>
        <row r="17">
          <cell r="F17" t="str">
            <v>M.035</v>
          </cell>
          <cell r="G17">
            <v>160000</v>
          </cell>
          <cell r="H17">
            <v>5</v>
          </cell>
          <cell r="I17">
            <v>2245.0387519440183</v>
          </cell>
          <cell r="J17">
            <v>169512.9418221229</v>
          </cell>
        </row>
        <row r="18">
          <cell r="F18" t="str">
            <v>M.040</v>
          </cell>
          <cell r="G18">
            <v>35000</v>
          </cell>
          <cell r="H18">
            <v>5</v>
          </cell>
          <cell r="I18">
            <v>3173.8635885514946</v>
          </cell>
          <cell r="J18">
            <v>50360.624763329899</v>
          </cell>
        </row>
        <row r="19">
          <cell r="F19" t="str">
            <v>M.041</v>
          </cell>
          <cell r="G19">
            <v>85000</v>
          </cell>
          <cell r="H19">
            <v>70</v>
          </cell>
          <cell r="I19">
            <v>3173.8635885514946</v>
          </cell>
          <cell r="J19">
            <v>304098.7466866186</v>
          </cell>
        </row>
        <row r="20">
          <cell r="F20" t="str">
            <v>M.042</v>
          </cell>
          <cell r="G20">
            <v>100000</v>
          </cell>
          <cell r="H20">
            <v>70</v>
          </cell>
          <cell r="I20">
            <v>3173.8635885514946</v>
          </cell>
          <cell r="J20">
            <v>318948.7466866186</v>
          </cell>
        </row>
        <row r="21">
          <cell r="F21" t="str">
            <v>M.050</v>
          </cell>
          <cell r="G21">
            <v>25000</v>
          </cell>
          <cell r="H21">
            <v>5</v>
          </cell>
          <cell r="I21">
            <v>3173.8635885514946</v>
          </cell>
          <cell r="J21">
            <v>40460.624763329899</v>
          </cell>
        </row>
        <row r="22">
          <cell r="F22" t="str">
            <v>M.061</v>
          </cell>
          <cell r="G22">
            <v>6500</v>
          </cell>
          <cell r="H22">
            <v>20</v>
          </cell>
          <cell r="I22">
            <v>4.9424705815234917</v>
          </cell>
          <cell r="J22">
            <v>6532.8609175141655</v>
          </cell>
        </row>
        <row r="23">
          <cell r="F23" t="str">
            <v>M.062</v>
          </cell>
          <cell r="G23">
            <v>3000000</v>
          </cell>
          <cell r="H23">
            <v>10</v>
          </cell>
          <cell r="I23">
            <v>4942.470581523492</v>
          </cell>
          <cell r="J23">
            <v>3018930.4587570829</v>
          </cell>
        </row>
        <row r="24">
          <cell r="F24" t="str">
            <v>M.063</v>
          </cell>
          <cell r="G24">
            <v>16250</v>
          </cell>
          <cell r="H24">
            <v>5</v>
          </cell>
          <cell r="I24">
            <v>13.162797862377271</v>
          </cell>
          <cell r="J24">
            <v>16152.655849418767</v>
          </cell>
        </row>
        <row r="25">
          <cell r="F25" t="str">
            <v>M.065</v>
          </cell>
          <cell r="G25">
            <v>2500</v>
          </cell>
          <cell r="H25">
            <v>5</v>
          </cell>
          <cell r="I25">
            <v>13.162797862377271</v>
          </cell>
          <cell r="J25">
            <v>2540.1558494187675</v>
          </cell>
        </row>
        <row r="26">
          <cell r="F26" t="str">
            <v>M.070</v>
          </cell>
          <cell r="G26">
            <v>30000</v>
          </cell>
          <cell r="H26">
            <v>5</v>
          </cell>
          <cell r="I26">
            <v>3224.8612299105816</v>
          </cell>
          <cell r="J26">
            <v>45663.063088057381</v>
          </cell>
        </row>
        <row r="27">
          <cell r="F27" t="str">
            <v>M.080</v>
          </cell>
          <cell r="G27">
            <v>42500</v>
          </cell>
          <cell r="H27">
            <v>5</v>
          </cell>
          <cell r="I27">
            <v>553.46285637947688</v>
          </cell>
          <cell r="J27">
            <v>44814.641139078412</v>
          </cell>
        </row>
        <row r="28">
          <cell r="F28" t="str">
            <v>M.081</v>
          </cell>
          <cell r="G28">
            <v>180000</v>
          </cell>
          <cell r="H28">
            <v>5</v>
          </cell>
          <cell r="I28">
            <v>2245.0387519440183</v>
          </cell>
          <cell r="J28">
            <v>189312.9418221229</v>
          </cell>
        </row>
        <row r="29">
          <cell r="F29" t="str">
            <v>M.090</v>
          </cell>
          <cell r="G29">
            <v>60000</v>
          </cell>
          <cell r="H29">
            <v>5</v>
          </cell>
          <cell r="I29">
            <v>4.9424705815234917</v>
          </cell>
          <cell r="J29">
            <v>59424.46522937854</v>
          </cell>
        </row>
        <row r="30">
          <cell r="F30" t="str">
            <v>M.091</v>
          </cell>
          <cell r="G30">
            <v>48000</v>
          </cell>
          <cell r="H30">
            <v>5</v>
          </cell>
          <cell r="I30">
            <v>4.9424705815234917</v>
          </cell>
          <cell r="J30">
            <v>47544.46522937854</v>
          </cell>
        </row>
        <row r="31">
          <cell r="F31" t="str">
            <v>M.164</v>
          </cell>
          <cell r="G31">
            <v>18750</v>
          </cell>
          <cell r="H31">
            <v>5</v>
          </cell>
          <cell r="I31">
            <v>4.9424705815234917</v>
          </cell>
          <cell r="J31">
            <v>18586.96522937854</v>
          </cell>
        </row>
        <row r="32">
          <cell r="F32" t="str">
            <v>M.165</v>
          </cell>
          <cell r="G32">
            <v>15000</v>
          </cell>
          <cell r="H32">
            <v>7</v>
          </cell>
          <cell r="I32">
            <v>4.9424705815234917</v>
          </cell>
          <cell r="J32">
            <v>14884.251321129959</v>
          </cell>
        </row>
        <row r="33">
          <cell r="F33" t="str">
            <v>M.166</v>
          </cell>
          <cell r="G33">
            <v>16500</v>
          </cell>
          <cell r="H33">
            <v>7</v>
          </cell>
          <cell r="I33">
            <v>4.9424705815234917</v>
          </cell>
          <cell r="J33">
            <v>16369.251321129957</v>
          </cell>
        </row>
        <row r="34">
          <cell r="F34" t="str">
            <v>M.166a</v>
          </cell>
          <cell r="G34">
            <v>13750</v>
          </cell>
          <cell r="H34">
            <v>5</v>
          </cell>
          <cell r="I34">
            <v>4.9424705815234917</v>
          </cell>
          <cell r="J34">
            <v>13636.965229378542</v>
          </cell>
        </row>
        <row r="35">
          <cell r="F35" t="str">
            <v>M.167</v>
          </cell>
          <cell r="G35">
            <v>11000</v>
          </cell>
          <cell r="H35">
            <v>5</v>
          </cell>
          <cell r="I35">
            <v>4.9424705815234917</v>
          </cell>
          <cell r="J35">
            <v>10914.465229378542</v>
          </cell>
        </row>
        <row r="36">
          <cell r="F36" t="str">
            <v>M.167</v>
          </cell>
          <cell r="G36">
            <v>13500</v>
          </cell>
          <cell r="H36">
            <v>5</v>
          </cell>
          <cell r="I36">
            <v>4.9424705815234917</v>
          </cell>
          <cell r="J36">
            <v>13389.465229378542</v>
          </cell>
        </row>
        <row r="37">
          <cell r="F37" t="str">
            <v>M.168</v>
          </cell>
          <cell r="G37">
            <v>12500</v>
          </cell>
          <cell r="H37">
            <v>5</v>
          </cell>
          <cell r="I37">
            <v>4.9424705815234917</v>
          </cell>
          <cell r="J37">
            <v>12399.465229378542</v>
          </cell>
        </row>
        <row r="38">
          <cell r="F38" t="str">
            <v>M.170</v>
          </cell>
          <cell r="G38">
            <v>60000</v>
          </cell>
          <cell r="H38">
            <v>70</v>
          </cell>
          <cell r="I38">
            <v>4.9424705815234917</v>
          </cell>
          <cell r="J38">
            <v>59742.513211299578</v>
          </cell>
        </row>
        <row r="39">
          <cell r="F39" t="str">
            <v>M.180</v>
          </cell>
          <cell r="G39">
            <v>1000000</v>
          </cell>
          <cell r="H39">
            <v>5</v>
          </cell>
          <cell r="I39">
            <v>3992.0319012001187</v>
          </cell>
          <cell r="J39">
            <v>1009760.5579109406</v>
          </cell>
        </row>
        <row r="40">
          <cell r="F40" t="str">
            <v>M.180a</v>
          </cell>
          <cell r="G40">
            <v>10000</v>
          </cell>
          <cell r="H40">
            <v>5</v>
          </cell>
          <cell r="I40">
            <v>50.355614548213623</v>
          </cell>
          <cell r="J40">
            <v>10149.260292013658</v>
          </cell>
        </row>
        <row r="41">
          <cell r="F41" t="str">
            <v>M.181</v>
          </cell>
          <cell r="G41">
            <v>1500000</v>
          </cell>
          <cell r="H41">
            <v>5</v>
          </cell>
          <cell r="I41">
            <v>4279.3194062897683</v>
          </cell>
          <cell r="J41">
            <v>1506182.6310611342</v>
          </cell>
        </row>
        <row r="42">
          <cell r="F42" t="str">
            <v>M.181a</v>
          </cell>
          <cell r="G42">
            <v>2000000</v>
          </cell>
          <cell r="H42">
            <v>5</v>
          </cell>
          <cell r="I42">
            <v>4279.3194062897683</v>
          </cell>
          <cell r="J42">
            <v>2001182.6310611342</v>
          </cell>
        </row>
        <row r="43">
          <cell r="F43" t="str">
            <v>M.183</v>
          </cell>
          <cell r="G43">
            <v>6321</v>
          </cell>
          <cell r="H43">
            <v>5</v>
          </cell>
          <cell r="I43">
            <v>1.25354751566366</v>
          </cell>
          <cell r="J43">
            <v>6263.9950602025356</v>
          </cell>
        </row>
        <row r="44">
          <cell r="F44" t="str">
            <v>M.184</v>
          </cell>
          <cell r="G44">
            <v>6502</v>
          </cell>
          <cell r="H44">
            <v>5</v>
          </cell>
          <cell r="I44">
            <v>1.25354751566366</v>
          </cell>
          <cell r="J44">
            <v>6443.1850602025352</v>
          </cell>
        </row>
        <row r="45">
          <cell r="F45" t="str">
            <v>M.185</v>
          </cell>
          <cell r="G45">
            <v>27500</v>
          </cell>
          <cell r="H45">
            <v>5</v>
          </cell>
          <cell r="I45">
            <v>1.25354751566366</v>
          </cell>
          <cell r="J45">
            <v>27231.205060202534</v>
          </cell>
        </row>
      </sheetData>
      <sheetData sheetId="15">
        <row r="7">
          <cell r="E7" t="str">
            <v>L.061</v>
          </cell>
          <cell r="F7">
            <v>7142.8571428571431</v>
          </cell>
          <cell r="G7">
            <v>50000</v>
          </cell>
        </row>
        <row r="8">
          <cell r="E8" t="str">
            <v>L.072</v>
          </cell>
          <cell r="F8">
            <v>8571.4285714285706</v>
          </cell>
          <cell r="G8">
            <v>60000</v>
          </cell>
        </row>
        <row r="9">
          <cell r="E9" t="str">
            <v>L.073</v>
          </cell>
          <cell r="F9">
            <v>8571.4285714285706</v>
          </cell>
          <cell r="G9">
            <v>60000</v>
          </cell>
        </row>
        <row r="10">
          <cell r="E10" t="str">
            <v>L.079</v>
          </cell>
          <cell r="F10">
            <v>7857.1428571428569</v>
          </cell>
          <cell r="G10">
            <v>55000</v>
          </cell>
        </row>
        <row r="11">
          <cell r="E11" t="str">
            <v>L.081</v>
          </cell>
          <cell r="F11">
            <v>8571.4285714285706</v>
          </cell>
          <cell r="G11">
            <v>60000</v>
          </cell>
        </row>
        <row r="12">
          <cell r="E12" t="str">
            <v>L.082</v>
          </cell>
          <cell r="F12">
            <v>7142.8571428571431</v>
          </cell>
          <cell r="G12">
            <v>50000</v>
          </cell>
        </row>
        <row r="13">
          <cell r="E13" t="str">
            <v>L.083</v>
          </cell>
          <cell r="F13">
            <v>5714.2857142857147</v>
          </cell>
          <cell r="G13">
            <v>40000</v>
          </cell>
        </row>
        <row r="14">
          <cell r="E14" t="str">
            <v>L.091</v>
          </cell>
          <cell r="F14">
            <v>7142.8571428571431</v>
          </cell>
          <cell r="G14">
            <v>50000</v>
          </cell>
        </row>
        <row r="15">
          <cell r="E15" t="str">
            <v>L.099</v>
          </cell>
          <cell r="F15">
            <v>5357.1428571428569</v>
          </cell>
          <cell r="G15">
            <v>37500</v>
          </cell>
        </row>
        <row r="16">
          <cell r="E16" t="str">
            <v>L.101</v>
          </cell>
          <cell r="F16">
            <v>5000</v>
          </cell>
          <cell r="G16">
            <v>35000</v>
          </cell>
        </row>
        <row r="17">
          <cell r="E17" t="str">
            <v>L.103</v>
          </cell>
          <cell r="F17">
            <v>5357.1428571428569</v>
          </cell>
          <cell r="G17">
            <v>37500</v>
          </cell>
        </row>
        <row r="18">
          <cell r="E18" t="str">
            <v>L.106</v>
          </cell>
          <cell r="F18">
            <v>5714.2857142857147</v>
          </cell>
          <cell r="G18">
            <v>40000</v>
          </cell>
        </row>
      </sheetData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1.pem.lahan"/>
      <sheetName val="2.KANTOR KEJAKSAAN"/>
      <sheetName val="3.rumah 70"/>
      <sheetName val="4.RUMAH 50 "/>
      <sheetName val="SAMPUL"/>
      <sheetName val="ANALISA-SNI"/>
      <sheetName val="an.alt"/>
      <sheetName val="daft sewa alt"/>
      <sheetName val="an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C4" t="str">
            <v>Bulldozer 100HP</v>
          </cell>
          <cell r="D4" t="str">
            <v>Per Jam</v>
          </cell>
          <cell r="E4">
            <v>248292.12800000003</v>
          </cell>
        </row>
        <row r="5">
          <cell r="C5" t="str">
            <v>Motor Greder</v>
          </cell>
          <cell r="D5" t="str">
            <v>Per Jam</v>
          </cell>
          <cell r="E5">
            <v>248577.6</v>
          </cell>
        </row>
        <row r="6">
          <cell r="C6" t="str">
            <v>Loader Wheeled</v>
          </cell>
          <cell r="D6" t="str">
            <v>Per Jam</v>
          </cell>
          <cell r="E6">
            <v>250335.76</v>
          </cell>
        </row>
        <row r="7">
          <cell r="C7" t="str">
            <v>Roller Three Wheeled</v>
          </cell>
          <cell r="D7" t="str">
            <v>Per Jam</v>
          </cell>
          <cell r="E7">
            <v>61911.152000000002</v>
          </cell>
        </row>
        <row r="8">
          <cell r="C8" t="str">
            <v>Dumptruck 5 ton</v>
          </cell>
          <cell r="D8" t="str">
            <v>Per Jam</v>
          </cell>
          <cell r="E8">
            <v>213254.47999999998</v>
          </cell>
        </row>
        <row r="9">
          <cell r="C9" t="str">
            <v>Dumptruck 3,5 ton</v>
          </cell>
          <cell r="D9" t="str">
            <v>Per Jam</v>
          </cell>
          <cell r="E9">
            <v>155522.88</v>
          </cell>
        </row>
        <row r="10">
          <cell r="C10" t="str">
            <v>Water Tanker</v>
          </cell>
          <cell r="D10" t="str">
            <v>Per Jam</v>
          </cell>
          <cell r="E10">
            <v>141288.17599999998</v>
          </cell>
        </row>
        <row r="11">
          <cell r="C11" t="str">
            <v>Water Pump</v>
          </cell>
          <cell r="D11" t="str">
            <v>Per Jam</v>
          </cell>
          <cell r="E11">
            <v>31041.728000000003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.sat."/>
      <sheetName val="RAB.Ruas-68 (jembt)goi"/>
      <sheetName val="RAB.Ruas-68 (2)"/>
    </sheetNames>
    <sheetDataSet>
      <sheetData sheetId="0">
        <row r="552">
          <cell r="J552">
            <v>9437.5</v>
          </cell>
        </row>
        <row r="832">
          <cell r="J832">
            <v>6411.6565211686493</v>
          </cell>
        </row>
        <row r="902">
          <cell r="J902">
            <v>39347</v>
          </cell>
        </row>
        <row r="1042">
          <cell r="J1042">
            <v>182288.79740365112</v>
          </cell>
        </row>
        <row r="1112">
          <cell r="J1112">
            <v>53438.850155888853</v>
          </cell>
        </row>
        <row r="1182">
          <cell r="J1182">
            <v>99998.916217128033</v>
          </cell>
        </row>
        <row r="1198">
          <cell r="I1198">
            <v>10752.5</v>
          </cell>
        </row>
        <row r="1213">
          <cell r="I1213">
            <v>8114.1676840215441</v>
          </cell>
        </row>
        <row r="1320">
          <cell r="J1320">
            <v>55980.658570277425</v>
          </cell>
        </row>
        <row r="2090">
          <cell r="J2090">
            <v>273073.42786310945</v>
          </cell>
        </row>
        <row r="2160">
          <cell r="J2160">
            <v>21468.626832587564</v>
          </cell>
        </row>
        <row r="2300">
          <cell r="J2300">
            <v>15843.707723208241</v>
          </cell>
        </row>
        <row r="3700">
          <cell r="J3700">
            <v>724171.78187766683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26">
          <cell r="BO526" t="str">
            <v xml:space="preserve"> Alat Baru</v>
          </cell>
        </row>
        <row r="527">
          <cell r="BO527">
            <v>27721362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FTAR HARGA BARU"/>
      <sheetName val="ANALISA.T"/>
      <sheetName val="perhitingan  limbangan"/>
      <sheetName val="TAMBATAN"/>
      <sheetName val="REKAP TAMBATAN"/>
      <sheetName val="time"/>
      <sheetName val="Sheet1"/>
      <sheetName val="SAMPUL MC (4)"/>
      <sheetName val="MC juni"/>
      <sheetName val="rincian juni"/>
      <sheetName val="BOBOT JUNI"/>
      <sheetName val="BOBOT JUNI (2)"/>
      <sheetName val="BOBOT JUNI (4)"/>
      <sheetName val="BOBOT JUNI (3)"/>
      <sheetName val="BOBOT JUli"/>
      <sheetName val="BOBOT JUli (2)"/>
      <sheetName val="BOBOT JUli (3)"/>
      <sheetName val="BOBOT JUli (4)"/>
      <sheetName val="rincian juli"/>
      <sheetName val="MC juni (2)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3">
          <cell r="I43">
            <v>97.105629050154732</v>
          </cell>
        </row>
      </sheetData>
      <sheetData sheetId="17">
        <row r="43">
          <cell r="I43">
            <v>99.999999999999986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 Bajoe (2)"/>
      <sheetName val="Rekap ULOE B"/>
      <sheetName val="Rekap 2009"/>
      <sheetName val="Gudang Uloe1"/>
      <sheetName val="Gudang Bajoe"/>
      <sheetName val="Gudang Bajoe 2009"/>
      <sheetName val="Gudang Uloe B"/>
      <sheetName val="Kantor Pengelola"/>
      <sheetName val="Kantor Pengelola (2)"/>
      <sheetName val="RMH PENJG"/>
      <sheetName val="WC"/>
      <sheetName val="Pos "/>
      <sheetName val="lANTAI jEMUR"/>
      <sheetName val="Pagar"/>
      <sheetName val="Paving"/>
      <sheetName val="penerngan"/>
      <sheetName val="Peralatan Gdg"/>
      <sheetName val="FASIL GDG"/>
      <sheetName val="HBU"/>
      <sheetName val="PERSIAPAN"/>
      <sheetName val="TANAH"/>
      <sheetName val="PONDASI"/>
      <sheetName val="DINDING"/>
      <sheetName val="PLESTERAN"/>
      <sheetName val="KAYU"/>
      <sheetName val="BETON"/>
      <sheetName val="ATAP"/>
      <sheetName val="LANGIT2"/>
      <sheetName val="PIPA &amp; SANITASI"/>
      <sheetName val="BESI"/>
      <sheetName val="KUNCI&amp;KACA"/>
      <sheetName val="LANTAI"/>
      <sheetName val="CAT"/>
      <sheetName val="Listr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E8" t="str">
            <v>BAHAN BATU, PASIR, CIPPING DAN BATU MERAH</v>
          </cell>
        </row>
        <row r="9">
          <cell r="E9" t="str">
            <v>Batu gunung</v>
          </cell>
        </row>
        <row r="10">
          <cell r="E10" t="str">
            <v>Pasir pasang</v>
          </cell>
        </row>
        <row r="11">
          <cell r="E11" t="str">
            <v>Pasir beton</v>
          </cell>
        </row>
        <row r="12">
          <cell r="E12" t="str">
            <v>Pasir beton (Kg)</v>
          </cell>
        </row>
        <row r="13">
          <cell r="E13" t="str">
            <v>Pasir urug</v>
          </cell>
        </row>
        <row r="14">
          <cell r="E14" t="str">
            <v>split/chipping 2-3 cm</v>
          </cell>
        </row>
        <row r="15">
          <cell r="E15" t="str">
            <v>split/chipping 2-3 cm(Kg)</v>
          </cell>
        </row>
        <row r="16">
          <cell r="E16" t="str">
            <v>Koral beton</v>
          </cell>
        </row>
        <row r="17">
          <cell r="E17" t="str">
            <v>Tanah Timbunan</v>
          </cell>
        </row>
        <row r="18">
          <cell r="E18" t="str">
            <v>Krikil</v>
          </cell>
        </row>
        <row r="19">
          <cell r="E19" t="str">
            <v>Krikil (Kg)</v>
          </cell>
        </row>
        <row r="20">
          <cell r="E20" t="str">
            <v>Tanah urug didatangkan</v>
          </cell>
        </row>
        <row r="21">
          <cell r="E21" t="str">
            <v>Sirtu</v>
          </cell>
        </row>
        <row r="22">
          <cell r="E22" t="str">
            <v>Batu merah</v>
          </cell>
        </row>
        <row r="23">
          <cell r="E23" t="str">
            <v>Batu kali</v>
          </cell>
        </row>
        <row r="24">
          <cell r="E24" t="str">
            <v>Batu belah 15/20</v>
          </cell>
        </row>
        <row r="25">
          <cell r="E25" t="str">
            <v>Batu pecah 5/7</v>
          </cell>
        </row>
        <row r="26">
          <cell r="E26" t="str">
            <v>Kapur Padam</v>
          </cell>
        </row>
        <row r="27">
          <cell r="E27" t="str">
            <v>Tanah Liat</v>
          </cell>
        </row>
        <row r="28">
          <cell r="E28" t="str">
            <v>Ijuk</v>
          </cell>
        </row>
        <row r="29">
          <cell r="E29" t="str">
            <v>Batu granit</v>
          </cell>
        </row>
        <row r="30">
          <cell r="E30" t="str">
            <v>Batu teraso</v>
          </cell>
        </row>
        <row r="31">
          <cell r="E31" t="str">
            <v>Batacote</v>
          </cell>
        </row>
        <row r="32">
          <cell r="E32" t="str">
            <v>Air</v>
          </cell>
        </row>
        <row r="33">
          <cell r="E33" t="str">
            <v>Pasir silika</v>
          </cell>
        </row>
        <row r="34">
          <cell r="E34" t="str">
            <v>Batu apung</v>
          </cell>
        </row>
        <row r="36">
          <cell r="E36" t="str">
            <v>BAHAN SEMEN</v>
          </cell>
        </row>
        <row r="37">
          <cell r="E37" t="str">
            <v>Semen PC 50kg</v>
          </cell>
        </row>
        <row r="38">
          <cell r="E38" t="str">
            <v>Semen PC 50kg (zak)</v>
          </cell>
        </row>
        <row r="39">
          <cell r="E39" t="str">
            <v>PC Warna</v>
          </cell>
        </row>
        <row r="40">
          <cell r="E40" t="str">
            <v>Semen Portland</v>
          </cell>
        </row>
        <row r="41">
          <cell r="E41" t="str">
            <v>Semen PC 40 kg (zak)</v>
          </cell>
        </row>
        <row r="42">
          <cell r="E42" t="str">
            <v>Semen Abu-abu</v>
          </cell>
        </row>
        <row r="43">
          <cell r="E43" t="str">
            <v>Strorox-100</v>
          </cell>
        </row>
        <row r="44">
          <cell r="E44" t="str">
            <v>Rapidrant</v>
          </cell>
        </row>
        <row r="45">
          <cell r="E45" t="str">
            <v>Puzzdith-100 XR</v>
          </cell>
        </row>
        <row r="46">
          <cell r="E46" t="str">
            <v>Semen Nat</v>
          </cell>
        </row>
        <row r="47">
          <cell r="E47" t="str">
            <v>Semen Putih</v>
          </cell>
        </row>
        <row r="48">
          <cell r="E48" t="str">
            <v>Semen Merah</v>
          </cell>
        </row>
        <row r="50">
          <cell r="E50" t="str">
            <v>BAHAN BESI</v>
          </cell>
        </row>
        <row r="51">
          <cell r="E51" t="str">
            <v>Besi beton polos</v>
          </cell>
        </row>
        <row r="52">
          <cell r="E52" t="str">
            <v>Kawat beton</v>
          </cell>
        </row>
        <row r="53">
          <cell r="E53" t="str">
            <v>Paku Biasa 1/2" - 1"</v>
          </cell>
        </row>
        <row r="54">
          <cell r="E54" t="str">
            <v>Paku biasa 2" - 5"</v>
          </cell>
        </row>
        <row r="55">
          <cell r="E55" t="str">
            <v>Paku asbes</v>
          </cell>
        </row>
        <row r="56">
          <cell r="E56" t="str">
            <v>Paku 3 cm</v>
          </cell>
        </row>
        <row r="57">
          <cell r="E57" t="str">
            <v>Paku 6 cm</v>
          </cell>
        </row>
        <row r="58">
          <cell r="E58" t="str">
            <v>Paku 7 cm</v>
          </cell>
        </row>
        <row r="59">
          <cell r="E59" t="str">
            <v>Paku 10 cm</v>
          </cell>
        </row>
        <row r="60">
          <cell r="E60" t="str">
            <v>Paku 12 cm</v>
          </cell>
        </row>
        <row r="61">
          <cell r="E61" t="str">
            <v>Paku 5-7 cm</v>
          </cell>
        </row>
        <row r="62">
          <cell r="E62" t="str">
            <v>Paku 5-10 cm</v>
          </cell>
        </row>
        <row r="63">
          <cell r="E63" t="str">
            <v>Paku 7-10 cm</v>
          </cell>
        </row>
        <row r="64">
          <cell r="E64" t="str">
            <v>Paku beton</v>
          </cell>
        </row>
        <row r="65">
          <cell r="E65" t="str">
            <v>Paku pancing</v>
          </cell>
        </row>
        <row r="66">
          <cell r="E66" t="str">
            <v>Paku tripleks</v>
          </cell>
        </row>
        <row r="67">
          <cell r="E67" t="str">
            <v>Besi plat 2 mm 120 x 240 mm</v>
          </cell>
        </row>
        <row r="68">
          <cell r="E68" t="str">
            <v>Besi plat 3 mm 120 x 240 mm</v>
          </cell>
        </row>
        <row r="69">
          <cell r="E69" t="str">
            <v>Besi plat 10 mm</v>
          </cell>
        </row>
        <row r="70">
          <cell r="E70" t="str">
            <v>Besi strip 30,3 mm</v>
          </cell>
        </row>
        <row r="71">
          <cell r="E71" t="str">
            <v>Besi strip 35,4 mm</v>
          </cell>
        </row>
        <row r="72">
          <cell r="E72" t="str">
            <v>Besi strip 40,6 mm</v>
          </cell>
        </row>
        <row r="73">
          <cell r="E73" t="str">
            <v>Besi strip 50,6 mm</v>
          </cell>
        </row>
        <row r="74">
          <cell r="E74" t="str">
            <v>Besi siku 30.30.3</v>
          </cell>
        </row>
        <row r="75">
          <cell r="E75" t="str">
            <v>Besi siku 40.40.4</v>
          </cell>
        </row>
        <row r="76">
          <cell r="E76" t="str">
            <v>Besi siku 50.50.5</v>
          </cell>
        </row>
        <row r="77">
          <cell r="E77" t="str">
            <v>Besi siku 60.60.6</v>
          </cell>
        </row>
        <row r="78">
          <cell r="E78" t="str">
            <v>Besi siku 70.70.7</v>
          </cell>
        </row>
        <row r="79">
          <cell r="E79" t="str">
            <v>Besi Canal CNP  125 x 50 x 20 x 2,3</v>
          </cell>
        </row>
        <row r="80">
          <cell r="E80" t="str">
            <v>Besi strip</v>
          </cell>
        </row>
        <row r="81">
          <cell r="E81" t="str">
            <v>Besi strip tebal 5 mm</v>
          </cell>
        </row>
        <row r="82">
          <cell r="E82" t="str">
            <v>Besi Hollow 4 x 4</v>
          </cell>
        </row>
        <row r="83">
          <cell r="E83" t="str">
            <v>Kawat Duri</v>
          </cell>
        </row>
        <row r="84">
          <cell r="E84" t="str">
            <v>Pagar kawat jaring</v>
          </cell>
        </row>
        <row r="85">
          <cell r="E85" t="str">
            <v>Besi Angkur Ø8mm</v>
          </cell>
        </row>
        <row r="86">
          <cell r="E86" t="str">
            <v>Paku sekrup 3,5"</v>
          </cell>
        </row>
        <row r="87">
          <cell r="E87" t="str">
            <v xml:space="preserve">Paku sekrup 5 cm </v>
          </cell>
        </row>
        <row r="88">
          <cell r="E88" t="str">
            <v xml:space="preserve">Paku sekrup10 cm </v>
          </cell>
        </row>
        <row r="89">
          <cell r="E89" t="str">
            <v>Jaring kawat baja</v>
          </cell>
        </row>
        <row r="90">
          <cell r="E90" t="str">
            <v>Besi presstressed polos</v>
          </cell>
        </row>
        <row r="91">
          <cell r="E91" t="str">
            <v>Paku hak panjang 15cm</v>
          </cell>
        </row>
        <row r="92">
          <cell r="E92" t="str">
            <v>Kawat besi</v>
          </cell>
        </row>
        <row r="93">
          <cell r="E93" t="str">
            <v>Kawat las</v>
          </cell>
        </row>
        <row r="94">
          <cell r="E94" t="str">
            <v>Besi profil</v>
          </cell>
        </row>
        <row r="95">
          <cell r="E95" t="str">
            <v>Besi baja IWF 300x200</v>
          </cell>
        </row>
        <row r="96">
          <cell r="E96" t="str">
            <v>Besi baja IWF 200x150</v>
          </cell>
        </row>
        <row r="97">
          <cell r="E97" t="str">
            <v>Besi Beton Dia 12 mm</v>
          </cell>
        </row>
        <row r="98">
          <cell r="E98" t="str">
            <v>Besi Beton Dia 16 mm</v>
          </cell>
        </row>
        <row r="99">
          <cell r="E99" t="str">
            <v>Angker baut 19 mm</v>
          </cell>
        </row>
        <row r="100">
          <cell r="E100" t="str">
            <v>Mur Baut 19 mm</v>
          </cell>
        </row>
        <row r="101">
          <cell r="E101" t="str">
            <v>Mur Baut 16 mm</v>
          </cell>
        </row>
        <row r="102">
          <cell r="E102" t="str">
            <v>Mur Baut 12 mm</v>
          </cell>
        </row>
        <row r="103">
          <cell r="E103" t="str">
            <v>Pintu besi baja</v>
          </cell>
        </row>
        <row r="104">
          <cell r="E104" t="str">
            <v>Jendela besi</v>
          </cell>
        </row>
        <row r="105">
          <cell r="E105" t="str">
            <v>Jendela besi tahan api</v>
          </cell>
        </row>
        <row r="106">
          <cell r="E106" t="str">
            <v>Pintu gulung besi</v>
          </cell>
        </row>
        <row r="107">
          <cell r="E107" t="str">
            <v>Pintu lipat</v>
          </cell>
        </row>
        <row r="108">
          <cell r="E108" t="str">
            <v>Pintu sunscreen aluminium</v>
          </cell>
        </row>
        <row r="109">
          <cell r="E109" t="str">
            <v>Rolling door</v>
          </cell>
        </row>
        <row r="110">
          <cell r="E110" t="str">
            <v>Pintu Aluminium</v>
          </cell>
        </row>
        <row r="111">
          <cell r="E111" t="str">
            <v>Venetions blinds</v>
          </cell>
        </row>
        <row r="112">
          <cell r="E112" t="str">
            <v>Vertikals blinds</v>
          </cell>
        </row>
        <row r="113">
          <cell r="E113" t="str">
            <v>Besi strips 2x3</v>
          </cell>
        </row>
        <row r="114">
          <cell r="E114" t="str">
            <v>Kawat nyamuk</v>
          </cell>
        </row>
        <row r="115">
          <cell r="E115" t="str">
            <v>Kawat kassa</v>
          </cell>
        </row>
        <row r="116">
          <cell r="E116" t="str">
            <v>Kawat burung</v>
          </cell>
        </row>
        <row r="117">
          <cell r="E117" t="str">
            <v>Kawat Harmonika</v>
          </cell>
        </row>
        <row r="118">
          <cell r="E118" t="str">
            <v>Baja strip (0.2x2) cm</v>
          </cell>
        </row>
        <row r="119">
          <cell r="E119" t="str">
            <v>Profil Alluminium</v>
          </cell>
        </row>
        <row r="120">
          <cell r="E120" t="str">
            <v>Profil kaca</v>
          </cell>
        </row>
        <row r="121">
          <cell r="E121" t="str">
            <v>Besi scuare tube</v>
          </cell>
        </row>
        <row r="122">
          <cell r="E122" t="str">
            <v>Besi Lis kaca (1x1) cm</v>
          </cell>
        </row>
        <row r="123">
          <cell r="E123" t="str">
            <v>Skrup fixer</v>
          </cell>
        </row>
        <row r="124">
          <cell r="E124" t="str">
            <v>Sealant</v>
          </cell>
        </row>
        <row r="125">
          <cell r="E125" t="str">
            <v>Alluminium strip</v>
          </cell>
        </row>
        <row r="126">
          <cell r="E126" t="str">
            <v>Alluminium C</v>
          </cell>
        </row>
        <row r="127">
          <cell r="E127" t="str">
            <v>Alluminium B</v>
          </cell>
        </row>
        <row r="130">
          <cell r="E130" t="str">
            <v>BAHAN PLAPON</v>
          </cell>
        </row>
        <row r="131">
          <cell r="E131" t="str">
            <v>Mulripleks 1.22 x 2.44 x 4 mm</v>
          </cell>
        </row>
        <row r="132">
          <cell r="E132" t="str">
            <v>Multipleks 1.22 x 2.44 x 6 mm</v>
          </cell>
        </row>
        <row r="133">
          <cell r="E133" t="str">
            <v>Multipleks 1.22 x 2.44 x 9 mm</v>
          </cell>
        </row>
        <row r="134">
          <cell r="E134" t="str">
            <v>Fiber semen (Harpleks)  super 240 x 108 x 0,4 cm</v>
          </cell>
        </row>
        <row r="135">
          <cell r="E135" t="str">
            <v>Fiber semen (Harpleks)  super 180 x 108 x 0,4 cm</v>
          </cell>
        </row>
        <row r="136">
          <cell r="E136" t="str">
            <v>Tripleks melamin</v>
          </cell>
        </row>
        <row r="137">
          <cell r="E137" t="str">
            <v>Asbes  plat harpleks 200 x 100 x 0,3 cm</v>
          </cell>
        </row>
        <row r="138">
          <cell r="E138" t="str">
            <v>List profil 2 x 3 cm</v>
          </cell>
        </row>
        <row r="139">
          <cell r="E139" t="str">
            <v>List profil 3 x 3 cm</v>
          </cell>
        </row>
        <row r="140">
          <cell r="E140" t="str">
            <v>List profil 3 x 4cm</v>
          </cell>
        </row>
        <row r="141">
          <cell r="E141" t="str">
            <v>List profil 4 x 4 cm</v>
          </cell>
        </row>
        <row r="142">
          <cell r="E142" t="str">
            <v>List profil 4 x 5 cm</v>
          </cell>
        </row>
        <row r="143">
          <cell r="E143" t="str">
            <v>Woodplank 2/20 x 4 M</v>
          </cell>
        </row>
        <row r="144">
          <cell r="E144" t="str">
            <v>Asbes 3,5 mm</v>
          </cell>
        </row>
        <row r="145">
          <cell r="E145" t="str">
            <v>Asbes semen 4 mm (1,00x1,00)m</v>
          </cell>
        </row>
        <row r="146">
          <cell r="E146" t="str">
            <v>Asbes semen 5 mm (1,00x1,00)m</v>
          </cell>
        </row>
        <row r="147">
          <cell r="E147" t="str">
            <v>Asbes semen 6 mm (1,00x1,00)m</v>
          </cell>
        </row>
        <row r="148">
          <cell r="E148" t="str">
            <v>GRC,4 mm</v>
          </cell>
        </row>
        <row r="149">
          <cell r="E149" t="str">
            <v>Gypsumboard 9 mm</v>
          </cell>
        </row>
        <row r="150">
          <cell r="E150" t="str">
            <v>Gypsumboard 8 mm</v>
          </cell>
        </row>
        <row r="151">
          <cell r="E151" t="str">
            <v>Profil gypsumboard type CE (besar)</v>
          </cell>
        </row>
        <row r="152">
          <cell r="E152" t="str">
            <v>Tripleks.4"</v>
          </cell>
        </row>
        <row r="153">
          <cell r="E153" t="str">
            <v>List profil 3 x 3 cm</v>
          </cell>
        </row>
        <row r="154">
          <cell r="E154" t="str">
            <v>Akustik ukuran 30x30 cm</v>
          </cell>
        </row>
        <row r="155">
          <cell r="E155" t="str">
            <v>Akustik ukuran 30x60 cm</v>
          </cell>
        </row>
        <row r="156">
          <cell r="E156" t="str">
            <v>Akustik ukuran 60x120 cm</v>
          </cell>
        </row>
        <row r="157">
          <cell r="E157" t="str">
            <v>Plywood (30x60) tebal 4mm</v>
          </cell>
        </row>
        <row r="158">
          <cell r="E158" t="str">
            <v>Plywood (30x60) tebal 6mm</v>
          </cell>
        </row>
        <row r="159">
          <cell r="E159" t="str">
            <v>Plywood (60x120) tebal 4mm</v>
          </cell>
        </row>
        <row r="160">
          <cell r="E160" t="str">
            <v>Plywood (60x120) tebal 6mm</v>
          </cell>
        </row>
        <row r="161">
          <cell r="E161" t="str">
            <v>Ramset</v>
          </cell>
        </row>
        <row r="166">
          <cell r="E166" t="str">
            <v>BAHAN KERAMIK</v>
          </cell>
        </row>
        <row r="167">
          <cell r="E167" t="str">
            <v>Tegel keramik  30 x 30 cm</v>
          </cell>
        </row>
        <row r="168">
          <cell r="E168" t="str">
            <v>Tegel keramik 30 x 30 cm (putih polos)</v>
          </cell>
        </row>
        <row r="169">
          <cell r="E169" t="str">
            <v>Tegel keramik  20 x 20 cm (kasar)</v>
          </cell>
        </row>
        <row r="170">
          <cell r="E170" t="str">
            <v>Tegel keramik  20 x 20 cm (putih)</v>
          </cell>
        </row>
        <row r="171">
          <cell r="E171" t="str">
            <v>Tegel keramik  20 x 25 cm ( warna )</v>
          </cell>
        </row>
        <row r="172">
          <cell r="E172" t="str">
            <v>Tegel keramik 10 x 10 cm ( putih )</v>
          </cell>
        </row>
        <row r="173">
          <cell r="E173" t="str">
            <v>Tegel granite 40 x 40 cm</v>
          </cell>
        </row>
        <row r="174">
          <cell r="E174" t="str">
            <v>Tegel granite 40 x 40 cm</v>
          </cell>
        </row>
        <row r="175">
          <cell r="E175" t="str">
            <v>Tegel granite 30 x 30 cm</v>
          </cell>
        </row>
        <row r="176">
          <cell r="E176" t="str">
            <v xml:space="preserve">Tegel keramik  40 x 40 cm </v>
          </cell>
        </row>
        <row r="177">
          <cell r="E177" t="str">
            <v>Tegel keramik 30 x 30 cm impresso</v>
          </cell>
        </row>
        <row r="178">
          <cell r="E178" t="str">
            <v>Tegel keramik 20 x 20 cm kia</v>
          </cell>
        </row>
        <row r="179">
          <cell r="E179" t="str">
            <v>Tegel keramik 20 x 25 cm kia</v>
          </cell>
        </row>
        <row r="180">
          <cell r="E180" t="str">
            <v>Porselen Bak Mandi (11x11)cm</v>
          </cell>
        </row>
        <row r="181">
          <cell r="E181" t="str">
            <v>Porselen (10x20) cm</v>
          </cell>
        </row>
        <row r="182">
          <cell r="E182" t="str">
            <v>Porselen (20x20) cm</v>
          </cell>
        </row>
        <row r="183">
          <cell r="E183" t="str">
            <v>Ubin PC abu-abu (40x40) cm</v>
          </cell>
        </row>
        <row r="184">
          <cell r="E184" t="str">
            <v>Ubin PC abu-abu (30x30) cm</v>
          </cell>
        </row>
        <row r="185">
          <cell r="E185" t="str">
            <v>Ubin PC abu-abu (20x20) cm</v>
          </cell>
        </row>
        <row r="186">
          <cell r="E186" t="str">
            <v>Ubin warna (40x40) cm</v>
          </cell>
        </row>
        <row r="187">
          <cell r="E187" t="str">
            <v>Ubin warna (30x30) cm</v>
          </cell>
        </row>
        <row r="188">
          <cell r="E188" t="str">
            <v>Ubin warna (20x20) cm</v>
          </cell>
        </row>
        <row r="189">
          <cell r="E189" t="str">
            <v>Ubin teraso (40x40) cm</v>
          </cell>
        </row>
        <row r="190">
          <cell r="E190" t="str">
            <v>Ubin teraso (30x30) cm</v>
          </cell>
        </row>
        <row r="191">
          <cell r="E191" t="str">
            <v>Ubin keramik (33x33) cm</v>
          </cell>
        </row>
        <row r="192">
          <cell r="E192" t="str">
            <v>Ubin keramik (30x30) cm</v>
          </cell>
        </row>
        <row r="193">
          <cell r="E193" t="str">
            <v>Ubin keramik (20x20) cm</v>
          </cell>
        </row>
        <row r="194">
          <cell r="E194" t="str">
            <v>Ubin keramik (10x33) cm</v>
          </cell>
        </row>
        <row r="195">
          <cell r="E195" t="str">
            <v>Ubin keramik (15x15) cm</v>
          </cell>
        </row>
        <row r="196">
          <cell r="E196" t="str">
            <v>Ubin keramik (20x20) cm</v>
          </cell>
        </row>
        <row r="197">
          <cell r="E197" t="str">
            <v>Ubin keramik (25x25) cm</v>
          </cell>
        </row>
        <row r="198">
          <cell r="E198" t="str">
            <v>Ubin keramik (15x20) cm</v>
          </cell>
        </row>
        <row r="199">
          <cell r="E199" t="str">
            <v>Marmer (100x100) cm</v>
          </cell>
        </row>
        <row r="200">
          <cell r="E200" t="str">
            <v>karpet</v>
          </cell>
        </row>
        <row r="201">
          <cell r="E201" t="str">
            <v>lem karpet</v>
          </cell>
        </row>
        <row r="202">
          <cell r="E202" t="str">
            <v>Underlayer/rubber corrugate</v>
          </cell>
        </row>
        <row r="203">
          <cell r="E203" t="str">
            <v>Bata pelapis dinding</v>
          </cell>
        </row>
        <row r="204">
          <cell r="E204" t="str">
            <v>Batu paras</v>
          </cell>
        </row>
        <row r="205">
          <cell r="E205" t="str">
            <v>Batu tempel hitam</v>
          </cell>
        </row>
        <row r="206">
          <cell r="E206" t="str">
            <v>Vynil</v>
          </cell>
        </row>
        <row r="207">
          <cell r="E207" t="str">
            <v>Lem vynil</v>
          </cell>
        </row>
        <row r="208">
          <cell r="E208" t="str">
            <v>Vynil karet</v>
          </cell>
        </row>
        <row r="209">
          <cell r="E209" t="str">
            <v>Ubin teralux (30x30)cm</v>
          </cell>
        </row>
        <row r="210">
          <cell r="E210" t="str">
            <v>Ubin teralux (40x40)cm</v>
          </cell>
        </row>
        <row r="211">
          <cell r="E211" t="str">
            <v>Ubin teralux marmer (60x60)cm</v>
          </cell>
        </row>
        <row r="212">
          <cell r="E212" t="str">
            <v>Ubin teralux marmer (40x40)cm</v>
          </cell>
        </row>
        <row r="213">
          <cell r="E213" t="str">
            <v>Ubin teralux marmer (30x30)cm</v>
          </cell>
        </row>
        <row r="214">
          <cell r="E214" t="str">
            <v>Ubin porselen</v>
          </cell>
        </row>
        <row r="215">
          <cell r="E215" t="str">
            <v>Plint ubin (15x20)cm</v>
          </cell>
        </row>
        <row r="216">
          <cell r="E216" t="str">
            <v>Plint ubin (10x30)cm</v>
          </cell>
        </row>
        <row r="217">
          <cell r="E217" t="str">
            <v>Plint ubin (10x40)cm</v>
          </cell>
        </row>
        <row r="218">
          <cell r="E218" t="str">
            <v>Plint ubin marmer (10x60)cm</v>
          </cell>
        </row>
        <row r="219">
          <cell r="E219" t="str">
            <v>Plint ubin PC warna (10x20)cm</v>
          </cell>
        </row>
        <row r="220">
          <cell r="E220" t="str">
            <v>Plint ubin PC warna (10x30)cm</v>
          </cell>
        </row>
        <row r="221">
          <cell r="E221" t="str">
            <v>Plint ubin PC warna (10x40)cm</v>
          </cell>
        </row>
        <row r="222">
          <cell r="E222" t="str">
            <v>Plint ubin teraso (10x30)cm</v>
          </cell>
        </row>
        <row r="223">
          <cell r="E223" t="str">
            <v>Plint ubin teraso (10x40)cm</v>
          </cell>
        </row>
        <row r="224">
          <cell r="E224" t="str">
            <v>Plint ubin granit (10x30)cm</v>
          </cell>
        </row>
        <row r="225">
          <cell r="E225" t="str">
            <v>Plint ubin granit (10x40)cm</v>
          </cell>
        </row>
        <row r="226">
          <cell r="E226" t="str">
            <v>Plint ubin teralux kerang (10x30)cm</v>
          </cell>
        </row>
        <row r="227">
          <cell r="E227" t="str">
            <v>Plint ubin teralux kerang (10x40)cm</v>
          </cell>
        </row>
        <row r="228">
          <cell r="E228" t="str">
            <v>Plint ubin teralux marmer (10x30)cm</v>
          </cell>
        </row>
        <row r="229">
          <cell r="E229" t="str">
            <v>Plint ubin teralux marmer (10x40)cm</v>
          </cell>
        </row>
        <row r="230">
          <cell r="E230" t="str">
            <v>Plint ubin teralux marmer (10x60)cm</v>
          </cell>
        </row>
        <row r="231">
          <cell r="E231" t="str">
            <v>Plint keramik artistik (10x20) cm</v>
          </cell>
        </row>
        <row r="232">
          <cell r="E232" t="str">
            <v>Plint keramik artistik (10x10) cm</v>
          </cell>
        </row>
        <row r="233">
          <cell r="E233" t="str">
            <v>Plint keramik artistik (5x20) cm</v>
          </cell>
        </row>
        <row r="234">
          <cell r="E234" t="str">
            <v>Internal cove</v>
          </cell>
        </row>
        <row r="235">
          <cell r="E235" t="str">
            <v>Ubin keramik artistik (10x20) cm</v>
          </cell>
        </row>
        <row r="236">
          <cell r="E236" t="str">
            <v>Ubin keramik artistik (10x10) cm</v>
          </cell>
        </row>
        <row r="237">
          <cell r="E237" t="str">
            <v>Ubin keramik artistik (5x20) cm</v>
          </cell>
        </row>
        <row r="238">
          <cell r="E238" t="str">
            <v>Lantai Mosaik (30x30)</v>
          </cell>
        </row>
        <row r="239">
          <cell r="E239" t="str">
            <v>Parquet jati</v>
          </cell>
        </row>
        <row r="240">
          <cell r="E240" t="str">
            <v>Gymfloor</v>
          </cell>
        </row>
        <row r="241">
          <cell r="E241" t="str">
            <v>Porselin (11x11)</v>
          </cell>
        </row>
        <row r="242">
          <cell r="E242" t="str">
            <v>Porselin (10x20)</v>
          </cell>
        </row>
        <row r="243">
          <cell r="E243" t="str">
            <v>Porselin (20x20)</v>
          </cell>
        </row>
        <row r="244">
          <cell r="E244" t="str">
            <v>Floor hardener</v>
          </cell>
        </row>
        <row r="246">
          <cell r="E246" t="str">
            <v>BAHAN ATAP</v>
          </cell>
        </row>
        <row r="247">
          <cell r="E247" t="str">
            <v>Genteng  keramik</v>
          </cell>
        </row>
        <row r="248">
          <cell r="E248" t="str">
            <v>Genteng beton</v>
          </cell>
        </row>
        <row r="249">
          <cell r="E249" t="str">
            <v>Karet Pelapis Genteng</v>
          </cell>
        </row>
        <row r="250">
          <cell r="E250" t="str">
            <v>Nok genteng keramik</v>
          </cell>
        </row>
        <row r="251">
          <cell r="E251" t="str">
            <v>Nok genteng palentong</v>
          </cell>
        </row>
        <row r="252">
          <cell r="E252" t="str">
            <v>Genteng palentong kecil</v>
          </cell>
        </row>
        <row r="253">
          <cell r="E253" t="str">
            <v>Genteng palentong besar</v>
          </cell>
        </row>
        <row r="254">
          <cell r="E254" t="str">
            <v>Genteng bubung palentong</v>
          </cell>
        </row>
        <row r="255">
          <cell r="E255" t="str">
            <v>Nok genteng keramik</v>
          </cell>
        </row>
        <row r="256">
          <cell r="E256" t="str">
            <v>Karet pelapis atap genteng lebar 110 cm x 25 m</v>
          </cell>
        </row>
        <row r="257">
          <cell r="E257" t="str">
            <v>Seng plat</v>
          </cell>
        </row>
        <row r="258">
          <cell r="E258" t="str">
            <v>Gunting seng</v>
          </cell>
        </row>
        <row r="259">
          <cell r="E259" t="str">
            <v>Karet talang 50 cm</v>
          </cell>
        </row>
        <row r="260">
          <cell r="E260" t="str">
            <v>Seng talang 50 cm</v>
          </cell>
        </row>
        <row r="261">
          <cell r="E261" t="str">
            <v>Genteng metal Ex. Multi Roof</v>
          </cell>
        </row>
        <row r="262">
          <cell r="E262" t="str">
            <v>Genteng metal Ex. Sakura Roof</v>
          </cell>
        </row>
        <row r="263">
          <cell r="E263" t="str">
            <v>Nok genteng Metal Ex. Multi Roof</v>
          </cell>
        </row>
        <row r="264">
          <cell r="E264" t="str">
            <v>Nok genteng Metal Ex. Sakura Roof</v>
          </cell>
        </row>
        <row r="265">
          <cell r="E265" t="str">
            <v>Nok genteng Aspal</v>
          </cell>
        </row>
        <row r="266">
          <cell r="E266" t="str">
            <v>Genteng sirap</v>
          </cell>
        </row>
        <row r="267">
          <cell r="E267" t="str">
            <v>Nok genteng beton</v>
          </cell>
        </row>
        <row r="268">
          <cell r="E268" t="str">
            <v>Atap Spandek G550 AZ-100 T=0,4 mm</v>
          </cell>
        </row>
        <row r="269">
          <cell r="E269" t="str">
            <v>Nok Spandek G550 AZ-100 T=0,4 mm</v>
          </cell>
        </row>
        <row r="270">
          <cell r="E270" t="str">
            <v>Plastic Aerator</v>
          </cell>
        </row>
        <row r="271">
          <cell r="E271" t="str">
            <v>Aluminium Foil</v>
          </cell>
        </row>
        <row r="272">
          <cell r="E272" t="str">
            <v>Atap aluminium gelombang</v>
          </cell>
        </row>
        <row r="273">
          <cell r="E273" t="str">
            <v>Nok aluminium standar 40 cm</v>
          </cell>
        </row>
        <row r="274">
          <cell r="E274" t="str">
            <v>Genteng Decra bond</v>
          </cell>
        </row>
        <row r="275">
          <cell r="E275" t="str">
            <v>Aluminium foil/sisalation</v>
          </cell>
        </row>
        <row r="276">
          <cell r="E276" t="str">
            <v>Paku Sekrup + Mor + Pelapis</v>
          </cell>
        </row>
        <row r="277">
          <cell r="E277" t="str">
            <v>Smar Truss C75.100</v>
          </cell>
        </row>
        <row r="278">
          <cell r="E278" t="str">
            <v>Web C75.75</v>
          </cell>
        </row>
        <row r="279">
          <cell r="E279" t="str">
            <v>Top Span 40</v>
          </cell>
        </row>
        <row r="280">
          <cell r="E280" t="str">
            <v>ZA, G550</v>
          </cell>
        </row>
        <row r="281">
          <cell r="E281" t="str">
            <v>Main Truss 1.05 TCT</v>
          </cell>
        </row>
        <row r="282">
          <cell r="E282" t="str">
            <v>Web 0,8 TCT</v>
          </cell>
        </row>
        <row r="283">
          <cell r="E283" t="str">
            <v>Ancor / Seng Pelapis Genteng</v>
          </cell>
        </row>
        <row r="286">
          <cell r="E286" t="str">
            <v>BAHAN SENG/ALUMINIUM</v>
          </cell>
        </row>
        <row r="287">
          <cell r="E287" t="str">
            <v>Seng plat   BJLS 0.30</v>
          </cell>
        </row>
        <row r="288">
          <cell r="E288" t="str">
            <v>Seng plat   BJLS 0.28</v>
          </cell>
        </row>
        <row r="289">
          <cell r="E289" t="str">
            <v>Seng gelombang  BWG 34 "  BJLS 0.18 mm</v>
          </cell>
        </row>
        <row r="290">
          <cell r="E290" t="str">
            <v>Seng gelombang  BWG 33 "  BJLS 0.22 mm</v>
          </cell>
        </row>
        <row r="291">
          <cell r="E291" t="str">
            <v>Seng gelombang  BWG 32 "  BJLS 0.30 mm</v>
          </cell>
        </row>
        <row r="292">
          <cell r="E292" t="str">
            <v>Seng gelombang  BWG 28 "  BJLS 0.35 mm</v>
          </cell>
        </row>
        <row r="293">
          <cell r="E293" t="str">
            <v>Plat aluminium 0,31 mm</v>
          </cell>
        </row>
        <row r="294">
          <cell r="E294" t="str">
            <v>Seng Gelombang 3" - 5"</v>
          </cell>
        </row>
        <row r="295">
          <cell r="E295" t="str">
            <v>Seng Gelombang BJLS 32</v>
          </cell>
        </row>
        <row r="296">
          <cell r="E296" t="str">
            <v>Profil Aluminium 'T"</v>
          </cell>
        </row>
        <row r="298">
          <cell r="E298" t="str">
            <v>BAHAN KAYU</v>
          </cell>
        </row>
        <row r="299">
          <cell r="E299" t="str">
            <v>Kayu klas I  (balok) untuk kuda-kuda</v>
          </cell>
        </row>
        <row r="300">
          <cell r="E300" t="str">
            <v>Kayu klas II (balok)</v>
          </cell>
        </row>
        <row r="301">
          <cell r="E301" t="str">
            <v>Kayu klas II (papan)</v>
          </cell>
        </row>
        <row r="302">
          <cell r="E302" t="str">
            <v>Kayu klas III (balok)</v>
          </cell>
        </row>
        <row r="303">
          <cell r="E303" t="str">
            <v>Kayu klas III (papan)</v>
          </cell>
        </row>
        <row r="304">
          <cell r="E304" t="str">
            <v>Kayu klas I (papan) listplank dan pintu/jendela</v>
          </cell>
        </row>
        <row r="305">
          <cell r="E305" t="str">
            <v>Dolken kayu Ø8-10/400 cm</v>
          </cell>
        </row>
        <row r="306">
          <cell r="E306" t="str">
            <v>Kayu klas I (balok) untuk kosen  pintu/jendela</v>
          </cell>
        </row>
        <row r="307">
          <cell r="E307" t="str">
            <v>Kayu borneo. balok</v>
          </cell>
        </row>
        <row r="308">
          <cell r="E308" t="str">
            <v>Kayu borneo. papan</v>
          </cell>
        </row>
        <row r="309">
          <cell r="E309" t="str">
            <v>Kayu kamper. Balok</v>
          </cell>
        </row>
        <row r="310">
          <cell r="E310" t="str">
            <v>Kayu kamper. Papan</v>
          </cell>
        </row>
        <row r="311">
          <cell r="E311" t="str">
            <v>Kayu jati. Balok</v>
          </cell>
        </row>
        <row r="312">
          <cell r="E312" t="str">
            <v>Kayu jati. Papan</v>
          </cell>
        </row>
        <row r="313">
          <cell r="E313" t="str">
            <v>Kayu damar laut. Balok</v>
          </cell>
        </row>
        <row r="314">
          <cell r="E314" t="str">
            <v>Ply wood 4' x 3' x 4 mm</v>
          </cell>
        </row>
        <row r="315">
          <cell r="E315" t="str">
            <v>Ply wood 4' x 8' x 4 mm</v>
          </cell>
        </row>
        <row r="316">
          <cell r="E316" t="str">
            <v>Ply wood 4' x 8' x 6 mm</v>
          </cell>
        </row>
        <row r="317">
          <cell r="E317" t="str">
            <v>Plywood Ukuran 90x220 cm Tebal 4 mm</v>
          </cell>
        </row>
        <row r="318">
          <cell r="E318" t="str">
            <v>Plywood Ukuran 120x240 cm Tebal 4 mm</v>
          </cell>
        </row>
        <row r="319">
          <cell r="E319" t="str">
            <v>Formika 4' x 3'</v>
          </cell>
        </row>
        <row r="320">
          <cell r="E320" t="str">
            <v>Teakwood 4' x 8' x 4 mm</v>
          </cell>
        </row>
        <row r="321">
          <cell r="E321" t="str">
            <v>Teakwood 90x220 Tebal 4 mm</v>
          </cell>
        </row>
        <row r="322">
          <cell r="E322" t="str">
            <v>Teakwood 120x240 Tebal 4 mm</v>
          </cell>
        </row>
        <row r="323">
          <cell r="E323" t="str">
            <v>Formika 4' x 8'</v>
          </cell>
        </row>
        <row r="324">
          <cell r="E324" t="str">
            <v>Kayu 2/3</v>
          </cell>
        </row>
        <row r="325">
          <cell r="E325" t="str">
            <v>Kayu 5/7</v>
          </cell>
        </row>
        <row r="326">
          <cell r="E326" t="str">
            <v>Kayu 3/5</v>
          </cell>
        </row>
        <row r="327">
          <cell r="E327" t="str">
            <v>Kayu 6/12</v>
          </cell>
        </row>
        <row r="328">
          <cell r="E328" t="str">
            <v>Kayu 4/6</v>
          </cell>
        </row>
        <row r="329">
          <cell r="E329" t="str">
            <v>Papan Mal</v>
          </cell>
        </row>
        <row r="330">
          <cell r="E330" t="str">
            <v>Kayu papan 3/20</v>
          </cell>
        </row>
        <row r="331">
          <cell r="E331" t="str">
            <v>Kayu biasa</v>
          </cell>
        </row>
        <row r="332">
          <cell r="E332" t="str">
            <v>Jendela Nako</v>
          </cell>
        </row>
        <row r="333">
          <cell r="E333" t="str">
            <v>Kayu Terentang</v>
          </cell>
        </row>
        <row r="334">
          <cell r="E334" t="str">
            <v>Bambu ø 6-8/600 cm</v>
          </cell>
        </row>
        <row r="335">
          <cell r="E335" t="str">
            <v>Bilik bambu</v>
          </cell>
        </row>
        <row r="336">
          <cell r="E336" t="str">
            <v>List kayu 2/4</v>
          </cell>
        </row>
        <row r="337">
          <cell r="E337" t="str">
            <v>Kayu perancah</v>
          </cell>
        </row>
        <row r="338">
          <cell r="E338" t="str">
            <v>Kayu</v>
          </cell>
        </row>
        <row r="339">
          <cell r="E339" t="str">
            <v>Bilik bambu</v>
          </cell>
        </row>
        <row r="341">
          <cell r="E341" t="str">
            <v>BAHAN KUNCI, ENGSEL, GRENDEL DAN HAK ANGIN</v>
          </cell>
        </row>
        <row r="342">
          <cell r="E342" t="str">
            <v>Kunci tanam antik</v>
          </cell>
        </row>
        <row r="343">
          <cell r="E343" t="str">
            <v>Kunci tanam biasa</v>
          </cell>
        </row>
        <row r="344">
          <cell r="E344" t="str">
            <v>Kunci tanam kamar mandi</v>
          </cell>
        </row>
        <row r="345">
          <cell r="E345" t="str">
            <v>Kunci tanam kamar silinder</v>
          </cell>
        </row>
        <row r="346">
          <cell r="E346" t="str">
            <v>Kunci selot</v>
          </cell>
        </row>
        <row r="347">
          <cell r="E347" t="str">
            <v>Kunci lemari</v>
          </cell>
        </row>
        <row r="348">
          <cell r="E348" t="str">
            <v>Kunci tanam</v>
          </cell>
        </row>
        <row r="349">
          <cell r="E349" t="str">
            <v>Kunci Pintu 2x Putar</v>
          </cell>
        </row>
        <row r="350">
          <cell r="E350" t="str">
            <v>Engsel pintu</v>
          </cell>
        </row>
        <row r="351">
          <cell r="E351" t="str">
            <v>Engsel jendela</v>
          </cell>
        </row>
        <row r="352">
          <cell r="E352" t="str">
            <v>Grendel jendela</v>
          </cell>
        </row>
        <row r="353">
          <cell r="E353" t="str">
            <v>Expanyolet tanam</v>
          </cell>
        </row>
        <row r="354">
          <cell r="E354" t="str">
            <v>Kait angin</v>
          </cell>
        </row>
        <row r="355">
          <cell r="E355" t="str">
            <v>Kunci pywood</v>
          </cell>
        </row>
        <row r="356">
          <cell r="E356" t="str">
            <v>Grendel tanam</v>
          </cell>
        </row>
        <row r="357">
          <cell r="E357" t="str">
            <v>Pintu fiber crem</v>
          </cell>
        </row>
        <row r="358">
          <cell r="E358" t="str">
            <v>Pintu PVC ivori</v>
          </cell>
        </row>
        <row r="359">
          <cell r="E359" t="str">
            <v>Engsel onda 4'</v>
          </cell>
        </row>
        <row r="360">
          <cell r="E360" t="str">
            <v>Engsel 3'</v>
          </cell>
        </row>
        <row r="361">
          <cell r="E361" t="str">
            <v>Engsel 4 x 3</v>
          </cell>
        </row>
        <row r="362">
          <cell r="E362" t="str">
            <v>Engsel 3 x 2,5</v>
          </cell>
        </row>
        <row r="363">
          <cell r="E363" t="str">
            <v>Grendel kodok</v>
          </cell>
        </row>
        <row r="364">
          <cell r="E364" t="str">
            <v>Spring knip</v>
          </cell>
        </row>
        <row r="365">
          <cell r="E365" t="str">
            <v>Door closer</v>
          </cell>
        </row>
        <row r="366">
          <cell r="E366" t="str">
            <v>Door Holder</v>
          </cell>
        </row>
        <row r="367">
          <cell r="E367" t="str">
            <v>Door stop</v>
          </cell>
        </row>
        <row r="368">
          <cell r="E368" t="str">
            <v>Rel pintu dorong</v>
          </cell>
        </row>
        <row r="369">
          <cell r="E369" t="str">
            <v>Gembok</v>
          </cell>
        </row>
        <row r="371">
          <cell r="E371" t="str">
            <v>BAHAN KACA</v>
          </cell>
        </row>
        <row r="372">
          <cell r="E372" t="str">
            <v>Kaca bening 3 mm</v>
          </cell>
        </row>
        <row r="373">
          <cell r="E373" t="str">
            <v>Kaca bening 5mm</v>
          </cell>
        </row>
        <row r="374">
          <cell r="E374" t="str">
            <v>Kaca bening 8 mm</v>
          </cell>
        </row>
        <row r="375">
          <cell r="E375" t="str">
            <v>Kaca buram 5 mm</v>
          </cell>
        </row>
        <row r="376">
          <cell r="E376" t="str">
            <v>Kaca buram 12 mm</v>
          </cell>
        </row>
        <row r="377">
          <cell r="E377" t="str">
            <v>Kaca Rayband 5mm</v>
          </cell>
        </row>
        <row r="378">
          <cell r="E378" t="str">
            <v>Kaca nako lengkap teralis</v>
          </cell>
        </row>
        <row r="379">
          <cell r="E379" t="str">
            <v>Kaca Cermin tebal 5mm</v>
          </cell>
        </row>
        <row r="380">
          <cell r="E380" t="str">
            <v>Kaca Cermin tebal 6mm</v>
          </cell>
        </row>
        <row r="381">
          <cell r="E381" t="str">
            <v>Kaca Cermin tebal 8mm</v>
          </cell>
        </row>
        <row r="382">
          <cell r="E382" t="str">
            <v>Kaca wireglass tebal 5mm</v>
          </cell>
        </row>
        <row r="383">
          <cell r="E383" t="str">
            <v>Kaca patri tebal 5mm</v>
          </cell>
        </row>
        <row r="386">
          <cell r="E386" t="str">
            <v>BAHAN CAT</v>
          </cell>
        </row>
        <row r="387">
          <cell r="E387" t="str">
            <v>Cat tembok metrolite (putih)</v>
          </cell>
        </row>
        <row r="388">
          <cell r="E388" t="str">
            <v>Cat tembok metrolite (putih)</v>
          </cell>
        </row>
        <row r="389">
          <cell r="E389" t="str">
            <v>Cat Seng</v>
          </cell>
        </row>
        <row r="390">
          <cell r="E390" t="str">
            <v>Cat kayu avian</v>
          </cell>
        </row>
        <row r="391">
          <cell r="E391" t="str">
            <v>Minyak cat avian</v>
          </cell>
        </row>
        <row r="392">
          <cell r="E392" t="str">
            <v>Minyak bekisting</v>
          </cell>
        </row>
        <row r="393">
          <cell r="E393" t="str">
            <v>Cat meni</v>
          </cell>
        </row>
        <row r="394">
          <cell r="E394" t="str">
            <v>Flincote/meni besi</v>
          </cell>
        </row>
        <row r="395">
          <cell r="E395" t="str">
            <v>Soda api</v>
          </cell>
        </row>
        <row r="396">
          <cell r="E396" t="str">
            <v xml:space="preserve">Cat meni besi Galbani </v>
          </cell>
        </row>
        <row r="397">
          <cell r="E397" t="str">
            <v>Plamur tembok</v>
          </cell>
        </row>
        <row r="398">
          <cell r="E398" t="str">
            <v>Lem kayu</v>
          </cell>
        </row>
        <row r="399">
          <cell r="E399" t="str">
            <v>Residu</v>
          </cell>
        </row>
        <row r="400">
          <cell r="E400" t="str">
            <v>Kertas amplas</v>
          </cell>
        </row>
        <row r="401">
          <cell r="E401" t="str">
            <v>Dempul</v>
          </cell>
        </row>
        <row r="402">
          <cell r="E402" t="str">
            <v>Minyak cat</v>
          </cell>
        </row>
        <row r="403">
          <cell r="E403" t="str">
            <v>Vernis</v>
          </cell>
        </row>
        <row r="404">
          <cell r="E404" t="str">
            <v>Sabun</v>
          </cell>
        </row>
        <row r="405">
          <cell r="E405" t="str">
            <v>Plamir kayu</v>
          </cell>
        </row>
        <row r="406">
          <cell r="E406" t="str">
            <v>Cat dasar</v>
          </cell>
        </row>
        <row r="407">
          <cell r="E407" t="str">
            <v>Cat finishing kayu</v>
          </cell>
        </row>
        <row r="408">
          <cell r="E408" t="str">
            <v>Teak oil</v>
          </cell>
        </row>
        <row r="409">
          <cell r="E409" t="str">
            <v>Politur</v>
          </cell>
        </row>
        <row r="410">
          <cell r="E410" t="str">
            <v>Politur jadi</v>
          </cell>
        </row>
        <row r="411">
          <cell r="E411" t="str">
            <v>Cat finishing tembok</v>
          </cell>
        </row>
        <row r="412">
          <cell r="E412" t="str">
            <v>Kalkarium</v>
          </cell>
        </row>
        <row r="413">
          <cell r="E413" t="str">
            <v>Kapur sirih</v>
          </cell>
        </row>
        <row r="414">
          <cell r="E414" t="str">
            <v>Wallpaper</v>
          </cell>
        </row>
        <row r="415">
          <cell r="E415" t="str">
            <v>Perekat</v>
          </cell>
        </row>
        <row r="416">
          <cell r="E416" t="str">
            <v>Alang-alang</v>
          </cell>
        </row>
        <row r="417">
          <cell r="E417" t="str">
            <v>Meni (read lead) A</v>
          </cell>
        </row>
        <row r="418">
          <cell r="E418" t="str">
            <v>Meni (read lead) B</v>
          </cell>
        </row>
        <row r="419">
          <cell r="E419" t="str">
            <v>Pengencer</v>
          </cell>
        </row>
        <row r="422">
          <cell r="E422" t="str">
            <v>BAHAN SANITASI</v>
          </cell>
        </row>
        <row r="423">
          <cell r="E423" t="str">
            <v xml:space="preserve">Closet duduk monoblok (Ito) </v>
          </cell>
        </row>
        <row r="424">
          <cell r="E424" t="str">
            <v xml:space="preserve">Closet jongkok (Ito) </v>
          </cell>
        </row>
        <row r="425">
          <cell r="E425" t="str">
            <v>Closet duduk ivoit B5</v>
          </cell>
        </row>
        <row r="426">
          <cell r="E426" t="str">
            <v>Closet duduk Beige</v>
          </cell>
        </row>
        <row r="427">
          <cell r="E427" t="str">
            <v>Closet duduk INA krem</v>
          </cell>
        </row>
        <row r="428">
          <cell r="E428" t="str">
            <v>Closet jongkok porselen</v>
          </cell>
        </row>
        <row r="429">
          <cell r="E429" t="str">
            <v xml:space="preserve">Closet jongkok Krem </v>
          </cell>
        </row>
        <row r="430">
          <cell r="E430" t="str">
            <v>Urinoir</v>
          </cell>
        </row>
        <row r="431">
          <cell r="E431" t="str">
            <v>Partisi urinoir</v>
          </cell>
        </row>
        <row r="432">
          <cell r="E432" t="str">
            <v>Wastafel porselin</v>
          </cell>
        </row>
        <row r="433">
          <cell r="E433" t="str">
            <v>Wastapel aluminium  1 mata</v>
          </cell>
        </row>
        <row r="434">
          <cell r="E434" t="str">
            <v>Wastapel aluminium  2 mata</v>
          </cell>
        </row>
        <row r="435">
          <cell r="E435" t="str">
            <v xml:space="preserve">Floor drain </v>
          </cell>
        </row>
        <row r="436">
          <cell r="E436" t="str">
            <v>Seal tape</v>
          </cell>
        </row>
        <row r="437">
          <cell r="E437" t="str">
            <v xml:space="preserve">Kran air </v>
          </cell>
        </row>
        <row r="438">
          <cell r="E438" t="str">
            <v>Kran wastafel   1/2 "</v>
          </cell>
        </row>
        <row r="439">
          <cell r="E439" t="str">
            <v>Kran urinoir   1/2 "</v>
          </cell>
        </row>
        <row r="440">
          <cell r="E440" t="str">
            <v>Shawer  + acc  Mandi</v>
          </cell>
        </row>
        <row r="441">
          <cell r="E441" t="str">
            <v>Bak air fiber glass</v>
          </cell>
        </row>
        <row r="442">
          <cell r="E442" t="str">
            <v>Bak air Teraso</v>
          </cell>
        </row>
        <row r="443">
          <cell r="E443" t="str">
            <v>Kran bebek</v>
          </cell>
        </row>
        <row r="444">
          <cell r="E444" t="str">
            <v>Stop kran</v>
          </cell>
        </row>
        <row r="445">
          <cell r="E445" t="str">
            <v>Bak cuci stainless stel</v>
          </cell>
        </row>
        <row r="446">
          <cell r="E446" t="str">
            <v>Bak cuci Teraso</v>
          </cell>
        </row>
        <row r="447">
          <cell r="E447" t="str">
            <v>Waterdrain + accesoriss</v>
          </cell>
        </row>
        <row r="448">
          <cell r="E448" t="str">
            <v>Saringan got</v>
          </cell>
        </row>
        <row r="449">
          <cell r="E449" t="str">
            <v>Badkip</v>
          </cell>
        </row>
        <row r="451">
          <cell r="E451" t="str">
            <v>BAHAN PIPA</v>
          </cell>
        </row>
        <row r="452">
          <cell r="E452" t="str">
            <v>Pipa PVC   1/2''</v>
          </cell>
        </row>
        <row r="453">
          <cell r="E453" t="str">
            <v>Pipa PVC   1''</v>
          </cell>
        </row>
        <row r="454">
          <cell r="E454" t="str">
            <v>Pipa PVC   1 1/2''</v>
          </cell>
        </row>
        <row r="455">
          <cell r="E455" t="str">
            <v>Pipa PVC   3/4''</v>
          </cell>
        </row>
        <row r="456">
          <cell r="E456" t="str">
            <v>Pipa PVC   4''</v>
          </cell>
        </row>
        <row r="457">
          <cell r="E457" t="str">
            <v>Pipa PVC   3''</v>
          </cell>
        </row>
        <row r="458">
          <cell r="E458" t="str">
            <v>Pipa PVC   2,5''</v>
          </cell>
        </row>
        <row r="459">
          <cell r="E459" t="str">
            <v>Pipa PVC   2''</v>
          </cell>
        </row>
        <row r="460">
          <cell r="E460" t="str">
            <v>Pipa GIP  2"</v>
          </cell>
        </row>
        <row r="461">
          <cell r="E461" t="str">
            <v>Pipa GIP  1/2"</v>
          </cell>
        </row>
        <row r="462">
          <cell r="E462" t="str">
            <v>Pipa GIP 1 1/2"</v>
          </cell>
        </row>
        <row r="463">
          <cell r="E463" t="str">
            <v>Pipa GIP  3/4"</v>
          </cell>
        </row>
        <row r="464">
          <cell r="E464" t="str">
            <v>Pipa GIP  1"</v>
          </cell>
        </row>
        <row r="465">
          <cell r="E465" t="str">
            <v>Pipa GIP  4"</v>
          </cell>
        </row>
        <row r="466">
          <cell r="E466" t="str">
            <v>Pipa GIP 3"</v>
          </cell>
        </row>
        <row r="467">
          <cell r="E467" t="str">
            <v>Pipa beton</v>
          </cell>
        </row>
        <row r="468">
          <cell r="E468" t="str">
            <v>Pipa tanah</v>
          </cell>
        </row>
        <row r="469">
          <cell r="E469" t="str">
            <v>Pipa vinilon 4"</v>
          </cell>
        </row>
        <row r="470">
          <cell r="E470" t="str">
            <v>Lem pipa</v>
          </cell>
        </row>
        <row r="471">
          <cell r="E471" t="str">
            <v>Sok (sambungan pipa) DI 3/4"</v>
          </cell>
        </row>
        <row r="473">
          <cell r="E473" t="str">
            <v>BAHAN LISTRIK</v>
          </cell>
        </row>
        <row r="474">
          <cell r="E474" t="str">
            <v>Lampu Pijar 40 Watt</v>
          </cell>
        </row>
        <row r="475">
          <cell r="E475" t="str">
            <v>Lampu Pijar 15 Watt</v>
          </cell>
        </row>
        <row r="476">
          <cell r="E476" t="str">
            <v>Lampu TL 1 x 20 Watt</v>
          </cell>
        </row>
        <row r="477">
          <cell r="E477" t="str">
            <v>Lampu TL 2 x 20 Watt</v>
          </cell>
        </row>
        <row r="478">
          <cell r="E478" t="str">
            <v>Lampu TL 1 x 36 Watt</v>
          </cell>
        </row>
        <row r="479">
          <cell r="E479" t="str">
            <v>Lampu SL-E 15 Watt</v>
          </cell>
        </row>
        <row r="480">
          <cell r="E480" t="str">
            <v>Lampu SL-E 18 Watt</v>
          </cell>
        </row>
        <row r="481">
          <cell r="E481" t="str">
            <v>Lampu SL-E 20 Watt</v>
          </cell>
        </row>
        <row r="482">
          <cell r="E482" t="str">
            <v>Lampu TL 18 Watt</v>
          </cell>
        </row>
        <row r="483">
          <cell r="E483" t="str">
            <v>Stop Kontak</v>
          </cell>
        </row>
        <row r="484">
          <cell r="E484" t="str">
            <v>Saklar Tunggal</v>
          </cell>
        </row>
        <row r="485">
          <cell r="E485" t="str">
            <v>Saklar Ganda</v>
          </cell>
        </row>
        <row r="486">
          <cell r="E486" t="str">
            <v>Klem Kabel No. 10</v>
          </cell>
        </row>
        <row r="487">
          <cell r="E487" t="str">
            <v>Pipa Instalasi Listrik</v>
          </cell>
        </row>
        <row r="488">
          <cell r="E488" t="str">
            <v>Inbow Dos</v>
          </cell>
        </row>
        <row r="489">
          <cell r="E489" t="str">
            <v>Las Dop</v>
          </cell>
        </row>
        <row r="490">
          <cell r="E490" t="str">
            <v>Isolasi</v>
          </cell>
        </row>
        <row r="491">
          <cell r="E491" t="str">
            <v>T - Dos 5/8"</v>
          </cell>
        </row>
        <row r="492">
          <cell r="E492" t="str">
            <v>Fitting</v>
          </cell>
        </row>
        <row r="493">
          <cell r="E493" t="str">
            <v>Kabel NYM (2x2,5) mm</v>
          </cell>
        </row>
        <row r="494">
          <cell r="E494" t="str">
            <v>Kabel NYM (3x2,5) mm</v>
          </cell>
        </row>
        <row r="495">
          <cell r="E495" t="str">
            <v>MCB 6A Ex. Supran</v>
          </cell>
        </row>
        <row r="496">
          <cell r="E496" t="str">
            <v>MCB 32A Ex. Supran</v>
          </cell>
        </row>
        <row r="497">
          <cell r="E497" t="str">
            <v>Fuse Box</v>
          </cell>
        </row>
        <row r="498">
          <cell r="E498" t="str">
            <v>Kotak Panil + MCB + Pentanahan</v>
          </cell>
        </row>
        <row r="499">
          <cell r="E499" t="str">
            <v xml:space="preserve">Pengadan dan pemasangan lampu TL 2x36 W </v>
          </cell>
        </row>
        <row r="500">
          <cell r="E500" t="str">
            <v xml:space="preserve">Pengadan dan pemasangan lampu TL 2x18 W </v>
          </cell>
        </row>
        <row r="501">
          <cell r="E501" t="str">
            <v>Pengadan dan pemasangan lampu  SL 25 W</v>
          </cell>
        </row>
        <row r="502">
          <cell r="E502" t="str">
            <v>Pengadan dan pemasangan lampu  SL 18 W</v>
          </cell>
        </row>
        <row r="503">
          <cell r="E503" t="str">
            <v>Pengadan dan pemasangan lampu  Douwn Light SL 25 W</v>
          </cell>
        </row>
        <row r="504">
          <cell r="E504" t="str">
            <v>Pengadan dan pemasangan lampu  gantung SL 25 W</v>
          </cell>
        </row>
        <row r="505">
          <cell r="E505" t="str">
            <v>Pengadan dan pemasangan lampu  SL 18 W</v>
          </cell>
        </row>
        <row r="506">
          <cell r="E506" t="str">
            <v>Pengadan dan pemasangan lampu  kolom SL 25 W</v>
          </cell>
        </row>
        <row r="507">
          <cell r="E507" t="str">
            <v>Pengadan dan pemasangan lampu  gantung SL 25 W</v>
          </cell>
        </row>
        <row r="508">
          <cell r="E508" t="str">
            <v>Kotak kontak biasa 200 VA</v>
          </cell>
        </row>
        <row r="509">
          <cell r="E509" t="str">
            <v>Kotak kontak khusus 1000 VA</v>
          </cell>
        </row>
        <row r="510">
          <cell r="E510" t="str">
            <v>Pengadan dan pemasangan saklar ganda</v>
          </cell>
        </row>
        <row r="511">
          <cell r="E511" t="str">
            <v>Pengadan dan pemasangan saklar tunggal</v>
          </cell>
        </row>
        <row r="512">
          <cell r="E512" t="str">
            <v>Instalasi cahaya</v>
          </cell>
        </row>
        <row r="513">
          <cell r="E513" t="str">
            <v>Instalasi KKB 200 VA</v>
          </cell>
        </row>
        <row r="514">
          <cell r="E514" t="str">
            <v>Instalasi KKK 1000 VA</v>
          </cell>
        </row>
        <row r="515">
          <cell r="E515" t="str">
            <v>Pengadan dan pemasangan panel penerangan</v>
          </cell>
        </row>
        <row r="516">
          <cell r="E516" t="str">
            <v>Tranking kabel</v>
          </cell>
        </row>
        <row r="517">
          <cell r="E517" t="str">
            <v>Distribustion panel + acc</v>
          </cell>
        </row>
        <row r="518">
          <cell r="E518" t="str">
            <v>Kabel NYFGby 4 x 16 mm2 dari Panel Distribution ke Panel Pene</v>
          </cell>
        </row>
        <row r="519">
          <cell r="E519" t="str">
            <v>Alat bantu</v>
          </cell>
        </row>
        <row r="521">
          <cell r="E521" t="str">
            <v>BAHAN BETON CETAK</v>
          </cell>
        </row>
        <row r="522">
          <cell r="E522" t="str">
            <v>Buis beton  1/2 x 30 cm</v>
          </cell>
        </row>
        <row r="523">
          <cell r="E523" t="str">
            <v>Paving blok</v>
          </cell>
        </row>
        <row r="524">
          <cell r="E524" t="str">
            <v>Hollow block (HB 20)</v>
          </cell>
        </row>
        <row r="525">
          <cell r="E525" t="str">
            <v>Hollow block (HB 15)</v>
          </cell>
        </row>
        <row r="526">
          <cell r="E526" t="str">
            <v>Hollow block (HB 10)</v>
          </cell>
        </row>
        <row r="527">
          <cell r="E527" t="str">
            <v>Concrete block (CB 20)</v>
          </cell>
        </row>
        <row r="528">
          <cell r="E528" t="str">
            <v>Concrete block (CB 15)</v>
          </cell>
        </row>
        <row r="529">
          <cell r="E529" t="str">
            <v>Concrete block (CB 10)</v>
          </cell>
        </row>
        <row r="530">
          <cell r="E530" t="str">
            <v>Bondbeam 40x40x20</v>
          </cell>
        </row>
        <row r="531">
          <cell r="E531" t="str">
            <v>Terawang/Roster</v>
          </cell>
        </row>
        <row r="532">
          <cell r="E532" t="str">
            <v>Bata Berongga</v>
          </cell>
        </row>
        <row r="533">
          <cell r="E533" t="str">
            <v>Panel beton pracetak</v>
          </cell>
        </row>
        <row r="534">
          <cell r="E534" t="str">
            <v>Kolom beton pracetak</v>
          </cell>
        </row>
        <row r="535">
          <cell r="E535" t="str">
            <v>Waterstop lebar 150mm</v>
          </cell>
        </row>
        <row r="536">
          <cell r="E536" t="str">
            <v>Waterstop lebar 200mm</v>
          </cell>
        </row>
        <row r="537">
          <cell r="E537" t="str">
            <v>Waterstop lebar 230-320mm</v>
          </cell>
        </row>
        <row r="538">
          <cell r="E538" t="str">
            <v>Spacer/formite/penjaga jarak bekisting</v>
          </cell>
        </row>
        <row r="539">
          <cell r="E539" t="str">
            <v>Tiang Precast Ukuran = 171x17 (Lima  Susun)</v>
          </cell>
        </row>
        <row r="540">
          <cell r="E540" t="str">
            <v>Panel Beton Precast (240x45x5 cm)</v>
          </cell>
        </row>
        <row r="541">
          <cell r="E541" t="str">
            <v>Beton 1 : 1 1/2 : 2 1/2</v>
          </cell>
        </row>
        <row r="544">
          <cell r="E544" t="str">
            <v>PERALATAN KERJA</v>
          </cell>
        </row>
        <row r="545">
          <cell r="E545" t="str">
            <v>Kikir KCL</v>
          </cell>
        </row>
        <row r="546">
          <cell r="E546" t="str">
            <v>Mesin SHIMIZU 130bit</v>
          </cell>
        </row>
        <row r="547">
          <cell r="E547" t="str">
            <v>Gergaji besi</v>
          </cell>
        </row>
        <row r="548">
          <cell r="E548" t="str">
            <v xml:space="preserve">Kuas </v>
          </cell>
        </row>
        <row r="549">
          <cell r="E549" t="str">
            <v>Kuas 4"</v>
          </cell>
        </row>
        <row r="550">
          <cell r="E550" t="str">
            <v>Ember</v>
          </cell>
        </row>
        <row r="551">
          <cell r="E551" t="str">
            <v>Kertas amplas</v>
          </cell>
        </row>
        <row r="552">
          <cell r="E552" t="str">
            <v>Kertas amplas (m)</v>
          </cell>
        </row>
        <row r="553">
          <cell r="E553" t="str">
            <v>Pemotong keramik</v>
          </cell>
        </row>
        <row r="554">
          <cell r="E554" t="str">
            <v>Palu</v>
          </cell>
        </row>
        <row r="555">
          <cell r="E555" t="str">
            <v>Tali ijuk</v>
          </cell>
        </row>
        <row r="556">
          <cell r="E556" t="str">
            <v>Mata gergaji</v>
          </cell>
        </row>
        <row r="557">
          <cell r="E557" t="str">
            <v>Minyak pelumas</v>
          </cell>
        </row>
        <row r="558">
          <cell r="E558" t="str">
            <v>Solar</v>
          </cell>
        </row>
        <row r="559">
          <cell r="E559" t="str">
            <v>Kompressor, blasting</v>
          </cell>
        </row>
        <row r="560">
          <cell r="E560" t="str">
            <v>BBM</v>
          </cell>
        </row>
        <row r="574">
          <cell r="E574" t="str">
            <v>HARGA UPAH KERJA</v>
          </cell>
        </row>
        <row r="576">
          <cell r="E576" t="str">
            <v>Pembantu Tukang</v>
          </cell>
        </row>
        <row r="577">
          <cell r="E577" t="str">
            <v>Tukang kayu</v>
          </cell>
        </row>
        <row r="578">
          <cell r="E578" t="str">
            <v>Tukang las</v>
          </cell>
        </row>
        <row r="579">
          <cell r="E579" t="str">
            <v>Tukang Pipa</v>
          </cell>
        </row>
        <row r="580">
          <cell r="E580" t="str">
            <v>Tukang gali</v>
          </cell>
        </row>
        <row r="581">
          <cell r="E581" t="str">
            <v>Tukang batu</v>
          </cell>
        </row>
        <row r="582">
          <cell r="E582" t="str">
            <v>Tukang besi</v>
          </cell>
        </row>
        <row r="583">
          <cell r="E583" t="str">
            <v>Tukang cat</v>
          </cell>
        </row>
        <row r="584">
          <cell r="E584" t="str">
            <v>Tukang listrik</v>
          </cell>
        </row>
        <row r="585">
          <cell r="E585" t="str">
            <v>Kepala Tukang Kayu</v>
          </cell>
        </row>
        <row r="586">
          <cell r="E586" t="str">
            <v xml:space="preserve">Kepala Tukang Batu </v>
          </cell>
        </row>
        <row r="587">
          <cell r="E587" t="str">
            <v>Kepala Tukang Cat</v>
          </cell>
        </row>
        <row r="588">
          <cell r="E588" t="str">
            <v>Kepala Tukang Listrik</v>
          </cell>
        </row>
        <row r="589">
          <cell r="E589" t="str">
            <v>Kepala Tukang Pipa</v>
          </cell>
        </row>
        <row r="590">
          <cell r="E590" t="str">
            <v>Kepala Tukang Besi</v>
          </cell>
        </row>
        <row r="591">
          <cell r="E591" t="str">
            <v>Mandor</v>
          </cell>
        </row>
        <row r="592">
          <cell r="E592" t="str">
            <v>Pekerja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01"/>
      <sheetName val="Rekap01"/>
      <sheetName val="RAB02"/>
      <sheetName val="Rekap02"/>
      <sheetName val="RAB03"/>
      <sheetName val="Rekap03"/>
      <sheetName val="RAB04"/>
      <sheetName val="Rekap04"/>
      <sheetName val="RAB05"/>
      <sheetName val="Rekap05"/>
      <sheetName val="Rekap Total"/>
      <sheetName val="Analisa"/>
      <sheetName val="Bahan&amp;Upah"/>
      <sheetName val="Schedule"/>
      <sheetName val="Mobilisasi"/>
      <sheetName val="Network Plan."/>
      <sheetName val="D. Personil"/>
      <sheetName val="D. Peralatan"/>
      <sheetName val="Organisasi Kerja"/>
      <sheetName val="Rab Perbandingan1"/>
      <sheetName val="Rekap Perbandingan"/>
      <sheetName val="Schedule Materi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UKTUR"/>
      <sheetName val="ARSITEKTUR"/>
      <sheetName val="ME"/>
      <sheetName val="Sheet1"/>
      <sheetName val="kusen"/>
      <sheetName val="Sheet2"/>
    </sheetNames>
    <sheetDataSet>
      <sheetData sheetId="0"/>
      <sheetData sheetId="1" refreshError="1"/>
      <sheetData sheetId="2" refreshError="1"/>
      <sheetData sheetId="3">
        <row r="3">
          <cell r="R3">
            <v>1.5782400000000001</v>
          </cell>
          <cell r="U3">
            <v>0.61650000000000005</v>
          </cell>
        </row>
      </sheetData>
      <sheetData sheetId="4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 refreshError="1">
        <row r="13">
          <cell r="G13" t="str">
            <v>Tk</v>
          </cell>
        </row>
        <row r="14">
          <cell r="G14" t="str">
            <v>Fk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g-jadi"/>
      <sheetName val="REKAP"/>
      <sheetName val="Harga Alat"/>
      <sheetName val="Analisa Alat"/>
      <sheetName val="Pendahuluan"/>
      <sheetName val="AN-GALIAN"/>
      <sheetName val="PONDASI"/>
      <sheetName val="BETON"/>
      <sheetName val="Beton Pracetak"/>
      <sheetName val="Aluminium"/>
      <sheetName val="Dinding"/>
      <sheetName val="Pelasteran"/>
      <sheetName val="Lantai 14"/>
      <sheetName val="KAYU-ATAP BajaRingan"/>
      <sheetName val="KAYU 14"/>
      <sheetName val="PLAPOND"/>
      <sheetName val="KUNCI+KACA"/>
      <sheetName val="CAT"/>
      <sheetName val="Sanitasi 1"/>
      <sheetName val="Pipa"/>
      <sheetName val="Pot. Pipa"/>
      <sheetName val="paving"/>
      <sheetName val="Jl. Lingkungan"/>
      <sheetName val="Sheet1"/>
    </sheetNames>
    <sheetDataSet>
      <sheetData sheetId="0" refreshError="1">
        <row r="21">
          <cell r="H21">
            <v>120000</v>
          </cell>
        </row>
        <row r="24">
          <cell r="H24">
            <v>43000</v>
          </cell>
        </row>
        <row r="30">
          <cell r="H30">
            <v>600</v>
          </cell>
        </row>
        <row r="44">
          <cell r="H44">
            <v>90000</v>
          </cell>
        </row>
        <row r="45">
          <cell r="H45">
            <v>100000</v>
          </cell>
        </row>
        <row r="46">
          <cell r="H46">
            <v>105000</v>
          </cell>
        </row>
        <row r="58">
          <cell r="H58">
            <v>49000</v>
          </cell>
        </row>
        <row r="144">
          <cell r="H144">
            <v>20000</v>
          </cell>
        </row>
        <row r="159">
          <cell r="H159">
            <v>25000</v>
          </cell>
        </row>
        <row r="362">
          <cell r="H362">
            <v>100000</v>
          </cell>
        </row>
        <row r="559">
          <cell r="H559">
            <v>135000</v>
          </cell>
        </row>
        <row r="560">
          <cell r="H560">
            <v>115000</v>
          </cell>
        </row>
        <row r="566">
          <cell r="H566">
            <v>90000</v>
          </cell>
        </row>
        <row r="574">
          <cell r="H574">
            <v>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2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 t="str">
            <v/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 t="str">
            <v/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 t="str">
            <v/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 t="str">
            <v/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 t="str">
            <v/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 t="str">
            <v/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 t="str">
            <v/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 t="str">
            <v/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 t="str">
            <v/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 t="str">
            <v/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 t="str">
            <v/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 t="str">
            <v/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 t="str">
            <v/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 t="str">
            <v/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 t="str">
            <v/>
          </cell>
          <cell r="C919" t="str">
            <v/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 t="str">
            <v/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 t="str">
            <v/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 t="str">
            <v/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B"/>
      <sheetName val="Rekap"/>
      <sheetName val="HrgBahan&amp;Analisa"/>
    </sheetNames>
    <sheetDataSet>
      <sheetData sheetId="0" refreshError="1"/>
      <sheetData sheetId="1" refreshError="1"/>
      <sheetData sheetId="2" refreshError="1">
        <row r="806">
          <cell r="W806">
            <v>69178.399999999994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REKAP"/>
      <sheetName val="RAB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186">
          <cell r="BO186" t="str">
            <v xml:space="preserve"> Alat Baru</v>
          </cell>
        </row>
        <row r="187">
          <cell r="BO187">
            <v>285614032</v>
          </cell>
        </row>
        <row r="206">
          <cell r="BO206" t="str">
            <v xml:space="preserve"> Alat Baru</v>
          </cell>
        </row>
        <row r="207">
          <cell r="BO207">
            <v>1404024763</v>
          </cell>
        </row>
        <row r="226">
          <cell r="BO226" t="str">
            <v xml:space="preserve"> Alat Baru</v>
          </cell>
        </row>
        <row r="227">
          <cell r="BO227">
            <v>105005159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06">
          <cell r="BO506" t="str">
            <v xml:space="preserve"> Alat Baru</v>
          </cell>
        </row>
        <row r="507">
          <cell r="BO507">
            <v>6720330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10"/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-SNI"/>
      <sheetName val="lap-2"/>
      <sheetName val="lap-1"/>
      <sheetName val="rekap pang+me"/>
      <sheetName val="penda"/>
      <sheetName val="K-Depan A1-A2"/>
      <sheetName val="K-BL Brt B1-B2"/>
      <sheetName val="Lods B1`-B2` MUSHALLAH"/>
      <sheetName val="rK-KU C1"/>
      <sheetName val="K-KR Utr C2"/>
      <sheetName val="K-KR Utr C3"/>
      <sheetName val="K-KN Slt D1"/>
      <sheetName val="K-KN Slt D2"/>
      <sheetName val="K-KN Slt D3"/>
      <sheetName val="LK A1"/>
      <sheetName val="LK A5"/>
      <sheetName val="LK B1"/>
      <sheetName val="LK B5"/>
      <sheetName val="LK C1"/>
      <sheetName val="LK C2"/>
      <sheetName val="LK D1"/>
      <sheetName val="LB D2"/>
      <sheetName val="LK E1"/>
      <sheetName val="LK F1"/>
      <sheetName val="rLK A2"/>
      <sheetName val="rLK A3"/>
      <sheetName val="rLK A4"/>
      <sheetName val="rLK B2-B3"/>
      <sheetName val="rLK B4"/>
      <sheetName val="rLK C3-C4"/>
      <sheetName val="rLK C5-C6"/>
      <sheetName val="rLK D3-D4"/>
      <sheetName val="rLK D5-D6"/>
      <sheetName val="rLK E2"/>
      <sheetName val="rLB E3"/>
      <sheetName val="rLK F2-F3"/>
      <sheetName val="Pelataran"/>
      <sheetName val="Sls Utama-1"/>
      <sheetName val="WC"/>
      <sheetName val="PAVING"/>
      <sheetName val="MEK.ELEK"/>
      <sheetName val="3"/>
      <sheetName val="2"/>
      <sheetName val="1"/>
      <sheetName val="REKAP JENE"/>
    </sheetNames>
    <sheetDataSet>
      <sheetData sheetId="0">
        <row r="1575">
          <cell r="J1575" t="str">
            <v>PEK. PONDASI DAN TANAH</v>
          </cell>
        </row>
        <row r="1576">
          <cell r="J1576" t="str">
            <v>Galian Tanah</v>
          </cell>
          <cell r="S1576">
            <v>19960.289999999997</v>
          </cell>
        </row>
        <row r="1577">
          <cell r="J1577" t="str">
            <v>Pasir Urug Pondasi</v>
          </cell>
          <cell r="S1577">
            <v>105128.55</v>
          </cell>
        </row>
        <row r="1578">
          <cell r="J1578" t="str">
            <v>Pasir Urug Alas Pondasi</v>
          </cell>
          <cell r="S1578">
            <v>105128.55</v>
          </cell>
        </row>
        <row r="1579">
          <cell r="J1579" t="str">
            <v>Urugan Tanah</v>
          </cell>
          <cell r="S1579">
            <v>63332.55</v>
          </cell>
        </row>
        <row r="1580">
          <cell r="J1580" t="str">
            <v>Pas. Batu Kosong</v>
          </cell>
          <cell r="S1580">
            <v>149347.48500000002</v>
          </cell>
        </row>
        <row r="1581">
          <cell r="J1581" t="str">
            <v>Pas. Pondasi Batu Gunung 1 :  4</v>
          </cell>
          <cell r="S1581">
            <v>322685.83499999996</v>
          </cell>
        </row>
        <row r="1582">
          <cell r="J1582" t="str">
            <v>Pas. Pondasi Trasram (1pc : 2ps)</v>
          </cell>
          <cell r="S1582">
            <v>111137.21999999999</v>
          </cell>
        </row>
        <row r="1583">
          <cell r="J1583" t="str">
            <v>Urugan Kembali</v>
          </cell>
          <cell r="S1583">
            <v>5212.2150000000001</v>
          </cell>
        </row>
        <row r="1584">
          <cell r="J1584" t="str">
            <v>Lantai Kerja t = 7 cm</v>
          </cell>
          <cell r="S1584">
            <v>58888.368000000002</v>
          </cell>
        </row>
        <row r="1585">
          <cell r="J1585" t="str">
            <v>Pas. Pondasi Poer</v>
          </cell>
          <cell r="S1585">
            <v>2579856.1050285008</v>
          </cell>
        </row>
        <row r="1586">
          <cell r="J1586" t="str">
            <v>Membongkar Atap Existing</v>
          </cell>
          <cell r="S1586">
            <v>5500</v>
          </cell>
        </row>
        <row r="1587">
          <cell r="J1587" t="str">
            <v>Lantai Kerja Poer</v>
          </cell>
          <cell r="S1587">
            <v>58888.368000000002</v>
          </cell>
        </row>
        <row r="1588">
          <cell r="J1588" t="str">
            <v>Pondasi Beton Cor (1pc : 2ps : 3kr)</v>
          </cell>
        </row>
        <row r="1589">
          <cell r="J1589" t="str">
            <v>Pondasi Trasram (1pc : 2ps)</v>
          </cell>
          <cell r="S1589">
            <v>52943.318999999996</v>
          </cell>
        </row>
        <row r="1590">
          <cell r="J1590" t="str">
            <v>PEK. STRUKTUR BETON</v>
          </cell>
        </row>
        <row r="1591">
          <cell r="J1591" t="str">
            <v>Sloof  20/30</v>
          </cell>
          <cell r="S1591">
            <v>3273876.8711240003</v>
          </cell>
        </row>
        <row r="1592">
          <cell r="J1592" t="str">
            <v>Sloof  Praktis</v>
          </cell>
          <cell r="S1592">
            <v>2864480.0574400001</v>
          </cell>
        </row>
        <row r="1593">
          <cell r="J1593" t="str">
            <v>Kolom Utama 25/35</v>
          </cell>
          <cell r="S1593">
            <v>3715073.8863524003</v>
          </cell>
        </row>
        <row r="1594">
          <cell r="J1594" t="str">
            <v>Plat Level Kosen</v>
          </cell>
          <cell r="S1594">
            <v>2662612.8750000005</v>
          </cell>
        </row>
        <row r="1595">
          <cell r="J1595" t="str">
            <v>Ringbalk Praktis + Balok Latei</v>
          </cell>
          <cell r="S1595">
            <v>3315177.2382666664</v>
          </cell>
        </row>
        <row r="1596">
          <cell r="J1596" t="str">
            <v>Sloof Beton</v>
          </cell>
          <cell r="S1596">
            <v>2864480.0574400001</v>
          </cell>
        </row>
        <row r="1597">
          <cell r="J1597" t="str">
            <v>Ringbalk Beton</v>
          </cell>
          <cell r="S1597">
            <v>3315177.2382666664</v>
          </cell>
        </row>
        <row r="1598">
          <cell r="J1598" t="str">
            <v>Kolom Beton</v>
          </cell>
          <cell r="S1598">
            <v>3589311.8208666667</v>
          </cell>
        </row>
        <row r="1599">
          <cell r="J1599" t="str">
            <v>Sloof Praktis</v>
          </cell>
          <cell r="S1599">
            <v>2864480.0574400001</v>
          </cell>
        </row>
        <row r="1600">
          <cell r="J1600" t="str">
            <v>Kolom Utama</v>
          </cell>
          <cell r="S1600">
            <v>3715073.8863524003</v>
          </cell>
        </row>
        <row r="1601">
          <cell r="J1601" t="str">
            <v>Kolom Praktis</v>
          </cell>
          <cell r="S1601">
            <v>3589311.8208666667</v>
          </cell>
        </row>
        <row r="1602">
          <cell r="J1602" t="str">
            <v>Balok Lantai Induk</v>
          </cell>
          <cell r="S1602">
            <v>3170264.4519199999</v>
          </cell>
        </row>
        <row r="1603">
          <cell r="J1603" t="str">
            <v>Plat Lantai</v>
          </cell>
          <cell r="S1603">
            <v>2754283.9540000004</v>
          </cell>
        </row>
        <row r="1604">
          <cell r="J1604" t="str">
            <v>Lesplank Beton</v>
          </cell>
          <cell r="S1604">
            <v>3430848.9447999997</v>
          </cell>
        </row>
        <row r="1605">
          <cell r="J1605" t="str">
            <v>Tangga Beton</v>
          </cell>
          <cell r="S1605">
            <v>2561199.6269999999</v>
          </cell>
        </row>
        <row r="1607">
          <cell r="J1607" t="str">
            <v>PEK. PASANGAN &amp; PLESTERAN</v>
          </cell>
        </row>
        <row r="1608">
          <cell r="J1608" t="str">
            <v>Pas. Batu Trasram (1pc : 2ps)</v>
          </cell>
          <cell r="S1608">
            <v>19454.828400000002</v>
          </cell>
        </row>
        <row r="1609">
          <cell r="J1609" t="str">
            <v>Pas. Batu Biasa (1pc :  5ps)</v>
          </cell>
          <cell r="S1609">
            <v>45763.230599999995</v>
          </cell>
        </row>
        <row r="1610">
          <cell r="J1610" t="str">
            <v>Plesteran Trasram (1pc : 2ps)</v>
          </cell>
          <cell r="S1610">
            <v>19454.828400000002</v>
          </cell>
        </row>
        <row r="1611">
          <cell r="J1611" t="str">
            <v>Plesteran Biasa (1pc :  5ps)</v>
          </cell>
          <cell r="S1611">
            <v>16350.314399999997</v>
          </cell>
        </row>
        <row r="1612">
          <cell r="J1612" t="str">
            <v>Plesteran Beton (1pc : 3ps)</v>
          </cell>
          <cell r="S1612">
            <v>17912.0916</v>
          </cell>
        </row>
        <row r="1613">
          <cell r="J1613" t="str">
            <v>Acian Tembok &amp; Beton</v>
          </cell>
          <cell r="S1613">
            <v>9079.3643399999983</v>
          </cell>
        </row>
        <row r="1614">
          <cell r="J1614" t="str">
            <v xml:space="preserve">Acian </v>
          </cell>
          <cell r="S1614">
            <v>9079.3643399999983</v>
          </cell>
        </row>
        <row r="1615">
          <cell r="J1615" t="str">
            <v>Pek. Lobang-Lobang</v>
          </cell>
          <cell r="S1615">
            <v>21500</v>
          </cell>
        </row>
        <row r="1616">
          <cell r="J1616" t="str">
            <v>Plesteran Bawah Plat (1pc : 3ps)</v>
          </cell>
          <cell r="S1616">
            <v>17912.0916</v>
          </cell>
        </row>
        <row r="1617">
          <cell r="J1617" t="str">
            <v>Pek. Profil Topi</v>
          </cell>
          <cell r="S1617">
            <v>25000</v>
          </cell>
        </row>
        <row r="1618">
          <cell r="J1618" t="str">
            <v>Plesteran Trasram + Beton (1pc : 2ps)</v>
          </cell>
          <cell r="S1618">
            <v>17912.0916</v>
          </cell>
        </row>
        <row r="1619">
          <cell r="J1619" t="str">
            <v>Plat Meja Beton</v>
          </cell>
          <cell r="S1619">
            <v>2754283.9540000004</v>
          </cell>
        </row>
        <row r="1621">
          <cell r="J1621" t="str">
            <v>PEK. KOSEN, PINTU &amp; JENDELA</v>
          </cell>
        </row>
        <row r="1622">
          <cell r="J1622" t="str">
            <v>Kosen Kayu Kelas I</v>
          </cell>
          <cell r="S1622">
            <v>5715976.5</v>
          </cell>
        </row>
        <row r="1623">
          <cell r="J1623" t="str">
            <v>Pek. Daun Pintu Panil</v>
          </cell>
          <cell r="S1623">
            <v>338253.75</v>
          </cell>
        </row>
        <row r="1624">
          <cell r="J1624" t="str">
            <v>Pek. Jalusi Papan</v>
          </cell>
          <cell r="S1624">
            <v>353419.42499999999</v>
          </cell>
        </row>
        <row r="1625">
          <cell r="J1625" t="str">
            <v>Engsel Pintu Kupu-kupu Ex.Lokal</v>
          </cell>
          <cell r="S1625">
            <v>28927.228749999998</v>
          </cell>
        </row>
        <row r="1626">
          <cell r="J1626" t="str">
            <v>Pintu WC PVC Lengkap</v>
          </cell>
          <cell r="S1626" t="e">
            <v>#REF!</v>
          </cell>
        </row>
        <row r="1627">
          <cell r="J1627" t="str">
            <v>Engsel Pintu T Ex.Lokal</v>
          </cell>
          <cell r="S1627">
            <v>36327.228750000002</v>
          </cell>
        </row>
        <row r="1628">
          <cell r="J1628" t="str">
            <v>Jendela Kaca</v>
          </cell>
          <cell r="S1628">
            <v>286798.95</v>
          </cell>
        </row>
        <row r="1629">
          <cell r="J1629" t="str">
            <v>Pek. Kaca Mati Bening 5 mm</v>
          </cell>
          <cell r="S1629">
            <v>89139.228749999995</v>
          </cell>
        </row>
        <row r="1630">
          <cell r="J1630" t="str">
            <v>Engsel Pintu Biasa (Kuningan)</v>
          </cell>
          <cell r="S1630">
            <v>10744.953750000001</v>
          </cell>
        </row>
        <row r="1631">
          <cell r="J1631" t="str">
            <v>Engsel Pintu Kupu-kupu Ex.Lokal</v>
          </cell>
          <cell r="S1631">
            <v>28927.228749999998</v>
          </cell>
        </row>
        <row r="1632">
          <cell r="J1632" t="str">
            <v>Engsel Pintu T Ex.Lokal</v>
          </cell>
          <cell r="S1632">
            <v>36327.228750000002</v>
          </cell>
        </row>
        <row r="1633">
          <cell r="J1633" t="str">
            <v>Engsel Jendela</v>
          </cell>
          <cell r="S1633">
            <v>6730.4025000000011</v>
          </cell>
        </row>
        <row r="1634">
          <cell r="J1634" t="str">
            <v>Tarikan Jendela</v>
          </cell>
          <cell r="S1634">
            <v>5522.2537499999999</v>
          </cell>
        </row>
        <row r="1635">
          <cell r="J1635" t="str">
            <v xml:space="preserve">Grendel Pintu Utama / Pintu WC </v>
          </cell>
          <cell r="S1635">
            <v>11140.053749999999</v>
          </cell>
        </row>
        <row r="1636">
          <cell r="J1636" t="str">
            <v>Grendel Jendela</v>
          </cell>
          <cell r="S1636">
            <v>11036.553749999999</v>
          </cell>
        </row>
        <row r="1637">
          <cell r="J1637" t="str">
            <v>Hak Angin</v>
          </cell>
          <cell r="S1637">
            <v>7309.42875</v>
          </cell>
        </row>
        <row r="1638">
          <cell r="J1638" t="str">
            <v>Expanyolet Tempel / Dor Closer</v>
          </cell>
          <cell r="S1638">
            <v>73490.762499999997</v>
          </cell>
        </row>
        <row r="1639">
          <cell r="J1639" t="str">
            <v>Kunci Pintu 2 x Putar</v>
          </cell>
          <cell r="S1639">
            <v>87170.737500000003</v>
          </cell>
        </row>
        <row r="1640">
          <cell r="J1640" t="str">
            <v>Realing Tangga</v>
          </cell>
          <cell r="S1640">
            <v>536730.95713119989</v>
          </cell>
        </row>
        <row r="1641">
          <cell r="J1641" t="str">
            <v>Realing Balkon</v>
          </cell>
          <cell r="S1641">
            <v>566048.45713119989</v>
          </cell>
        </row>
        <row r="1642">
          <cell r="J1642" t="str">
            <v xml:space="preserve">Grendel Pintu Utama / Pintu WC </v>
          </cell>
          <cell r="S1642">
            <v>11140.053749999999</v>
          </cell>
        </row>
        <row r="1643">
          <cell r="J1643" t="str">
            <v>Kunci Pintu Overval</v>
          </cell>
          <cell r="S1643">
            <v>112210.7375</v>
          </cell>
        </row>
        <row r="1644">
          <cell r="J1644" t="str">
            <v>Palang Siku</v>
          </cell>
        </row>
        <row r="1645">
          <cell r="J1645" t="str">
            <v>Gembok</v>
          </cell>
          <cell r="S1645" t="e">
            <v>#REF!</v>
          </cell>
        </row>
        <row r="1646">
          <cell r="J1646" t="str">
            <v>Pintu Masuk</v>
          </cell>
        </row>
        <row r="1647">
          <cell r="J1647" t="str">
            <v>Pintu  Masuk</v>
          </cell>
          <cell r="S1647">
            <v>625000</v>
          </cell>
        </row>
        <row r="1648">
          <cell r="J1648" t="str">
            <v>Kosen Kayu Kls II Timpalaja</v>
          </cell>
          <cell r="S1648">
            <v>5715976.5</v>
          </cell>
        </row>
        <row r="1650">
          <cell r="J1650" t="str">
            <v>PEK. KONSTRUKSI ATAP ENTRANCE</v>
          </cell>
        </row>
        <row r="1651">
          <cell r="J1651" t="str">
            <v>Kuda-kuda Pipa Dia. 2" MB</v>
          </cell>
          <cell r="S1651">
            <v>94945.709249999985</v>
          </cell>
        </row>
        <row r="1652">
          <cell r="J1652" t="str">
            <v>Kuda-kuda Pipa Dia. 1,5" MB</v>
          </cell>
          <cell r="S1652">
            <v>67206.226500000004</v>
          </cell>
        </row>
        <row r="1653">
          <cell r="J1653" t="str">
            <v>Gording Dia. 1" MB</v>
          </cell>
          <cell r="S1653">
            <v>36297.922500000001</v>
          </cell>
        </row>
        <row r="1654">
          <cell r="J1654" t="str">
            <v>Atap Polycarbonat</v>
          </cell>
          <cell r="S1654">
            <v>89566.3125</v>
          </cell>
        </row>
        <row r="1656">
          <cell r="J1656" t="str">
            <v>PEK. PENGECATAN</v>
          </cell>
        </row>
        <row r="1657">
          <cell r="J1657" t="str">
            <v>Pengecetan Dinding</v>
          </cell>
          <cell r="S1657">
            <v>19038.401999999998</v>
          </cell>
        </row>
        <row r="1658">
          <cell r="J1658" t="str">
            <v>Pengecetan Plafond</v>
          </cell>
          <cell r="S1658">
            <v>19038.401999999998</v>
          </cell>
        </row>
        <row r="1659">
          <cell r="J1659" t="str">
            <v xml:space="preserve">Pengecetan Kayu / Kusen </v>
          </cell>
          <cell r="S1659">
            <v>24994.359</v>
          </cell>
        </row>
        <row r="1660">
          <cell r="J1660" t="str">
            <v>Pengecetan Balok dan Plat Beton</v>
          </cell>
          <cell r="S1660">
            <v>19038.401999999998</v>
          </cell>
        </row>
        <row r="1661">
          <cell r="J1661" t="str">
            <v>Cat Tembok</v>
          </cell>
          <cell r="S1661">
            <v>19038.401999999998</v>
          </cell>
        </row>
        <row r="1662">
          <cell r="J1662" t="str">
            <v>Cat Plafond</v>
          </cell>
          <cell r="S1662">
            <v>19038.401999999998</v>
          </cell>
        </row>
        <row r="1663">
          <cell r="J1663" t="str">
            <v>Cat Kayu</v>
          </cell>
          <cell r="S1663">
            <v>24994.359</v>
          </cell>
        </row>
        <row r="1664">
          <cell r="J1664" t="str">
            <v>Pengacatan Atap Seng</v>
          </cell>
          <cell r="S1664">
            <v>13931.19</v>
          </cell>
        </row>
        <row r="1665">
          <cell r="J1665" t="str">
            <v>Cat Konstruksi Besi</v>
          </cell>
          <cell r="S1665">
            <v>17704.440000000002</v>
          </cell>
        </row>
        <row r="1667">
          <cell r="J1667" t="str">
            <v>PEK. LANTAI</v>
          </cell>
        </row>
        <row r="1668">
          <cell r="J1668" t="str">
            <v>Lantai Keramik 30/30 cm</v>
          </cell>
          <cell r="S1668">
            <v>76139.979599999991</v>
          </cell>
        </row>
        <row r="1669">
          <cell r="J1669" t="str">
            <v>Lantai Keramik 20/20 cm</v>
          </cell>
          <cell r="S1669">
            <v>95695.809599999993</v>
          </cell>
        </row>
        <row r="1670">
          <cell r="J1670" t="str">
            <v>Lantai Rabat Beton  t = 7 cm (1pc : 3ps : 5kr)</v>
          </cell>
          <cell r="S1670">
            <v>58888.368000000002</v>
          </cell>
        </row>
        <row r="1671">
          <cell r="J1671" t="str">
            <v>Saluran Air Terbuka</v>
          </cell>
          <cell r="S1671">
            <v>62157.542643000001</v>
          </cell>
        </row>
        <row r="1672">
          <cell r="J1672" t="str">
            <v>Saluran Air Tertutup</v>
          </cell>
          <cell r="S1672">
            <v>254957.41942300004</v>
          </cell>
        </row>
        <row r="1673">
          <cell r="J1673" t="str">
            <v>Urugan Tanah</v>
          </cell>
          <cell r="S1673">
            <v>63332.55</v>
          </cell>
        </row>
        <row r="1674">
          <cell r="J1674" t="str">
            <v>Urugan Pasir</v>
          </cell>
          <cell r="S1674">
            <v>105128.55</v>
          </cell>
        </row>
        <row r="1675">
          <cell r="J1675" t="str">
            <v>Lantai Keramik 30/30 cm (Teras)</v>
          </cell>
          <cell r="S1675">
            <v>76139.979599999991</v>
          </cell>
        </row>
        <row r="1677">
          <cell r="J1677" t="str">
            <v>PEK. INSTALASI LISTRIK</v>
          </cell>
        </row>
        <row r="1678">
          <cell r="J1678" t="str">
            <v>Titik Mata Lampu</v>
          </cell>
          <cell r="S1678">
            <v>61280</v>
          </cell>
        </row>
        <row r="1679">
          <cell r="J1679" t="str">
            <v>Lampu TL 2 x 20 Watt</v>
          </cell>
          <cell r="S1679" t="e">
            <v>#REF!</v>
          </cell>
        </row>
        <row r="1680">
          <cell r="J1680" t="str">
            <v>Lampu Pijar 40 Watt</v>
          </cell>
          <cell r="S1680">
            <v>2902.5</v>
          </cell>
        </row>
        <row r="1681">
          <cell r="J1681" t="str">
            <v>Fitting</v>
          </cell>
          <cell r="S1681">
            <v>8000</v>
          </cell>
        </row>
        <row r="1682">
          <cell r="J1682" t="str">
            <v>Stop Kontak</v>
          </cell>
          <cell r="S1682">
            <v>104624.5</v>
          </cell>
        </row>
        <row r="1683">
          <cell r="J1683" t="str">
            <v>Saklar Tunggal</v>
          </cell>
          <cell r="S1683">
            <v>9288</v>
          </cell>
        </row>
        <row r="1684">
          <cell r="J1684" t="str">
            <v>Saklar Ganda</v>
          </cell>
          <cell r="S1684">
            <v>15093</v>
          </cell>
        </row>
        <row r="1686">
          <cell r="J1686" t="str">
            <v>PEK. STRUKTUR BETON</v>
          </cell>
        </row>
        <row r="1687">
          <cell r="J1687" t="str">
            <v>Balok Lantai/Induk 25/35</v>
          </cell>
          <cell r="S1687">
            <v>3170264.4519199999</v>
          </cell>
        </row>
        <row r="1688">
          <cell r="J1688" t="str">
            <v>Balok Lantai/Anak 20/35</v>
          </cell>
          <cell r="S1688">
            <v>3672718.3947480004</v>
          </cell>
        </row>
        <row r="1689">
          <cell r="J1689" t="str">
            <v>Listplank Beton</v>
          </cell>
          <cell r="S1689">
            <v>3430848.9447999997</v>
          </cell>
        </row>
        <row r="1690">
          <cell r="J1690" t="str">
            <v>Plat Lantai t = 12 cm</v>
          </cell>
          <cell r="S1690">
            <v>2754283.9540000004</v>
          </cell>
        </row>
        <row r="1691">
          <cell r="J1691" t="str">
            <v>Kolom Utama 25/35</v>
          </cell>
          <cell r="S1691">
            <v>3715073.8863524003</v>
          </cell>
        </row>
        <row r="1692">
          <cell r="J1692" t="str">
            <v>Kolom Praktis 12/15</v>
          </cell>
          <cell r="S1692">
            <v>3589311.8208666667</v>
          </cell>
        </row>
        <row r="1694">
          <cell r="J1694" t="str">
            <v>Plat Atap t = 12 cm</v>
          </cell>
          <cell r="S1694">
            <v>2754283.9540000004</v>
          </cell>
        </row>
        <row r="1695">
          <cell r="J1695" t="str">
            <v>Tangga Beton + Balok</v>
          </cell>
          <cell r="S1695">
            <v>2561199.6269999999</v>
          </cell>
        </row>
        <row r="1697">
          <cell r="J1697" t="str">
            <v>PEK. PLAFOND</v>
          </cell>
        </row>
        <row r="1698">
          <cell r="J1698" t="str">
            <v>Plafond Eternit</v>
          </cell>
          <cell r="S1698">
            <v>16386.547500000001</v>
          </cell>
        </row>
        <row r="1699">
          <cell r="J1699" t="str">
            <v>Rangka Plafond Kayu Kls. II</v>
          </cell>
          <cell r="S1699">
            <v>43234.875</v>
          </cell>
        </row>
        <row r="1700">
          <cell r="J1700" t="str">
            <v>Plafond Eternit</v>
          </cell>
          <cell r="S1700">
            <v>16386.547500000001</v>
          </cell>
        </row>
        <row r="1701">
          <cell r="J1701" t="str">
            <v>List Plafond</v>
          </cell>
          <cell r="S1701">
            <v>7624.665</v>
          </cell>
        </row>
        <row r="1702">
          <cell r="J1702" t="str">
            <v>Rangka Plafond Kayu Kls. II (50%)</v>
          </cell>
          <cell r="S1702">
            <v>16386.547500000001</v>
          </cell>
        </row>
        <row r="1703">
          <cell r="J1703" t="str">
            <v>Plafond Eternit (100%)</v>
          </cell>
          <cell r="S1703">
            <v>16386.547500000001</v>
          </cell>
        </row>
        <row r="1704">
          <cell r="J1704" t="str">
            <v>Plafond GRC</v>
          </cell>
          <cell r="S1704" t="e">
            <v>#REF!</v>
          </cell>
        </row>
        <row r="1706">
          <cell r="J1706" t="str">
            <v>PEK. KONSTRUKSI KAP &amp; ATAP</v>
          </cell>
        </row>
        <row r="1707">
          <cell r="J1707" t="str">
            <v>Kuda-kuda + Konsol Kayu Kls.I</v>
          </cell>
          <cell r="S1707">
            <v>5524203.5999999996</v>
          </cell>
        </row>
        <row r="1708">
          <cell r="J1708" t="str">
            <v>Gording Kayu Kls I</v>
          </cell>
          <cell r="S1708">
            <v>5090453.0999999996</v>
          </cell>
        </row>
        <row r="1709">
          <cell r="J1709" t="str">
            <v>Listplank Papan Kls. I</v>
          </cell>
          <cell r="S1709">
            <v>56017.89</v>
          </cell>
        </row>
        <row r="1710">
          <cell r="J1710" t="str">
            <v>Pek. Atap Baja (Ex. Indodek, Spandek)</v>
          </cell>
          <cell r="S1710">
            <v>122776.15375</v>
          </cell>
        </row>
        <row r="1711">
          <cell r="J1711" t="str">
            <v>Pek. Nok Atap Baja</v>
          </cell>
          <cell r="S1711">
            <v>110289.50000000001</v>
          </cell>
        </row>
        <row r="1712">
          <cell r="J1712" t="str">
            <v>Talang Jurai</v>
          </cell>
          <cell r="S1712">
            <v>77011.166250000009</v>
          </cell>
        </row>
        <row r="1713">
          <cell r="J1713" t="str">
            <v>Kuda-kuda + Konsol</v>
          </cell>
          <cell r="S1713">
            <v>5524203.5999999996</v>
          </cell>
        </row>
        <row r="1714">
          <cell r="J1714" t="str">
            <v>Gording Kayu Kls II + Skor Angin</v>
          </cell>
          <cell r="S1714">
            <v>5090453.0999999996</v>
          </cell>
        </row>
        <row r="1715">
          <cell r="J1715" t="str">
            <v>Listplank Spandek</v>
          </cell>
          <cell r="S1715">
            <v>118163.44875000001</v>
          </cell>
        </row>
        <row r="1716">
          <cell r="J1716" t="str">
            <v>Rangka Lisplank Kayu Kls.I</v>
          </cell>
          <cell r="S1716">
            <v>4931293.5</v>
          </cell>
        </row>
        <row r="1717">
          <cell r="J1717" t="str">
            <v>Kuda-kuda + Skor Angin + Konsol</v>
          </cell>
          <cell r="S1717">
            <v>5524203.5999999996</v>
          </cell>
        </row>
        <row r="1718">
          <cell r="J1718" t="str">
            <v>Rangka Timpalaja Kls II</v>
          </cell>
          <cell r="S1718">
            <v>5090453.0999999996</v>
          </cell>
        </row>
        <row r="1719">
          <cell r="J1719" t="str">
            <v xml:space="preserve">Pek. Atap Baja Timpalaja </v>
          </cell>
          <cell r="S1719">
            <v>122776.15375</v>
          </cell>
        </row>
        <row r="1720">
          <cell r="J1720" t="str">
            <v>Gording Kayu Kls II (100%)</v>
          </cell>
          <cell r="S1720">
            <v>5090453.0999999996</v>
          </cell>
        </row>
        <row r="1721">
          <cell r="J1721" t="str">
            <v>Listplank Papan Kls. I (100%)</v>
          </cell>
          <cell r="S1721">
            <v>56017.89</v>
          </cell>
        </row>
        <row r="1722">
          <cell r="J1722" t="str">
            <v>Tiang Pipa Dia 3"</v>
          </cell>
          <cell r="S1722">
            <v>107776.21049999999</v>
          </cell>
        </row>
        <row r="1723">
          <cell r="J1723" t="str">
            <v>Tiang Kuda-Kuda Dia 1 1/2"</v>
          </cell>
          <cell r="S1723">
            <v>54491.535000000003</v>
          </cell>
        </row>
        <row r="1724">
          <cell r="J1724" t="str">
            <v>Skor Angin Pipa Dia 1 1/2"</v>
          </cell>
          <cell r="S1724">
            <v>54491.535000000003</v>
          </cell>
        </row>
        <row r="1725">
          <cell r="J1725" t="str">
            <v>Kuda-Kuda Pipa 1 1/4"</v>
          </cell>
          <cell r="S1725">
            <v>55986.832125000008</v>
          </cell>
        </row>
        <row r="1726">
          <cell r="J1726" t="str">
            <v>Besi Beton Dia. 16 mm</v>
          </cell>
          <cell r="S1726">
            <v>18779.465250000001</v>
          </cell>
        </row>
        <row r="1727">
          <cell r="J1727" t="str">
            <v>Baut Angkur Dia. 16 mm</v>
          </cell>
        </row>
        <row r="1729">
          <cell r="J1729" t="str">
            <v>Gordin Pipa Dia 1"</v>
          </cell>
          <cell r="S1729">
            <v>36297.922500000001</v>
          </cell>
        </row>
        <row r="1730">
          <cell r="J1730" t="str">
            <v>Landasan Gording Dia 1 1/2"</v>
          </cell>
          <cell r="S1730">
            <v>54491.535000000003</v>
          </cell>
        </row>
        <row r="1732">
          <cell r="J1732" t="str">
            <v>PEK. PENGECATAN</v>
          </cell>
        </row>
        <row r="1733">
          <cell r="J1733" t="str">
            <v>Residu Rangka Plafond</v>
          </cell>
          <cell r="S1733">
            <v>8820.6749999999993</v>
          </cell>
        </row>
        <row r="1734">
          <cell r="J1734" t="str">
            <v>Water Profing Atap Plat (Coating) + Cat Finish</v>
          </cell>
          <cell r="S1734">
            <v>96416.405999999988</v>
          </cell>
        </row>
        <row r="1735">
          <cell r="J1735" t="str">
            <v>Pengacatan Atap Seng / Spandek</v>
          </cell>
          <cell r="S1735">
            <v>13931.19</v>
          </cell>
        </row>
        <row r="1736">
          <cell r="J1736" t="str">
            <v>Residu Rangka Plafond + Timpalaja</v>
          </cell>
          <cell r="S1736">
            <v>8820.6749999999993</v>
          </cell>
        </row>
        <row r="1737">
          <cell r="J1737" t="str">
            <v>Residu Rangka Kap (100%)</v>
          </cell>
          <cell r="S1737">
            <v>8820.6749999999993</v>
          </cell>
        </row>
        <row r="1738">
          <cell r="J1738" t="str">
            <v>PEK. LANTAI</v>
          </cell>
        </row>
        <row r="1739">
          <cell r="J1739" t="str">
            <v>Lantai Keramik 30/30 cm + Tangga</v>
          </cell>
          <cell r="S1739">
            <v>76139.979599999991</v>
          </cell>
        </row>
        <row r="1740">
          <cell r="J1740" t="str">
            <v>Lantai Keramik 20/20 cm (Kasar)</v>
          </cell>
          <cell r="S1740">
            <v>95695.809599999993</v>
          </cell>
        </row>
        <row r="1741">
          <cell r="J1741" t="str">
            <v>Dinding Keramik 20/25 cm (KM)</v>
          </cell>
          <cell r="S1741">
            <v>88992.516000000003</v>
          </cell>
        </row>
        <row r="1743">
          <cell r="J1743" t="str">
            <v>Urugan Sirtu t = 15 cm</v>
          </cell>
          <cell r="S1743">
            <v>111283.875</v>
          </cell>
        </row>
        <row r="1744">
          <cell r="J1744" t="str">
            <v>Urugan Tanah T. 10 cm</v>
          </cell>
          <cell r="S1744">
            <v>63332.55</v>
          </cell>
        </row>
        <row r="1745">
          <cell r="J1745" t="str">
            <v>Pek. Paving Block (K225) T.8cm + Pasir T.10 cm</v>
          </cell>
          <cell r="S1745">
            <v>91080.135000000009</v>
          </cell>
        </row>
        <row r="1746">
          <cell r="J1746" t="str">
            <v>Pek. Cansteen</v>
          </cell>
        </row>
        <row r="1747">
          <cell r="J1747" t="str">
            <v xml:space="preserve"> - Galian Tanah Cansteen</v>
          </cell>
          <cell r="S1747">
            <v>19960.289999999997</v>
          </cell>
        </row>
        <row r="1748">
          <cell r="J1748" t="str">
            <v xml:space="preserve"> - Pasir Urug Alas Cansteen</v>
          </cell>
          <cell r="S1748">
            <v>105128.55</v>
          </cell>
        </row>
        <row r="1749">
          <cell r="J1749" t="str">
            <v xml:space="preserve"> - Urugan Kembali</v>
          </cell>
          <cell r="S1749">
            <v>5212.2150000000001</v>
          </cell>
        </row>
        <row r="1750">
          <cell r="J1750" t="str">
            <v xml:space="preserve"> - Pas. Cansteen Beton 1:2:3</v>
          </cell>
          <cell r="S1750">
            <v>535171.58100000001</v>
          </cell>
        </row>
        <row r="1751">
          <cell r="J1751" t="str">
            <v xml:space="preserve"> - Plesteran (1pc : 3ps)</v>
          </cell>
          <cell r="S1751">
            <v>17912.0916</v>
          </cell>
        </row>
        <row r="1752">
          <cell r="J1752" t="str">
            <v xml:space="preserve"> - Cat Cansteen</v>
          </cell>
          <cell r="S1752">
            <v>13931.19</v>
          </cell>
        </row>
        <row r="1754">
          <cell r="J1754" t="str">
            <v>Baut Angkur Dia. 16 mm</v>
          </cell>
          <cell r="S1754">
            <v>11500</v>
          </cell>
        </row>
        <row r="1755">
          <cell r="J1755" t="str">
            <v>Plat Landasan/Simpul T.4mm</v>
          </cell>
          <cell r="S1755">
            <v>93500</v>
          </cell>
        </row>
        <row r="1762">
          <cell r="J1762" t="str">
            <v>Kloset Jongkok Ex. TOTO/KIA + Pasang</v>
          </cell>
          <cell r="S1762">
            <v>262513.17</v>
          </cell>
        </row>
        <row r="1763">
          <cell r="J1763" t="str">
            <v>Floor Drine</v>
          </cell>
          <cell r="S1763">
            <v>29741.474999999999</v>
          </cell>
        </row>
        <row r="1764">
          <cell r="J1764" t="str">
            <v>Pipa PVC Dia 3 + Perlengkapan + Pemasangan</v>
          </cell>
          <cell r="S1764">
            <v>50147.518500000006</v>
          </cell>
        </row>
        <row r="1765">
          <cell r="J1765" t="str">
            <v>Pipa PVC Dia 3/4" + Perlengkapan + Pemasangan</v>
          </cell>
          <cell r="S1765">
            <v>8737.3349999999991</v>
          </cell>
        </row>
        <row r="1766">
          <cell r="J1766" t="str">
            <v>Kran Air</v>
          </cell>
          <cell r="S1766">
            <v>18210.974999999999</v>
          </cell>
        </row>
        <row r="1767">
          <cell r="J1767" t="str">
            <v>Urinoir Ex. KIA/TOTO (Lengkap) + Pasang</v>
          </cell>
          <cell r="S1767">
            <v>875989.84000000008</v>
          </cell>
        </row>
        <row r="1768">
          <cell r="J1768" t="str">
            <v>Partisi Urinoir</v>
          </cell>
          <cell r="S1768" t="e">
            <v>#REF!</v>
          </cell>
        </row>
        <row r="1769">
          <cell r="J1769" t="str">
            <v>Washtafel Ex. KIA Lengkap</v>
          </cell>
          <cell r="S1769">
            <v>322324.04592000006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  <sheetName val="Harga Bahan"/>
      <sheetName val="Analisa SNI"/>
      <sheetName val="K122"/>
      <sheetName val="K 124"/>
      <sheetName val="K 410A"/>
      <sheetName val="K 902"/>
      <sheetName val="H.SD"/>
      <sheetName val="HARGA SATUAN"/>
      <sheetName val="Sheet1"/>
      <sheetName val="Rab"/>
      <sheetName val="ANAL.HRG.SAT"/>
      <sheetName val="HARGA.SAT"/>
      <sheetName val="REKAP DAN RAB"/>
      <sheetName val="Rekap"/>
      <sheetName val="H.Satuan"/>
    </sheetNames>
    <sheetDataSet>
      <sheetData sheetId="0">
        <row r="621">
          <cell r="J621">
            <v>62149.995416666665</v>
          </cell>
        </row>
        <row r="691">
          <cell r="J691">
            <v>62211.686583333343</v>
          </cell>
        </row>
        <row r="1181">
          <cell r="J1181">
            <v>125289.94749999999</v>
          </cell>
        </row>
        <row r="1739">
          <cell r="J1739">
            <v>45837.285416666673</v>
          </cell>
        </row>
        <row r="1879">
          <cell r="J1879">
            <v>11530.379192337301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K"/>
      <sheetName val="JALAN"/>
    </sheetNames>
    <sheetDataSet>
      <sheetData sheetId="0">
        <row r="621">
          <cell r="J621">
            <v>62149.995416666665</v>
          </cell>
        </row>
        <row r="3559">
          <cell r="J3559">
            <v>48872.398974074073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 PANGKEP"/>
      <sheetName val="rab dipakai"/>
      <sheetName val="SAMPUL"/>
      <sheetName val="link"/>
      <sheetName val="Analisa Alat"/>
      <sheetName val="Daft.Sewa Alat"/>
      <sheetName val="analisa-K"/>
      <sheetName val="rab tot"/>
    </sheetNames>
    <sheetDataSet>
      <sheetData sheetId="0">
        <row r="5">
          <cell r="B5" t="str">
            <v>Batu Pecah 1-2</v>
          </cell>
        </row>
        <row r="420">
          <cell r="B420" t="str">
            <v>Ijuk</v>
          </cell>
        </row>
        <row r="421">
          <cell r="B421" t="str">
            <v>Electroda 6 mm</v>
          </cell>
        </row>
        <row r="422">
          <cell r="B422" t="str">
            <v>Karung (Kasar)</v>
          </cell>
        </row>
        <row r="423">
          <cell r="B423" t="str">
            <v>Formtie/penjaga jarak bekisting/spacer</v>
          </cell>
        </row>
        <row r="424">
          <cell r="B424" t="str">
            <v>Minyak Bekisting</v>
          </cell>
        </row>
        <row r="425">
          <cell r="B425" t="str">
            <v>Pohon Palem Raja (Tinggi min 2,5 m)</v>
          </cell>
        </row>
        <row r="426">
          <cell r="B426" t="str">
            <v xml:space="preserve">Rumput Veking  </v>
          </cell>
        </row>
        <row r="427">
          <cell r="B427" t="str">
            <v xml:space="preserve">Rumput Gajah Pendek </v>
          </cell>
        </row>
        <row r="428">
          <cell r="B428" t="str">
            <v>Glodogan Tiang   (Tinggo min. 2,00 mtr)</v>
          </cell>
        </row>
        <row r="429">
          <cell r="B429" t="str">
            <v>Filizium</v>
          </cell>
        </row>
        <row r="430">
          <cell r="B430" t="str">
            <v>Sekop</v>
          </cell>
        </row>
        <row r="431">
          <cell r="B431" t="str">
            <v>Pacul</v>
          </cell>
        </row>
        <row r="432">
          <cell r="B432" t="str">
            <v>Pupuk Kandang</v>
          </cell>
        </row>
        <row r="433">
          <cell r="B433" t="str">
            <v>Pupuk Anorganik</v>
          </cell>
        </row>
        <row r="434">
          <cell r="B434" t="str">
            <v>Geotextil</v>
          </cell>
        </row>
        <row r="435">
          <cell r="B435" t="str">
            <v>Benang Polypropylane</v>
          </cell>
        </row>
        <row r="436">
          <cell r="B436" t="str">
            <v xml:space="preserve"> Minyak Diesel/Solar</v>
          </cell>
          <cell r="G436" t="str">
            <v>M.183</v>
          </cell>
        </row>
        <row r="437">
          <cell r="B437" t="str">
            <v xml:space="preserve"> Bensin Premium</v>
          </cell>
          <cell r="G437" t="str">
            <v>M.184</v>
          </cell>
        </row>
        <row r="438">
          <cell r="B438" t="str">
            <v xml:space="preserve"> Minyak Pelumas</v>
          </cell>
          <cell r="G438" t="str">
            <v>M.185</v>
          </cell>
        </row>
        <row r="439">
          <cell r="B439" t="str">
            <v>F i l l e r</v>
          </cell>
          <cell r="G439" t="str">
            <v>M05</v>
          </cell>
        </row>
        <row r="440">
          <cell r="B440" t="str">
            <v>Aspal Cement</v>
          </cell>
          <cell r="G440" t="str">
            <v>M10</v>
          </cell>
        </row>
        <row r="441">
          <cell r="B441" t="str">
            <v>Kerosen / Minyak Tanah</v>
          </cell>
          <cell r="G441" t="str">
            <v>M11</v>
          </cell>
        </row>
        <row r="442">
          <cell r="B442" t="str">
            <v>Plastik Filter</v>
          </cell>
          <cell r="G442" t="str">
            <v>M23</v>
          </cell>
        </row>
        <row r="443">
          <cell r="B443" t="str">
            <v>Bahan Agr.Base Kelas A</v>
          </cell>
          <cell r="G443" t="str">
            <v>M26</v>
          </cell>
        </row>
        <row r="444">
          <cell r="B444" t="str">
            <v>Bahan Agr.Base Kelas B</v>
          </cell>
          <cell r="G444" t="str">
            <v>M27</v>
          </cell>
        </row>
        <row r="445">
          <cell r="B445" t="str">
            <v>Bahan Agr.Base Kelas C</v>
          </cell>
          <cell r="G445" t="str">
            <v>M28</v>
          </cell>
        </row>
        <row r="446">
          <cell r="B446" t="str">
            <v>Bahan Agr.Base Kelas C2</v>
          </cell>
          <cell r="G446" t="str">
            <v>M29</v>
          </cell>
        </row>
        <row r="447">
          <cell r="B447" t="str">
            <v>Aspal Emulsi</v>
          </cell>
          <cell r="G447" t="str">
            <v>M31</v>
          </cell>
        </row>
        <row r="448">
          <cell r="B448" t="str">
            <v>Gebalan Rumput</v>
          </cell>
          <cell r="G448" t="str">
            <v>M32</v>
          </cell>
        </row>
        <row r="449">
          <cell r="B449" t="str">
            <v>Arbocell</v>
          </cell>
          <cell r="G449" t="str">
            <v>M45</v>
          </cell>
        </row>
        <row r="450">
          <cell r="B450" t="str">
            <v>Minyak Fluks</v>
          </cell>
          <cell r="G450" t="str">
            <v>M53</v>
          </cell>
        </row>
        <row r="451">
          <cell r="B451" t="str">
            <v>Bunker Oil</v>
          </cell>
          <cell r="G451" t="str">
            <v>M54</v>
          </cell>
        </row>
        <row r="452">
          <cell r="B452" t="str">
            <v>Asbuton Halus</v>
          </cell>
          <cell r="G452" t="str">
            <v>M55</v>
          </cell>
        </row>
        <row r="454">
          <cell r="B454" t="str">
            <v>TENAGA KERJA:</v>
          </cell>
        </row>
        <row r="455">
          <cell r="B455" t="str">
            <v>(Pekerjaan Bangunan Gedung)</v>
          </cell>
        </row>
        <row r="456">
          <cell r="B456" t="str">
            <v>Tukang Cat</v>
          </cell>
          <cell r="G456" t="str">
            <v>L.079</v>
          </cell>
        </row>
        <row r="457">
          <cell r="B457" t="str">
            <v>Tukang Pipa</v>
          </cell>
          <cell r="G457" t="str">
            <v>L.079</v>
          </cell>
        </row>
        <row r="458">
          <cell r="B458" t="str">
            <v>Tukang Besi</v>
          </cell>
          <cell r="G458" t="str">
            <v>L.079</v>
          </cell>
        </row>
        <row r="459">
          <cell r="B459" t="str">
            <v>Tukang Batu</v>
          </cell>
          <cell r="G459" t="str">
            <v>L.079</v>
          </cell>
        </row>
        <row r="460">
          <cell r="B460" t="str">
            <v>Tukang Kayu</v>
          </cell>
          <cell r="G460" t="str">
            <v>L.079</v>
          </cell>
        </row>
        <row r="461">
          <cell r="B461" t="str">
            <v>Tukang Listrik</v>
          </cell>
          <cell r="G461" t="str">
            <v>L.079</v>
          </cell>
        </row>
        <row r="462">
          <cell r="B462" t="str">
            <v>Tukang Taman</v>
          </cell>
          <cell r="G462" t="str">
            <v>L.079</v>
          </cell>
        </row>
        <row r="463">
          <cell r="B463" t="str">
            <v>Tukang Las</v>
          </cell>
          <cell r="G463" t="str">
            <v>L.079</v>
          </cell>
        </row>
        <row r="464">
          <cell r="B464" t="str">
            <v>Kepala Tukang Cat</v>
          </cell>
          <cell r="G464" t="str">
            <v>L.073</v>
          </cell>
        </row>
        <row r="465">
          <cell r="B465" t="str">
            <v>Kepala Tukang Pipa</v>
          </cell>
          <cell r="G465" t="str">
            <v>L.073</v>
          </cell>
        </row>
        <row r="466">
          <cell r="B466" t="str">
            <v>Kepala Tukang Besi</v>
          </cell>
          <cell r="G466" t="str">
            <v>L.073</v>
          </cell>
        </row>
        <row r="467">
          <cell r="B467" t="str">
            <v>Kepala Tukang Batu</v>
          </cell>
          <cell r="G467" t="str">
            <v>L.073</v>
          </cell>
        </row>
        <row r="468">
          <cell r="B468" t="str">
            <v>Kepala Tukang Kayu</v>
          </cell>
          <cell r="G468" t="str">
            <v>L.073</v>
          </cell>
        </row>
        <row r="469">
          <cell r="B469" t="str">
            <v>Kepala Tukang Listrik</v>
          </cell>
          <cell r="G469" t="str">
            <v>L.073</v>
          </cell>
        </row>
        <row r="470">
          <cell r="B470" t="str">
            <v>Kepala Tukang Taman</v>
          </cell>
          <cell r="G470" t="str">
            <v>L.073</v>
          </cell>
        </row>
        <row r="471">
          <cell r="B471" t="str">
            <v>Pekerja</v>
          </cell>
          <cell r="G471" t="str">
            <v>L.106</v>
          </cell>
        </row>
        <row r="472">
          <cell r="B472" t="str">
            <v>Mandor</v>
          </cell>
          <cell r="G472" t="str">
            <v>L.061</v>
          </cell>
        </row>
        <row r="473">
          <cell r="B473" t="str">
            <v>Alat Bantu</v>
          </cell>
          <cell r="G473" t="str">
            <v>M.170</v>
          </cell>
        </row>
        <row r="474">
          <cell r="B474" t="str">
            <v>(Pekerjaan Jalan)</v>
          </cell>
        </row>
        <row r="475">
          <cell r="B475" t="str">
            <v>Buruh tak terlatih</v>
          </cell>
          <cell r="G475" t="str">
            <v>L.101</v>
          </cell>
        </row>
        <row r="476">
          <cell r="B476" t="str">
            <v>Buruh terlatih</v>
          </cell>
          <cell r="G476" t="str">
            <v>L.106</v>
          </cell>
        </row>
        <row r="477">
          <cell r="B477" t="str">
            <v>Mekanik</v>
          </cell>
          <cell r="G477" t="str">
            <v>L.071</v>
          </cell>
        </row>
        <row r="478">
          <cell r="B478" t="str">
            <v>Mekanik Pembantu</v>
          </cell>
          <cell r="G478" t="str">
            <v>L.072</v>
          </cell>
        </row>
        <row r="479">
          <cell r="B479" t="str">
            <v>Operator</v>
          </cell>
          <cell r="G479" t="str">
            <v>L.081</v>
          </cell>
        </row>
        <row r="480">
          <cell r="B480" t="str">
            <v>Operator tak terlatih</v>
          </cell>
          <cell r="G480" t="str">
            <v>L.082</v>
          </cell>
        </row>
        <row r="481">
          <cell r="B481" t="str">
            <v>Pemb.Operator</v>
          </cell>
          <cell r="G481" t="str">
            <v>L.083</v>
          </cell>
        </row>
        <row r="482">
          <cell r="B482" t="str">
            <v>Supir</v>
          </cell>
          <cell r="G482" t="str">
            <v>L.091</v>
          </cell>
        </row>
        <row r="483">
          <cell r="B483" t="str">
            <v>Sopir Personil</v>
          </cell>
          <cell r="G483" t="str">
            <v>L.092</v>
          </cell>
        </row>
        <row r="484">
          <cell r="B484" t="str">
            <v>Pemb.Supir</v>
          </cell>
          <cell r="G484" t="str">
            <v>L.099</v>
          </cell>
        </row>
        <row r="486">
          <cell r="B486" t="str">
            <v>(Pekerjaan Pemancangan)</v>
          </cell>
        </row>
        <row r="487">
          <cell r="B487" t="str">
            <v>Pilling  Crew</v>
          </cell>
        </row>
        <row r="488">
          <cell r="B488" t="str">
            <v>Pilling  Master</v>
          </cell>
        </row>
        <row r="489">
          <cell r="B489" t="str">
            <v>Surveyor</v>
          </cell>
        </row>
        <row r="490">
          <cell r="B490" t="str">
            <v>Ass.  Surveyor</v>
          </cell>
        </row>
        <row r="491">
          <cell r="B491" t="str">
            <v>Recorder</v>
          </cell>
        </row>
      </sheetData>
      <sheetData sheetId="1" refreshError="1"/>
      <sheetData sheetId="2" refreshError="1"/>
      <sheetData sheetId="3">
        <row r="3">
          <cell r="B3" t="str">
            <v>BAHAN DASAR:</v>
          </cell>
        </row>
      </sheetData>
      <sheetData sheetId="4" refreshError="1"/>
      <sheetData sheetId="5">
        <row r="6">
          <cell r="C6" t="str">
            <v>Bulldozer 100HP</v>
          </cell>
        </row>
      </sheetData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UL (2)"/>
      <sheetName val="UPAH"/>
      <sheetName val="Sheet1"/>
      <sheetName val="SAMPUL"/>
      <sheetName val="rekap  perubahan (2)"/>
      <sheetName val="rekap  perubahan"/>
      <sheetName val="PERHIT"/>
      <sheetName val="rab KANTOR"/>
      <sheetName val="rekap total"/>
      <sheetName val="SHELTER A"/>
      <sheetName val="Rekap  SHELTER a"/>
      <sheetName val="SHELTER  b"/>
      <sheetName val="Rekap shelter  b"/>
      <sheetName val="PERJITU. PINTU GRB"/>
      <sheetName val="PINTU GERBANG"/>
      <sheetName val="Rekap GERBANG"/>
      <sheetName val="SHELTER c  JADI"/>
      <sheetName val="REKAP SHELTER c  JADI "/>
      <sheetName val="perhitungan pgr"/>
      <sheetName val="pagar  (2)"/>
      <sheetName val="Rekap  pagar (2)"/>
      <sheetName val="pagar "/>
      <sheetName val="Rekap  pagar"/>
      <sheetName val="pengadaaan "/>
      <sheetName val="PEKAP PENGADAAN"/>
      <sheetName val="rab BUNGORO 2014"/>
      <sheetName val="time"/>
      <sheetName val="rekap BUNGOR"/>
      <sheetName val="BAHAN"/>
      <sheetName val="BOBOT"/>
      <sheetName val="BOBOT (2)"/>
      <sheetName val="rincian"/>
      <sheetName val="MC"/>
      <sheetName val="timeer"/>
      <sheetName val="perhi halte misten"/>
      <sheetName val="AN. SNI"/>
      <sheetName val="Sheet4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8">
          <cell r="B8" t="str">
            <v>PEKERJAAN PERSIAPAN</v>
          </cell>
        </row>
      </sheetData>
      <sheetData sheetId="26"/>
      <sheetData sheetId="27">
        <row r="20">
          <cell r="G20">
            <v>131450000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9">
          <cell r="K79">
            <v>30.080000000000002</v>
          </cell>
        </row>
      </sheetData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Rekap"/>
      <sheetName val="RAB "/>
      <sheetName val="Bahan"/>
      <sheetName val="Analisa"/>
      <sheetName val="Rekap_Kantor_Camat"/>
      <sheetName val="RAB_Camat"/>
      <sheetName val="Vol_Camat"/>
      <sheetName val="Besi_Camat"/>
      <sheetName val="Bil_Camat"/>
      <sheetName val="Rekap_Mushallah"/>
      <sheetName val="RAB_Mushallah"/>
      <sheetName val="Vol_Mushallah"/>
      <sheetName val="Besi_Mushallah"/>
      <sheetName val="Bil_Mushallah"/>
      <sheetName val="MVC"/>
      <sheetName val="HRG"/>
      <sheetName val="AN"/>
      <sheetName val="RAB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 t="str">
            <v/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"/>
      <sheetName val="REKAP"/>
      <sheetName val="RAB"/>
      <sheetName val="ANALAISA"/>
      <sheetName val="D. HARGA"/>
    </sheetNames>
    <sheetDataSet>
      <sheetData sheetId="0"/>
      <sheetData sheetId="1"/>
      <sheetData sheetId="2"/>
      <sheetData sheetId="3">
        <row r="1">
          <cell r="A1" t="str">
            <v>DAFTAR ANALISA</v>
          </cell>
        </row>
        <row r="3">
          <cell r="A3" t="str">
            <v>Kode</v>
          </cell>
          <cell r="B3" t="str">
            <v>Jenis Pekerjaan</v>
          </cell>
          <cell r="C3" t="str">
            <v>Satuan</v>
          </cell>
          <cell r="D3" t="str">
            <v>Volume</v>
          </cell>
          <cell r="E3" t="str">
            <v>Harga Satuan</v>
          </cell>
          <cell r="F3" t="str">
            <v>Jumlah Harga</v>
          </cell>
        </row>
        <row r="4">
          <cell r="A4" t="str">
            <v>Analisa</v>
          </cell>
          <cell r="E4" t="str">
            <v>Rp</v>
          </cell>
          <cell r="F4" t="str">
            <v>Rp</v>
          </cell>
        </row>
        <row r="6">
          <cell r="A6" t="str">
            <v>A.1</v>
          </cell>
          <cell r="B6" t="str">
            <v>1 M3 GALIAN TANAH PONDASI</v>
          </cell>
        </row>
        <row r="7">
          <cell r="B7" t="str">
            <v>Pekerja</v>
          </cell>
          <cell r="C7" t="str">
            <v>hr</v>
          </cell>
          <cell r="D7">
            <v>0.8</v>
          </cell>
          <cell r="E7">
            <v>15000</v>
          </cell>
          <cell r="F7">
            <v>12000</v>
          </cell>
        </row>
        <row r="8">
          <cell r="B8" t="str">
            <v>Mandor</v>
          </cell>
          <cell r="C8" t="str">
            <v>hr</v>
          </cell>
          <cell r="D8">
            <v>2.7E-2</v>
          </cell>
          <cell r="E8">
            <v>30000</v>
          </cell>
          <cell r="F8">
            <v>810</v>
          </cell>
        </row>
        <row r="9">
          <cell r="F9">
            <v>12810</v>
          </cell>
        </row>
        <row r="10">
          <cell r="A10" t="str">
            <v>1/4(A.1)</v>
          </cell>
          <cell r="B10" t="str">
            <v>1 M3 URUGAN TANAH KEMBALI</v>
          </cell>
        </row>
        <row r="11">
          <cell r="B11" t="str">
            <v>Analisa Galian Tanah</v>
          </cell>
          <cell r="D11">
            <v>0.25</v>
          </cell>
          <cell r="E11">
            <v>12810</v>
          </cell>
          <cell r="F11">
            <v>3202.5</v>
          </cell>
        </row>
        <row r="12">
          <cell r="A12" t="str">
            <v>A.12</v>
          </cell>
          <cell r="B12" t="str">
            <v>1 M3 TIMBUNAN TANAH</v>
          </cell>
        </row>
        <row r="13">
          <cell r="B13" t="str">
            <v>Tanah Urug</v>
          </cell>
          <cell r="C13" t="str">
            <v>m3</v>
          </cell>
          <cell r="D13">
            <v>1.2</v>
          </cell>
          <cell r="E13">
            <v>36000</v>
          </cell>
          <cell r="F13">
            <v>43200</v>
          </cell>
        </row>
        <row r="14">
          <cell r="B14" t="str">
            <v>Pekerja</v>
          </cell>
          <cell r="C14" t="str">
            <v>hr</v>
          </cell>
          <cell r="D14">
            <v>0.3</v>
          </cell>
          <cell r="E14">
            <v>15000</v>
          </cell>
          <cell r="F14">
            <v>4500</v>
          </cell>
        </row>
        <row r="15">
          <cell r="B15" t="str">
            <v>Mandor</v>
          </cell>
          <cell r="C15" t="str">
            <v>hr</v>
          </cell>
          <cell r="D15">
            <v>0.01</v>
          </cell>
          <cell r="E15">
            <v>30000</v>
          </cell>
          <cell r="F15">
            <v>300</v>
          </cell>
        </row>
        <row r="16">
          <cell r="F16">
            <v>48000</v>
          </cell>
        </row>
        <row r="17">
          <cell r="A17" t="str">
            <v>A.12</v>
          </cell>
          <cell r="B17" t="str">
            <v>1 M3 URUGAN PASIR</v>
          </cell>
        </row>
        <row r="18">
          <cell r="B18" t="str">
            <v>Pasir Urug</v>
          </cell>
          <cell r="C18" t="str">
            <v>m3</v>
          </cell>
          <cell r="D18">
            <v>1.2</v>
          </cell>
          <cell r="E18">
            <v>38500</v>
          </cell>
          <cell r="F18">
            <v>46200</v>
          </cell>
        </row>
        <row r="19">
          <cell r="B19" t="str">
            <v>Pekerja</v>
          </cell>
          <cell r="C19" t="str">
            <v>hr</v>
          </cell>
          <cell r="D19">
            <v>0.3</v>
          </cell>
          <cell r="E19">
            <v>15000</v>
          </cell>
          <cell r="F19">
            <v>4500</v>
          </cell>
        </row>
        <row r="20">
          <cell r="B20" t="str">
            <v>Mandor</v>
          </cell>
          <cell r="C20" t="str">
            <v>hr</v>
          </cell>
          <cell r="D20">
            <v>0.01</v>
          </cell>
          <cell r="E20">
            <v>30000</v>
          </cell>
          <cell r="F20">
            <v>300</v>
          </cell>
        </row>
        <row r="21">
          <cell r="F21">
            <v>51000</v>
          </cell>
        </row>
        <row r="22">
          <cell r="A22" t="str">
            <v>A.12</v>
          </cell>
          <cell r="B22" t="str">
            <v>1 M3 URUGAN KERIKIL</v>
          </cell>
        </row>
        <row r="23">
          <cell r="B23" t="str">
            <v>Kerikil</v>
          </cell>
          <cell r="C23" t="str">
            <v>m3</v>
          </cell>
          <cell r="D23">
            <v>1.2</v>
          </cell>
          <cell r="E23">
            <v>47850</v>
          </cell>
          <cell r="F23">
            <v>57420</v>
          </cell>
        </row>
        <row r="24">
          <cell r="B24" t="str">
            <v>Pekerja</v>
          </cell>
          <cell r="C24" t="str">
            <v>hr</v>
          </cell>
          <cell r="D24">
            <v>0.3</v>
          </cell>
          <cell r="E24">
            <v>15000</v>
          </cell>
          <cell r="F24">
            <v>4500</v>
          </cell>
        </row>
        <row r="25">
          <cell r="B25" t="str">
            <v>Mandor</v>
          </cell>
          <cell r="C25" t="str">
            <v>hr</v>
          </cell>
          <cell r="D25">
            <v>0.01</v>
          </cell>
          <cell r="E25">
            <v>30000</v>
          </cell>
          <cell r="F25">
            <v>300</v>
          </cell>
        </row>
        <row r="26">
          <cell r="F26">
            <v>62220</v>
          </cell>
        </row>
        <row r="27">
          <cell r="A27" t="str">
            <v>G.1</v>
          </cell>
          <cell r="B27" t="str">
            <v>1 M3 PAS. BATU KOSONG</v>
          </cell>
        </row>
        <row r="28">
          <cell r="B28" t="str">
            <v>Batu Kali</v>
          </cell>
          <cell r="C28" t="str">
            <v>m3</v>
          </cell>
          <cell r="D28">
            <v>1.2</v>
          </cell>
          <cell r="E28">
            <v>45500</v>
          </cell>
          <cell r="F28">
            <v>54600</v>
          </cell>
        </row>
        <row r="29">
          <cell r="B29" t="str">
            <v>Pekerja</v>
          </cell>
          <cell r="C29" t="str">
            <v>hr</v>
          </cell>
          <cell r="D29">
            <v>5</v>
          </cell>
          <cell r="E29">
            <v>15000</v>
          </cell>
          <cell r="F29">
            <v>75000</v>
          </cell>
        </row>
        <row r="30">
          <cell r="B30" t="str">
            <v>Mandor</v>
          </cell>
          <cell r="C30" t="str">
            <v>hr</v>
          </cell>
          <cell r="D30">
            <v>0.25</v>
          </cell>
          <cell r="E30">
            <v>30000</v>
          </cell>
          <cell r="F30">
            <v>7500</v>
          </cell>
        </row>
        <row r="31">
          <cell r="F31">
            <v>137100</v>
          </cell>
        </row>
        <row r="32">
          <cell r="A32" t="str">
            <v>G.I.14</v>
          </cell>
          <cell r="B32" t="str">
            <v>1 M3 PONDASI BATU KALI 1 : 4</v>
          </cell>
        </row>
        <row r="33">
          <cell r="B33" t="str">
            <v>Batu Kali</v>
          </cell>
          <cell r="C33" t="str">
            <v>m3</v>
          </cell>
          <cell r="D33">
            <v>1.2</v>
          </cell>
          <cell r="E33">
            <v>45500</v>
          </cell>
          <cell r="F33">
            <v>54600</v>
          </cell>
        </row>
        <row r="34">
          <cell r="B34" t="str">
            <v>Pasir Pasang</v>
          </cell>
          <cell r="C34" t="str">
            <v>m3</v>
          </cell>
          <cell r="D34">
            <v>0.68</v>
          </cell>
          <cell r="E34">
            <v>45000</v>
          </cell>
          <cell r="F34">
            <v>30600.000000000004</v>
          </cell>
        </row>
        <row r="35">
          <cell r="B35" t="str">
            <v>Semen PC</v>
          </cell>
          <cell r="C35" t="str">
            <v>zak</v>
          </cell>
          <cell r="D35">
            <v>4.28</v>
          </cell>
          <cell r="E35">
            <v>30000</v>
          </cell>
          <cell r="F35">
            <v>128400.00000000001</v>
          </cell>
        </row>
        <row r="36">
          <cell r="B36" t="str">
            <v xml:space="preserve">Kepala Tukang </v>
          </cell>
          <cell r="C36" t="str">
            <v>hr</v>
          </cell>
          <cell r="D36">
            <v>3.5999999999999997E-2</v>
          </cell>
          <cell r="E36">
            <v>35000</v>
          </cell>
          <cell r="F36">
            <v>1260</v>
          </cell>
        </row>
        <row r="37">
          <cell r="B37" t="str">
            <v>Tukang Batu</v>
          </cell>
          <cell r="C37" t="str">
            <v>hr</v>
          </cell>
          <cell r="D37">
            <v>0.36</v>
          </cell>
          <cell r="E37">
            <v>30000</v>
          </cell>
          <cell r="F37">
            <v>10800</v>
          </cell>
        </row>
        <row r="38">
          <cell r="B38" t="str">
            <v>Pekerja</v>
          </cell>
          <cell r="C38" t="str">
            <v>hr</v>
          </cell>
          <cell r="D38">
            <v>2.7</v>
          </cell>
          <cell r="E38">
            <v>15000</v>
          </cell>
          <cell r="F38">
            <v>40500</v>
          </cell>
        </row>
        <row r="39">
          <cell r="B39" t="str">
            <v>Mandor</v>
          </cell>
          <cell r="C39" t="str">
            <v>hr</v>
          </cell>
          <cell r="D39">
            <v>0.13500000000000001</v>
          </cell>
          <cell r="E39">
            <v>30000</v>
          </cell>
          <cell r="F39">
            <v>4050.0000000000005</v>
          </cell>
        </row>
        <row r="40">
          <cell r="F40">
            <v>270210</v>
          </cell>
        </row>
        <row r="41">
          <cell r="A41" t="str">
            <v>G.II.2</v>
          </cell>
          <cell r="B41" t="str">
            <v>1 M3 PAS. TRASRAM BATU</v>
          </cell>
        </row>
        <row r="42">
          <cell r="B42" t="str">
            <v>BATA 1 : 2</v>
          </cell>
        </row>
        <row r="43">
          <cell r="B43" t="str">
            <v>Batu Bata</v>
          </cell>
          <cell r="C43" t="str">
            <v>bh</v>
          </cell>
          <cell r="D43">
            <v>450</v>
          </cell>
          <cell r="E43">
            <v>350</v>
          </cell>
          <cell r="F43">
            <v>157500</v>
          </cell>
        </row>
        <row r="44">
          <cell r="B44" t="str">
            <v>Pasir Pasang</v>
          </cell>
          <cell r="C44" t="str">
            <v>m3</v>
          </cell>
          <cell r="D44">
            <v>0.61</v>
          </cell>
          <cell r="E44">
            <v>45000</v>
          </cell>
          <cell r="F44">
            <v>27450</v>
          </cell>
        </row>
        <row r="45">
          <cell r="B45" t="str">
            <v>Semen PC</v>
          </cell>
          <cell r="C45" t="str">
            <v>zak</v>
          </cell>
          <cell r="D45">
            <v>7.78</v>
          </cell>
          <cell r="E45">
            <v>30000</v>
          </cell>
          <cell r="F45">
            <v>233400</v>
          </cell>
        </row>
        <row r="46">
          <cell r="B46" t="str">
            <v xml:space="preserve">Kepala Tukang </v>
          </cell>
          <cell r="C46" t="str">
            <v>hr</v>
          </cell>
          <cell r="D46">
            <v>0.17499999999999999</v>
          </cell>
          <cell r="E46">
            <v>35000</v>
          </cell>
          <cell r="F46">
            <v>6125</v>
          </cell>
        </row>
        <row r="47">
          <cell r="B47" t="str">
            <v>Tukang Batu</v>
          </cell>
          <cell r="C47" t="str">
            <v>hr</v>
          </cell>
          <cell r="D47">
            <v>1.75</v>
          </cell>
          <cell r="E47">
            <v>30000</v>
          </cell>
          <cell r="F47">
            <v>52500</v>
          </cell>
        </row>
        <row r="48">
          <cell r="B48" t="str">
            <v>Pekerja</v>
          </cell>
          <cell r="C48" t="str">
            <v>hr</v>
          </cell>
          <cell r="D48">
            <v>5.25</v>
          </cell>
          <cell r="E48">
            <v>15000</v>
          </cell>
          <cell r="F48">
            <v>78750</v>
          </cell>
        </row>
        <row r="49">
          <cell r="B49" t="str">
            <v>Mandor</v>
          </cell>
          <cell r="C49" t="str">
            <v>hr</v>
          </cell>
          <cell r="D49">
            <v>0.26300000000000001</v>
          </cell>
          <cell r="E49">
            <v>30000</v>
          </cell>
          <cell r="F49">
            <v>7890</v>
          </cell>
        </row>
        <row r="50">
          <cell r="F50">
            <v>563615</v>
          </cell>
        </row>
        <row r="51">
          <cell r="A51" t="str">
            <v>G.II.5</v>
          </cell>
          <cell r="B51" t="str">
            <v xml:space="preserve">1 M3 PASANGAN BATU BATA 1 : 5 </v>
          </cell>
        </row>
        <row r="52">
          <cell r="B52" t="str">
            <v>Batu Bata</v>
          </cell>
          <cell r="C52" t="str">
            <v>bh</v>
          </cell>
          <cell r="D52">
            <v>450</v>
          </cell>
          <cell r="E52">
            <v>350</v>
          </cell>
          <cell r="F52">
            <v>157500</v>
          </cell>
        </row>
        <row r="53">
          <cell r="B53" t="str">
            <v>Roster Beton</v>
          </cell>
          <cell r="C53" t="str">
            <v>bh</v>
          </cell>
          <cell r="D53">
            <v>167</v>
          </cell>
          <cell r="E53" t="e">
            <v>#REF!</v>
          </cell>
          <cell r="F53" t="e">
            <v>#REF!</v>
          </cell>
        </row>
        <row r="54">
          <cell r="B54" t="str">
            <v>Pasir Pasang</v>
          </cell>
          <cell r="C54" t="str">
            <v>m3</v>
          </cell>
          <cell r="D54">
            <v>7.8E-2</v>
          </cell>
          <cell r="E54">
            <v>45000</v>
          </cell>
          <cell r="F54">
            <v>3510</v>
          </cell>
        </row>
        <row r="55">
          <cell r="B55" t="str">
            <v>Semen PC</v>
          </cell>
          <cell r="C55" t="str">
            <v>zak</v>
          </cell>
          <cell r="D55">
            <v>0.23599999999999999</v>
          </cell>
          <cell r="E55">
            <v>30000</v>
          </cell>
          <cell r="F55">
            <v>7080</v>
          </cell>
        </row>
        <row r="56">
          <cell r="B56" t="str">
            <v xml:space="preserve">Kepala Tukang </v>
          </cell>
          <cell r="C56" t="str">
            <v>hr</v>
          </cell>
          <cell r="D56">
            <v>1.4999999999999999E-2</v>
          </cell>
          <cell r="E56">
            <v>35000</v>
          </cell>
          <cell r="F56">
            <v>525</v>
          </cell>
        </row>
        <row r="57">
          <cell r="B57" t="str">
            <v>Tukang Batu</v>
          </cell>
          <cell r="C57" t="str">
            <v>hr</v>
          </cell>
          <cell r="D57">
            <v>0.14499999999999999</v>
          </cell>
          <cell r="E57">
            <v>30000</v>
          </cell>
          <cell r="F57">
            <v>4350</v>
          </cell>
        </row>
        <row r="58">
          <cell r="B58" t="str">
            <v>Pekerja</v>
          </cell>
          <cell r="C58" t="str">
            <v>hr</v>
          </cell>
          <cell r="D58">
            <v>0.29399999999999998</v>
          </cell>
          <cell r="E58">
            <v>15000</v>
          </cell>
          <cell r="F58">
            <v>4410</v>
          </cell>
        </row>
        <row r="59">
          <cell r="B59" t="str">
            <v>Mandor</v>
          </cell>
          <cell r="C59" t="str">
            <v>hr</v>
          </cell>
          <cell r="D59">
            <v>2.5999999999999999E-2</v>
          </cell>
          <cell r="E59">
            <v>30000</v>
          </cell>
          <cell r="F59">
            <v>780</v>
          </cell>
        </row>
        <row r="60">
          <cell r="F60">
            <v>178155</v>
          </cell>
        </row>
        <row r="61">
          <cell r="A61" t="str">
            <v>G.X.2</v>
          </cell>
          <cell r="B61" t="str">
            <v>1 M2 PLESTERAN 1 : 2 + ACIAN</v>
          </cell>
        </row>
        <row r="62">
          <cell r="B62" t="str">
            <v>Pasir Plesteran</v>
          </cell>
          <cell r="C62" t="str">
            <v>m3</v>
          </cell>
          <cell r="D62">
            <v>1.7999999999999999E-2</v>
          </cell>
          <cell r="E62">
            <v>45000</v>
          </cell>
          <cell r="F62">
            <v>809.99999999999989</v>
          </cell>
        </row>
        <row r="63">
          <cell r="B63" t="str">
            <v>Semen PC</v>
          </cell>
          <cell r="C63" t="str">
            <v>zak</v>
          </cell>
          <cell r="D63">
            <v>0.32</v>
          </cell>
          <cell r="E63">
            <v>30000</v>
          </cell>
          <cell r="F63">
            <v>9600</v>
          </cell>
        </row>
        <row r="64">
          <cell r="B64" t="str">
            <v xml:space="preserve">Kepala Tukang </v>
          </cell>
          <cell r="C64" t="str">
            <v>hr</v>
          </cell>
          <cell r="D64">
            <v>1.7000000000000001E-2</v>
          </cell>
          <cell r="E64">
            <v>35000</v>
          </cell>
          <cell r="F64">
            <v>595</v>
          </cell>
        </row>
        <row r="65">
          <cell r="B65" t="str">
            <v>Tukang Batu</v>
          </cell>
          <cell r="C65" t="str">
            <v>hr</v>
          </cell>
          <cell r="D65">
            <v>0.16500000000000001</v>
          </cell>
          <cell r="E65">
            <v>30000</v>
          </cell>
          <cell r="F65">
            <v>4950</v>
          </cell>
        </row>
        <row r="66">
          <cell r="B66" t="str">
            <v>Pekerja</v>
          </cell>
          <cell r="C66" t="str">
            <v>hr</v>
          </cell>
          <cell r="D66">
            <v>0.33</v>
          </cell>
          <cell r="E66">
            <v>15000</v>
          </cell>
          <cell r="F66">
            <v>4950</v>
          </cell>
        </row>
        <row r="67">
          <cell r="B67" t="str">
            <v>Mandor</v>
          </cell>
          <cell r="C67" t="str">
            <v>hr</v>
          </cell>
          <cell r="D67">
            <v>1.7000000000000001E-2</v>
          </cell>
          <cell r="E67">
            <v>30000</v>
          </cell>
          <cell r="F67">
            <v>510.00000000000006</v>
          </cell>
        </row>
        <row r="68">
          <cell r="F68">
            <v>21415</v>
          </cell>
        </row>
        <row r="69">
          <cell r="A69" t="str">
            <v>G.X.13</v>
          </cell>
          <cell r="B69" t="str">
            <v>1 M2 PLESTERAN 1 : 5 + ACIAN</v>
          </cell>
        </row>
        <row r="70">
          <cell r="B70" t="str">
            <v>Pasir Plesteran</v>
          </cell>
          <cell r="C70" t="str">
            <v>m3</v>
          </cell>
          <cell r="D70">
            <v>0.22</v>
          </cell>
          <cell r="E70">
            <v>45000</v>
          </cell>
          <cell r="F70">
            <v>9900</v>
          </cell>
        </row>
        <row r="71">
          <cell r="B71" t="str">
            <v>Semen PC</v>
          </cell>
          <cell r="C71" t="str">
            <v>zak</v>
          </cell>
          <cell r="D71">
            <v>0.2</v>
          </cell>
          <cell r="E71">
            <v>30000</v>
          </cell>
          <cell r="F71">
            <v>6000</v>
          </cell>
        </row>
        <row r="72">
          <cell r="B72" t="str">
            <v xml:space="preserve">Kepala Tukang </v>
          </cell>
          <cell r="C72" t="str">
            <v>hr</v>
          </cell>
          <cell r="D72">
            <v>1.7000000000000001E-2</v>
          </cell>
          <cell r="E72">
            <v>35000</v>
          </cell>
          <cell r="F72">
            <v>595</v>
          </cell>
        </row>
        <row r="73">
          <cell r="B73" t="str">
            <v>Tukang Batu</v>
          </cell>
          <cell r="C73" t="str">
            <v>hr</v>
          </cell>
          <cell r="D73">
            <v>0.16500000000000001</v>
          </cell>
          <cell r="E73">
            <v>30000</v>
          </cell>
          <cell r="F73">
            <v>4950</v>
          </cell>
        </row>
        <row r="74">
          <cell r="B74" t="str">
            <v>Pekerja</v>
          </cell>
          <cell r="C74" t="str">
            <v>hr</v>
          </cell>
          <cell r="D74">
            <v>0.33</v>
          </cell>
          <cell r="E74">
            <v>15000</v>
          </cell>
          <cell r="F74">
            <v>4950</v>
          </cell>
        </row>
        <row r="75">
          <cell r="B75" t="str">
            <v>Mandor</v>
          </cell>
          <cell r="C75" t="str">
            <v>hr</v>
          </cell>
          <cell r="D75">
            <v>1.7000000000000001E-2</v>
          </cell>
          <cell r="E75">
            <v>30000</v>
          </cell>
          <cell r="F75">
            <v>510.00000000000006</v>
          </cell>
        </row>
        <row r="76">
          <cell r="F76">
            <v>26905</v>
          </cell>
        </row>
        <row r="77">
          <cell r="A77" t="str">
            <v>G.XIII.19</v>
          </cell>
          <cell r="B77" t="str">
            <v>1 M3 RABAT BETON 1 : 3 : 6</v>
          </cell>
        </row>
        <row r="78">
          <cell r="B78" t="str">
            <v>Pasir Beton</v>
          </cell>
          <cell r="C78" t="str">
            <v>m3</v>
          </cell>
          <cell r="D78">
            <v>0.61</v>
          </cell>
          <cell r="E78">
            <v>45000</v>
          </cell>
          <cell r="F78">
            <v>27450</v>
          </cell>
        </row>
        <row r="79">
          <cell r="B79" t="str">
            <v>Batu Split/kerikil beton</v>
          </cell>
          <cell r="C79" t="str">
            <v>m3</v>
          </cell>
          <cell r="D79">
            <v>1.1299999999999999</v>
          </cell>
          <cell r="E79">
            <v>47850</v>
          </cell>
          <cell r="F79">
            <v>54070.499999999993</v>
          </cell>
        </row>
        <row r="80">
          <cell r="B80" t="str">
            <v>Semen</v>
          </cell>
          <cell r="C80" t="str">
            <v>zak</v>
          </cell>
          <cell r="D80">
            <v>5.15</v>
          </cell>
          <cell r="E80">
            <v>30000</v>
          </cell>
          <cell r="F80">
            <v>154500</v>
          </cell>
        </row>
        <row r="81">
          <cell r="B81" t="str">
            <v>Kepala Tukang</v>
          </cell>
          <cell r="C81" t="str">
            <v>hr</v>
          </cell>
          <cell r="D81">
            <v>7.0000000000000007E-2</v>
          </cell>
          <cell r="E81">
            <v>35000</v>
          </cell>
          <cell r="F81">
            <v>2450.0000000000005</v>
          </cell>
        </row>
        <row r="82">
          <cell r="B82" t="str">
            <v>Tukang Batu</v>
          </cell>
          <cell r="C82" t="str">
            <v>hr</v>
          </cell>
          <cell r="D82">
            <v>0.7</v>
          </cell>
          <cell r="E82">
            <v>30000</v>
          </cell>
          <cell r="F82">
            <v>21000</v>
          </cell>
        </row>
        <row r="83">
          <cell r="B83" t="str">
            <v>Pekerja</v>
          </cell>
          <cell r="C83" t="str">
            <v>hr</v>
          </cell>
          <cell r="D83">
            <v>0.41</v>
          </cell>
          <cell r="E83">
            <v>15000</v>
          </cell>
          <cell r="F83">
            <v>6150</v>
          </cell>
        </row>
        <row r="84">
          <cell r="B84" t="str">
            <v>Mandor</v>
          </cell>
          <cell r="C84" t="str">
            <v>hr</v>
          </cell>
          <cell r="D84">
            <v>2.1000000000000001E-2</v>
          </cell>
          <cell r="E84">
            <v>30000</v>
          </cell>
          <cell r="F84">
            <v>630</v>
          </cell>
        </row>
        <row r="85">
          <cell r="F85">
            <v>266250.5</v>
          </cell>
        </row>
        <row r="86">
          <cell r="B86" t="str">
            <v>1 M3 PEREKAT PC 1 : 3</v>
          </cell>
        </row>
        <row r="87">
          <cell r="B87" t="str">
            <v>Pasir Pasangan</v>
          </cell>
          <cell r="C87" t="str">
            <v>m3</v>
          </cell>
          <cell r="D87">
            <v>3.3000000000000002E-2</v>
          </cell>
          <cell r="E87">
            <v>45000</v>
          </cell>
          <cell r="F87">
            <v>1485</v>
          </cell>
        </row>
        <row r="88">
          <cell r="B88" t="str">
            <v>Semen PC</v>
          </cell>
          <cell r="C88" t="str">
            <v>zak</v>
          </cell>
          <cell r="D88">
            <v>2.72</v>
          </cell>
          <cell r="E88">
            <v>30000</v>
          </cell>
          <cell r="F88">
            <v>81600</v>
          </cell>
        </row>
        <row r="89">
          <cell r="F89">
            <v>83085</v>
          </cell>
        </row>
        <row r="90">
          <cell r="B90" t="str">
            <v>1 M2 UPAH KERJA PEK. TEGEL KERAMIK</v>
          </cell>
        </row>
        <row r="91">
          <cell r="B91" t="str">
            <v>Kepala Tukang</v>
          </cell>
          <cell r="C91" t="str">
            <v>hr</v>
          </cell>
          <cell r="D91">
            <v>2.5000000000000001E-2</v>
          </cell>
          <cell r="E91">
            <v>35000</v>
          </cell>
          <cell r="F91">
            <v>875</v>
          </cell>
        </row>
        <row r="92">
          <cell r="B92" t="str">
            <v>Tukang Batu</v>
          </cell>
          <cell r="C92" t="str">
            <v>hr</v>
          </cell>
          <cell r="D92">
            <v>0.25</v>
          </cell>
          <cell r="E92">
            <v>30000</v>
          </cell>
          <cell r="F92">
            <v>7500</v>
          </cell>
        </row>
        <row r="93">
          <cell r="B93" t="str">
            <v>Pekerja</v>
          </cell>
          <cell r="C93" t="str">
            <v>hr</v>
          </cell>
          <cell r="D93">
            <v>0.5</v>
          </cell>
          <cell r="E93">
            <v>15000</v>
          </cell>
          <cell r="F93">
            <v>7500</v>
          </cell>
        </row>
        <row r="94">
          <cell r="B94" t="str">
            <v>Mandor</v>
          </cell>
          <cell r="C94" t="str">
            <v>hr</v>
          </cell>
          <cell r="D94">
            <v>2.5000000000000001E-2</v>
          </cell>
          <cell r="E94">
            <v>30000</v>
          </cell>
          <cell r="F94">
            <v>750</v>
          </cell>
        </row>
        <row r="95">
          <cell r="F95">
            <v>16625</v>
          </cell>
        </row>
        <row r="96">
          <cell r="A96" t="str">
            <v>G.72</v>
          </cell>
          <cell r="B96" t="str">
            <v>1 M2 PAS. KERAMIK 30/30</v>
          </cell>
        </row>
        <row r="97">
          <cell r="B97" t="str">
            <v>Tegel Keramik Putih 30/30</v>
          </cell>
          <cell r="C97" t="str">
            <v>bh</v>
          </cell>
          <cell r="D97">
            <v>11</v>
          </cell>
          <cell r="E97">
            <v>3000</v>
          </cell>
          <cell r="F97">
            <v>33000</v>
          </cell>
        </row>
        <row r="98">
          <cell r="B98" t="str">
            <v>Semen Warna</v>
          </cell>
          <cell r="C98" t="str">
            <v>kg</v>
          </cell>
          <cell r="D98">
            <v>0.8</v>
          </cell>
          <cell r="E98">
            <v>4900</v>
          </cell>
          <cell r="F98">
            <v>3920</v>
          </cell>
        </row>
        <row r="99">
          <cell r="B99" t="str">
            <v>Perekat 1 : 3</v>
          </cell>
          <cell r="C99" t="str">
            <v>m3</v>
          </cell>
          <cell r="D99">
            <v>0.03</v>
          </cell>
          <cell r="E99">
            <v>83085</v>
          </cell>
          <cell r="F99">
            <v>2492.5499999999997</v>
          </cell>
        </row>
        <row r="100">
          <cell r="B100" t="str">
            <v>Upah Kerja</v>
          </cell>
          <cell r="D100">
            <v>1</v>
          </cell>
          <cell r="E100">
            <v>16625</v>
          </cell>
          <cell r="F100">
            <v>16625</v>
          </cell>
        </row>
        <row r="101">
          <cell r="F101">
            <v>56037.55</v>
          </cell>
        </row>
        <row r="102">
          <cell r="B102" t="str">
            <v>1 M2 PAS. LANTAI PC ABU-ABU 20/20</v>
          </cell>
        </row>
        <row r="103">
          <cell r="B103" t="str">
            <v>Tegel PC Abu-abu 20/20</v>
          </cell>
          <cell r="C103" t="str">
            <v>bh</v>
          </cell>
          <cell r="D103">
            <v>25</v>
          </cell>
          <cell r="E103">
            <v>1000</v>
          </cell>
          <cell r="F103">
            <v>25000</v>
          </cell>
        </row>
        <row r="104">
          <cell r="B104" t="str">
            <v>Semen Warna</v>
          </cell>
          <cell r="C104" t="str">
            <v>kg</v>
          </cell>
          <cell r="D104">
            <v>7.4999999999999997E-2</v>
          </cell>
          <cell r="E104">
            <v>4900</v>
          </cell>
          <cell r="F104">
            <v>367.5</v>
          </cell>
        </row>
        <row r="105">
          <cell r="B105" t="str">
            <v>Perekat 1 : 3</v>
          </cell>
          <cell r="C105" t="str">
            <v>m3</v>
          </cell>
          <cell r="D105">
            <v>2.5000000000000001E-2</v>
          </cell>
          <cell r="E105">
            <v>83085</v>
          </cell>
          <cell r="F105">
            <v>2077.125</v>
          </cell>
        </row>
        <row r="106">
          <cell r="B106" t="str">
            <v>Upah Kerja</v>
          </cell>
          <cell r="D106">
            <v>1</v>
          </cell>
          <cell r="E106">
            <v>16625</v>
          </cell>
          <cell r="F106">
            <v>16625</v>
          </cell>
        </row>
        <row r="107">
          <cell r="F107">
            <v>44069.625</v>
          </cell>
        </row>
        <row r="108">
          <cell r="A108" t="str">
            <v>G.XIV</v>
          </cell>
          <cell r="B108" t="str">
            <v>1 M3 BETON BERTULANG 1 : 2 : 3</v>
          </cell>
        </row>
        <row r="109">
          <cell r="B109" t="str">
            <v>A. BAHAN</v>
          </cell>
        </row>
        <row r="110">
          <cell r="B110" t="str">
            <v>Beton Cor :</v>
          </cell>
        </row>
        <row r="111">
          <cell r="B111" t="str">
            <v>Pasir Beton</v>
          </cell>
          <cell r="C111" t="str">
            <v>m3</v>
          </cell>
          <cell r="D111">
            <v>0.68</v>
          </cell>
          <cell r="E111">
            <v>45000</v>
          </cell>
          <cell r="F111">
            <v>30600.000000000004</v>
          </cell>
        </row>
        <row r="112">
          <cell r="B112" t="str">
            <v>Split</v>
          </cell>
          <cell r="C112" t="str">
            <v>m3</v>
          </cell>
          <cell r="D112">
            <v>0.94</v>
          </cell>
          <cell r="E112">
            <v>47850</v>
          </cell>
          <cell r="F112">
            <v>44979</v>
          </cell>
        </row>
        <row r="113">
          <cell r="B113" t="str">
            <v>Semen</v>
          </cell>
          <cell r="C113" t="str">
            <v>zak</v>
          </cell>
          <cell r="D113">
            <v>8.75</v>
          </cell>
          <cell r="E113">
            <v>30000</v>
          </cell>
          <cell r="F113">
            <v>262500</v>
          </cell>
        </row>
        <row r="114">
          <cell r="F114">
            <v>338079</v>
          </cell>
        </row>
        <row r="115">
          <cell r="B115" t="str">
            <v xml:space="preserve">B.  UPAH KERJA </v>
          </cell>
        </row>
        <row r="116">
          <cell r="B116" t="str">
            <v>Kepala Tukang</v>
          </cell>
          <cell r="C116" t="str">
            <v>hr</v>
          </cell>
          <cell r="D116">
            <v>7.0000000000000007E-2</v>
          </cell>
          <cell r="E116">
            <v>35000</v>
          </cell>
          <cell r="F116">
            <v>2450.0000000000005</v>
          </cell>
        </row>
        <row r="117">
          <cell r="B117" t="str">
            <v>Tukang Batu</v>
          </cell>
          <cell r="C117" t="str">
            <v>hr</v>
          </cell>
          <cell r="D117">
            <v>0.7</v>
          </cell>
          <cell r="E117">
            <v>30000</v>
          </cell>
          <cell r="F117">
            <v>21000</v>
          </cell>
        </row>
        <row r="118">
          <cell r="B118" t="str">
            <v>Pekerja</v>
          </cell>
          <cell r="C118" t="str">
            <v>hr</v>
          </cell>
          <cell r="D118">
            <v>0.41</v>
          </cell>
          <cell r="E118">
            <v>15000</v>
          </cell>
          <cell r="F118">
            <v>6150</v>
          </cell>
        </row>
        <row r="119">
          <cell r="B119" t="str">
            <v>Mandor</v>
          </cell>
          <cell r="C119" t="str">
            <v>hr</v>
          </cell>
          <cell r="D119">
            <v>0.21</v>
          </cell>
          <cell r="E119">
            <v>30000</v>
          </cell>
          <cell r="F119">
            <v>6300</v>
          </cell>
        </row>
        <row r="120">
          <cell r="F120">
            <v>35900</v>
          </cell>
        </row>
        <row r="121">
          <cell r="B121" t="str">
            <v>C. PEMBESIAN</v>
          </cell>
        </row>
        <row r="122">
          <cell r="B122" t="str">
            <v>Besi Beton</v>
          </cell>
          <cell r="C122" t="str">
            <v>kg</v>
          </cell>
          <cell r="D122">
            <v>125</v>
          </cell>
          <cell r="E122">
            <v>6850</v>
          </cell>
          <cell r="F122">
            <v>856250</v>
          </cell>
        </row>
        <row r="123">
          <cell r="B123" t="str">
            <v>Kawat Beton</v>
          </cell>
          <cell r="C123" t="str">
            <v>kg</v>
          </cell>
          <cell r="D123">
            <v>2.2999999999999998</v>
          </cell>
          <cell r="E123">
            <v>6000</v>
          </cell>
          <cell r="F123">
            <v>13799.999999999998</v>
          </cell>
        </row>
        <row r="124">
          <cell r="B124" t="str">
            <v>Kepala Tukang</v>
          </cell>
          <cell r="C124" t="str">
            <v>hr</v>
          </cell>
          <cell r="D124">
            <v>1.62</v>
          </cell>
          <cell r="E124">
            <v>35000</v>
          </cell>
          <cell r="F124">
            <v>56700.000000000007</v>
          </cell>
        </row>
        <row r="125">
          <cell r="B125" t="str">
            <v>Tukang Besi</v>
          </cell>
          <cell r="C125" t="str">
            <v>hr</v>
          </cell>
          <cell r="D125">
            <v>4.8600000000000003</v>
          </cell>
          <cell r="E125">
            <v>30000</v>
          </cell>
          <cell r="F125">
            <v>145800</v>
          </cell>
        </row>
        <row r="126">
          <cell r="B126" t="str">
            <v>Pekerja</v>
          </cell>
          <cell r="C126" t="str">
            <v>hr</v>
          </cell>
          <cell r="D126">
            <v>4.8600000000000003</v>
          </cell>
          <cell r="E126">
            <v>15000</v>
          </cell>
          <cell r="F126">
            <v>72900</v>
          </cell>
        </row>
        <row r="127">
          <cell r="F127">
            <v>1145450</v>
          </cell>
        </row>
        <row r="128">
          <cell r="B128" t="str">
            <v>D. BEKISTING</v>
          </cell>
        </row>
        <row r="129">
          <cell r="B129" t="str">
            <v>Kayu Klas II</v>
          </cell>
          <cell r="C129" t="str">
            <v>m3</v>
          </cell>
          <cell r="D129">
            <v>5.1999999999999998E-2</v>
          </cell>
          <cell r="E129">
            <v>1300000</v>
          </cell>
          <cell r="F129">
            <v>67600</v>
          </cell>
        </row>
        <row r="130">
          <cell r="B130" t="str">
            <v>Bongkar/siram</v>
          </cell>
          <cell r="C130" t="str">
            <v>hr</v>
          </cell>
          <cell r="D130">
            <v>3</v>
          </cell>
          <cell r="E130">
            <v>15000</v>
          </cell>
          <cell r="F130">
            <v>45000</v>
          </cell>
        </row>
        <row r="131">
          <cell r="B131" t="str">
            <v>Paku Campuran</v>
          </cell>
          <cell r="C131" t="str">
            <v>kg</v>
          </cell>
          <cell r="D131">
            <v>0.25</v>
          </cell>
          <cell r="E131">
            <v>8800</v>
          </cell>
          <cell r="F131">
            <v>2200</v>
          </cell>
        </row>
        <row r="132">
          <cell r="B132" t="str">
            <v>Kepala Tukang</v>
          </cell>
          <cell r="C132" t="str">
            <v>hr</v>
          </cell>
          <cell r="D132">
            <v>0.05</v>
          </cell>
          <cell r="E132">
            <v>35000</v>
          </cell>
          <cell r="F132">
            <v>1750</v>
          </cell>
        </row>
        <row r="133">
          <cell r="B133" t="str">
            <v>Tukang Kayu</v>
          </cell>
          <cell r="C133" t="str">
            <v>hr</v>
          </cell>
          <cell r="D133">
            <v>0.5</v>
          </cell>
          <cell r="E133">
            <v>30000</v>
          </cell>
          <cell r="F133">
            <v>15000</v>
          </cell>
        </row>
        <row r="134">
          <cell r="B134" t="str">
            <v>Pekerja</v>
          </cell>
          <cell r="C134" t="str">
            <v>hr</v>
          </cell>
          <cell r="D134">
            <v>0.22</v>
          </cell>
          <cell r="E134">
            <v>15000</v>
          </cell>
          <cell r="F134">
            <v>3300</v>
          </cell>
        </row>
        <row r="135">
          <cell r="B135" t="str">
            <v>Mandor</v>
          </cell>
          <cell r="C135" t="str">
            <v>hr</v>
          </cell>
          <cell r="D135">
            <v>1.0999999999999999E-2</v>
          </cell>
          <cell r="E135">
            <v>30000</v>
          </cell>
          <cell r="F135">
            <v>330</v>
          </cell>
        </row>
        <row r="136">
          <cell r="F136">
            <v>135180</v>
          </cell>
        </row>
        <row r="137">
          <cell r="E137" t="str">
            <v>(A+B+C+D)</v>
          </cell>
          <cell r="F137">
            <v>1654609</v>
          </cell>
        </row>
        <row r="138">
          <cell r="A138" t="str">
            <v>F.IV.16</v>
          </cell>
          <cell r="B138" t="str">
            <v>1 M3 KOSEN PINTU/JENDELA/VENTILASI</v>
          </cell>
        </row>
        <row r="139">
          <cell r="B139" t="str">
            <v>Kayu Kelas I Lokal</v>
          </cell>
          <cell r="C139" t="str">
            <v>Lokal</v>
          </cell>
          <cell r="D139">
            <v>1.1000000000000001</v>
          </cell>
          <cell r="E139">
            <v>1750000</v>
          </cell>
          <cell r="F139">
            <v>1925000.0000000002</v>
          </cell>
        </row>
        <row r="140">
          <cell r="B140" t="str">
            <v>Kepala Tukang</v>
          </cell>
          <cell r="C140" t="str">
            <v>hr</v>
          </cell>
          <cell r="D140">
            <v>1.44</v>
          </cell>
          <cell r="E140">
            <v>35000</v>
          </cell>
          <cell r="F140">
            <v>50400</v>
          </cell>
        </row>
        <row r="141">
          <cell r="B141" t="str">
            <v>Tukang Kayu</v>
          </cell>
          <cell r="C141" t="str">
            <v>hr</v>
          </cell>
          <cell r="D141">
            <v>14.4</v>
          </cell>
          <cell r="E141">
            <v>30000</v>
          </cell>
          <cell r="F141">
            <v>432000</v>
          </cell>
        </row>
        <row r="142">
          <cell r="B142" t="str">
            <v>Pekerja</v>
          </cell>
          <cell r="C142" t="str">
            <v>hr</v>
          </cell>
          <cell r="D142">
            <v>4.8</v>
          </cell>
          <cell r="E142">
            <v>15000</v>
          </cell>
          <cell r="F142">
            <v>72000</v>
          </cell>
        </row>
        <row r="143">
          <cell r="B143" t="str">
            <v>Mandor</v>
          </cell>
          <cell r="C143" t="str">
            <v>hr</v>
          </cell>
          <cell r="D143">
            <v>0.24</v>
          </cell>
          <cell r="E143">
            <v>30000</v>
          </cell>
          <cell r="F143">
            <v>7200</v>
          </cell>
        </row>
        <row r="144">
          <cell r="F144">
            <v>2486600</v>
          </cell>
        </row>
        <row r="145">
          <cell r="A145" t="str">
            <v>F.IV.22</v>
          </cell>
          <cell r="B145" t="str">
            <v>1 M2 MENGERJAKAN JALUSI PAPAN KAYU KLS I LOKAL</v>
          </cell>
        </row>
        <row r="146">
          <cell r="B146" t="str">
            <v>Kayu Kelas I Lokal</v>
          </cell>
          <cell r="C146" t="str">
            <v>m3</v>
          </cell>
          <cell r="D146">
            <v>1.7000000000000001E-2</v>
          </cell>
          <cell r="E146">
            <v>1750000</v>
          </cell>
          <cell r="F146">
            <v>29750.000000000004</v>
          </cell>
        </row>
        <row r="147">
          <cell r="B147" t="str">
            <v>Kepala Tukang</v>
          </cell>
          <cell r="C147" t="str">
            <v>hr</v>
          </cell>
          <cell r="D147">
            <v>0.41399999999999998</v>
          </cell>
          <cell r="E147">
            <v>35000</v>
          </cell>
          <cell r="F147">
            <v>14490</v>
          </cell>
        </row>
        <row r="148">
          <cell r="B148" t="str">
            <v>Tukang Kayu</v>
          </cell>
          <cell r="C148" t="str">
            <v>hr</v>
          </cell>
          <cell r="D148">
            <v>4.1399999999999997</v>
          </cell>
          <cell r="E148">
            <v>30000</v>
          </cell>
          <cell r="F148">
            <v>124199.99999999999</v>
          </cell>
        </row>
        <row r="149">
          <cell r="B149" t="str">
            <v>Pekerja</v>
          </cell>
          <cell r="C149" t="str">
            <v>hr</v>
          </cell>
          <cell r="D149">
            <v>1.4</v>
          </cell>
          <cell r="E149">
            <v>15000</v>
          </cell>
          <cell r="F149">
            <v>21000</v>
          </cell>
        </row>
        <row r="150">
          <cell r="B150" t="str">
            <v>Mandor</v>
          </cell>
          <cell r="C150" t="str">
            <v>hr</v>
          </cell>
          <cell r="D150">
            <v>7.0000000000000007E-2</v>
          </cell>
          <cell r="E150">
            <v>30000</v>
          </cell>
          <cell r="F150">
            <v>2100</v>
          </cell>
        </row>
        <row r="151">
          <cell r="F151">
            <v>191540</v>
          </cell>
        </row>
        <row r="152">
          <cell r="A152" t="str">
            <v>F.IV.24</v>
          </cell>
          <cell r="B152" t="str">
            <v>1 M2 MENGERJAKAN  KACA MATI</v>
          </cell>
        </row>
        <row r="153">
          <cell r="B153" t="str">
            <v>Kaca 3 mm</v>
          </cell>
          <cell r="C153" t="str">
            <v>m2</v>
          </cell>
          <cell r="D153">
            <v>1.08</v>
          </cell>
          <cell r="E153">
            <v>52000</v>
          </cell>
          <cell r="F153">
            <v>56160.000000000007</v>
          </cell>
        </row>
        <row r="154">
          <cell r="B154" t="str">
            <v>Kaca 5 mm</v>
          </cell>
          <cell r="C154" t="str">
            <v>m2</v>
          </cell>
          <cell r="D154">
            <v>1.08</v>
          </cell>
          <cell r="E154">
            <v>62000</v>
          </cell>
          <cell r="F154">
            <v>66960</v>
          </cell>
        </row>
        <row r="155">
          <cell r="B155" t="str">
            <v>Tukang Kayu</v>
          </cell>
          <cell r="C155" t="str">
            <v>hr</v>
          </cell>
          <cell r="D155">
            <v>1</v>
          </cell>
          <cell r="E155">
            <v>30000</v>
          </cell>
          <cell r="F155">
            <v>30000</v>
          </cell>
        </row>
        <row r="156">
          <cell r="B156" t="str">
            <v>Pekerja</v>
          </cell>
          <cell r="C156" t="str">
            <v>hr</v>
          </cell>
          <cell r="D156">
            <v>1.5</v>
          </cell>
          <cell r="E156">
            <v>15000</v>
          </cell>
          <cell r="F156">
            <v>22500</v>
          </cell>
        </row>
        <row r="157">
          <cell r="E157" t="str">
            <v>Kaca Polos 3 mm</v>
          </cell>
          <cell r="F157">
            <v>108660</v>
          </cell>
        </row>
        <row r="158">
          <cell r="E158" t="str">
            <v>Kaca Polos 5 mm</v>
          </cell>
          <cell r="F158">
            <v>119460</v>
          </cell>
        </row>
        <row r="159">
          <cell r="A159" t="str">
            <v>F.IV.19</v>
          </cell>
          <cell r="B159" t="str">
            <v>1 M2  MEMBUAT PINTU / JENDELA PANIL KACA 5 MM</v>
          </cell>
        </row>
        <row r="160">
          <cell r="B160" t="str">
            <v>Kayu Kelas I Lokal</v>
          </cell>
          <cell r="C160" t="str">
            <v>m3</v>
          </cell>
          <cell r="D160">
            <v>0.09</v>
          </cell>
          <cell r="E160">
            <v>1800000</v>
          </cell>
          <cell r="F160">
            <v>162000</v>
          </cell>
        </row>
        <row r="161">
          <cell r="B161" t="str">
            <v>Kaca 5 mm</v>
          </cell>
          <cell r="C161" t="str">
            <v>m2</v>
          </cell>
          <cell r="D161">
            <v>1.08</v>
          </cell>
          <cell r="E161">
            <v>62000</v>
          </cell>
          <cell r="F161">
            <v>66960</v>
          </cell>
        </row>
        <row r="162">
          <cell r="B162" t="str">
            <v>Kepala Tukang</v>
          </cell>
          <cell r="C162" t="str">
            <v>hr</v>
          </cell>
          <cell r="D162">
            <v>0.182</v>
          </cell>
          <cell r="E162">
            <v>35000</v>
          </cell>
          <cell r="F162">
            <v>6370</v>
          </cell>
        </row>
        <row r="163">
          <cell r="B163" t="str">
            <v>Tukang Kayu</v>
          </cell>
          <cell r="C163" t="str">
            <v>hr</v>
          </cell>
          <cell r="D163">
            <v>1.82</v>
          </cell>
          <cell r="E163">
            <v>30000</v>
          </cell>
          <cell r="F163">
            <v>54600</v>
          </cell>
        </row>
        <row r="164">
          <cell r="B164" t="str">
            <v>Pekerja</v>
          </cell>
          <cell r="C164" t="str">
            <v>hr</v>
          </cell>
          <cell r="D164">
            <v>0.59</v>
          </cell>
          <cell r="E164">
            <v>15000</v>
          </cell>
          <cell r="F164">
            <v>8850</v>
          </cell>
        </row>
        <row r="165">
          <cell r="B165" t="str">
            <v>Mandor</v>
          </cell>
          <cell r="C165" t="str">
            <v>hr</v>
          </cell>
          <cell r="D165">
            <v>0.03</v>
          </cell>
          <cell r="E165">
            <v>30000</v>
          </cell>
          <cell r="F165">
            <v>900</v>
          </cell>
        </row>
        <row r="166">
          <cell r="F166">
            <v>299680</v>
          </cell>
        </row>
        <row r="167">
          <cell r="A167" t="str">
            <v>F.IV.21</v>
          </cell>
          <cell r="B167" t="str">
            <v>1 M2 MEMBUAT PINTU PANIL PAPAN KALAPI</v>
          </cell>
        </row>
        <row r="168">
          <cell r="B168" t="str">
            <v>Kayu Kelas I Lokal</v>
          </cell>
          <cell r="C168" t="str">
            <v>m3</v>
          </cell>
          <cell r="D168">
            <v>4.3999999999999997E-2</v>
          </cell>
          <cell r="E168">
            <v>1800000</v>
          </cell>
          <cell r="F168">
            <v>79200</v>
          </cell>
        </row>
        <row r="169">
          <cell r="B169" t="str">
            <v>Kepala Tukang</v>
          </cell>
          <cell r="C169" t="str">
            <v>hr</v>
          </cell>
          <cell r="D169">
            <v>0.34499999999999997</v>
          </cell>
          <cell r="E169">
            <v>35000</v>
          </cell>
          <cell r="F169">
            <v>12074.999999999998</v>
          </cell>
        </row>
        <row r="170">
          <cell r="B170" t="str">
            <v>Tukang Kayu</v>
          </cell>
          <cell r="C170" t="str">
            <v>hr</v>
          </cell>
          <cell r="D170">
            <v>3.45</v>
          </cell>
          <cell r="E170">
            <v>30000</v>
          </cell>
          <cell r="F170">
            <v>103500</v>
          </cell>
        </row>
        <row r="171">
          <cell r="B171" t="str">
            <v>Pekerja</v>
          </cell>
          <cell r="C171" t="str">
            <v>hr</v>
          </cell>
          <cell r="D171">
            <v>1.1599999999999999</v>
          </cell>
          <cell r="E171">
            <v>15000</v>
          </cell>
          <cell r="F171">
            <v>17400</v>
          </cell>
        </row>
        <row r="172">
          <cell r="B172" t="str">
            <v>Mandor</v>
          </cell>
          <cell r="C172" t="str">
            <v>hr</v>
          </cell>
          <cell r="D172">
            <v>0.53400000000000003</v>
          </cell>
          <cell r="E172">
            <v>30000</v>
          </cell>
          <cell r="F172">
            <v>16020</v>
          </cell>
        </row>
        <row r="173">
          <cell r="F173">
            <v>228195</v>
          </cell>
        </row>
        <row r="175">
          <cell r="B175" t="str">
            <v>1 M2 PINTU DOUBLE TEAKWOOD LAPIS SENG PLAT</v>
          </cell>
        </row>
        <row r="176">
          <cell r="B176" t="str">
            <v>Kayu Bayam</v>
          </cell>
          <cell r="C176" t="str">
            <v>m3</v>
          </cell>
          <cell r="D176">
            <v>1.4999999999999999E-2</v>
          </cell>
          <cell r="E176">
            <v>1750000</v>
          </cell>
          <cell r="F176">
            <v>26250</v>
          </cell>
        </row>
        <row r="177">
          <cell r="B177" t="str">
            <v>Teakwood</v>
          </cell>
          <cell r="C177" t="str">
            <v>lbr</v>
          </cell>
          <cell r="D177">
            <v>0.8</v>
          </cell>
          <cell r="E177" t="e">
            <v>#REF!</v>
          </cell>
          <cell r="F177" t="e">
            <v>#REF!</v>
          </cell>
        </row>
        <row r="178">
          <cell r="B178" t="str">
            <v>Seng Plat</v>
          </cell>
          <cell r="C178" t="str">
            <v>lbr</v>
          </cell>
          <cell r="D178">
            <v>0.5</v>
          </cell>
          <cell r="E178" t="e">
            <v>#REF!</v>
          </cell>
          <cell r="F178" t="e">
            <v>#REF!</v>
          </cell>
        </row>
        <row r="179">
          <cell r="B179" t="str">
            <v>Kepala Tukang</v>
          </cell>
          <cell r="C179" t="str">
            <v>hr</v>
          </cell>
          <cell r="D179">
            <v>0.2</v>
          </cell>
          <cell r="E179">
            <v>35000</v>
          </cell>
          <cell r="F179">
            <v>7000</v>
          </cell>
        </row>
        <row r="180">
          <cell r="B180" t="str">
            <v>Tukang Kayu</v>
          </cell>
          <cell r="C180" t="str">
            <v>hr</v>
          </cell>
          <cell r="D180">
            <v>2</v>
          </cell>
          <cell r="E180">
            <v>30000</v>
          </cell>
          <cell r="F180">
            <v>60000</v>
          </cell>
        </row>
        <row r="181">
          <cell r="B181" t="str">
            <v>Pekerja</v>
          </cell>
          <cell r="C181" t="str">
            <v>hr</v>
          </cell>
          <cell r="D181">
            <v>0.6</v>
          </cell>
          <cell r="E181">
            <v>15000</v>
          </cell>
          <cell r="F181">
            <v>9000</v>
          </cell>
        </row>
        <row r="182">
          <cell r="B182" t="str">
            <v>Mandor</v>
          </cell>
          <cell r="C182" t="str">
            <v>hr</v>
          </cell>
          <cell r="D182">
            <v>0.03</v>
          </cell>
          <cell r="E182">
            <v>30000</v>
          </cell>
          <cell r="F182">
            <v>900</v>
          </cell>
        </row>
        <row r="183">
          <cell r="F183" t="e">
            <v>#REF!</v>
          </cell>
        </row>
        <row r="184">
          <cell r="A184" t="str">
            <v>F.I.1</v>
          </cell>
          <cell r="B184" t="str">
            <v>1 M3 RANGKA PLAFOND</v>
          </cell>
        </row>
        <row r="185">
          <cell r="B185" t="str">
            <v>Kayu Kelas I Lokal</v>
          </cell>
          <cell r="C185" t="str">
            <v>m3</v>
          </cell>
          <cell r="D185">
            <v>1.1000000000000001</v>
          </cell>
          <cell r="E185">
            <v>1350000</v>
          </cell>
          <cell r="F185">
            <v>1485000.0000000002</v>
          </cell>
        </row>
        <row r="186">
          <cell r="B186" t="str">
            <v>Paku</v>
          </cell>
          <cell r="C186" t="str">
            <v>kg</v>
          </cell>
          <cell r="D186">
            <v>6</v>
          </cell>
          <cell r="E186">
            <v>8800</v>
          </cell>
          <cell r="F186">
            <v>52800</v>
          </cell>
        </row>
        <row r="187">
          <cell r="B187" t="str">
            <v>Kepala Tukang</v>
          </cell>
          <cell r="C187" t="str">
            <v>hr</v>
          </cell>
          <cell r="D187">
            <v>0.45</v>
          </cell>
          <cell r="E187">
            <v>35000</v>
          </cell>
          <cell r="F187">
            <v>15750</v>
          </cell>
        </row>
        <row r="188">
          <cell r="B188" t="str">
            <v>Tukang Kayu</v>
          </cell>
          <cell r="C188" t="str">
            <v>hr</v>
          </cell>
          <cell r="D188">
            <v>4.5</v>
          </cell>
          <cell r="E188">
            <v>30000</v>
          </cell>
          <cell r="F188">
            <v>135000</v>
          </cell>
        </row>
        <row r="189">
          <cell r="B189" t="str">
            <v>Pekerja</v>
          </cell>
          <cell r="C189" t="str">
            <v>hr</v>
          </cell>
          <cell r="D189">
            <v>2</v>
          </cell>
          <cell r="E189">
            <v>15000</v>
          </cell>
          <cell r="F189">
            <v>30000</v>
          </cell>
        </row>
        <row r="190">
          <cell r="B190" t="str">
            <v>Mandor</v>
          </cell>
          <cell r="C190" t="str">
            <v>hr</v>
          </cell>
          <cell r="D190">
            <v>0.1</v>
          </cell>
          <cell r="E190">
            <v>30000</v>
          </cell>
          <cell r="F190">
            <v>3000</v>
          </cell>
        </row>
        <row r="191">
          <cell r="F191">
            <v>1721550.0000000002</v>
          </cell>
        </row>
        <row r="192">
          <cell r="A192" t="str">
            <v>F.21</v>
          </cell>
          <cell r="B192" t="str">
            <v>1 M' LIST PROFIL PLAFOND</v>
          </cell>
        </row>
        <row r="193">
          <cell r="B193" t="str">
            <v>Kayu Kls I Lokal (3 X 3 cm)</v>
          </cell>
          <cell r="C193" t="str">
            <v>m'</v>
          </cell>
          <cell r="D193">
            <v>1.08</v>
          </cell>
          <cell r="E193">
            <v>3150</v>
          </cell>
          <cell r="F193">
            <v>3402</v>
          </cell>
        </row>
        <row r="194">
          <cell r="B194" t="str">
            <v>Paku</v>
          </cell>
          <cell r="C194" t="str">
            <v>kg</v>
          </cell>
          <cell r="D194">
            <v>0.1</v>
          </cell>
          <cell r="E194">
            <v>8800</v>
          </cell>
          <cell r="F194">
            <v>880</v>
          </cell>
        </row>
        <row r="195">
          <cell r="B195" t="str">
            <v>Kepala Tukang</v>
          </cell>
          <cell r="C195" t="str">
            <v>hr</v>
          </cell>
          <cell r="D195">
            <v>4.0000000000000001E-3</v>
          </cell>
          <cell r="E195">
            <v>35000</v>
          </cell>
          <cell r="F195">
            <v>140</v>
          </cell>
        </row>
        <row r="196">
          <cell r="B196" t="str">
            <v>Tukang Kayu</v>
          </cell>
          <cell r="C196" t="str">
            <v>hr</v>
          </cell>
          <cell r="D196">
            <v>0.04</v>
          </cell>
          <cell r="E196">
            <v>30000</v>
          </cell>
          <cell r="F196">
            <v>1200</v>
          </cell>
        </row>
        <row r="197">
          <cell r="B197" t="str">
            <v>Pekerja</v>
          </cell>
          <cell r="C197" t="str">
            <v>hr</v>
          </cell>
          <cell r="D197">
            <v>2.8000000000000001E-2</v>
          </cell>
          <cell r="E197">
            <v>15000</v>
          </cell>
          <cell r="F197">
            <v>420</v>
          </cell>
        </row>
        <row r="198">
          <cell r="B198" t="str">
            <v>Mandor</v>
          </cell>
          <cell r="C198" t="str">
            <v>hr</v>
          </cell>
          <cell r="D198">
            <v>1E-3</v>
          </cell>
          <cell r="E198">
            <v>30000</v>
          </cell>
          <cell r="F198">
            <v>30</v>
          </cell>
        </row>
        <row r="199">
          <cell r="F199">
            <v>6072</v>
          </cell>
        </row>
        <row r="200">
          <cell r="A200" t="str">
            <v>F.V.28</v>
          </cell>
          <cell r="B200" t="str">
            <v>1 M2 PLAFOND</v>
          </cell>
        </row>
        <row r="201">
          <cell r="B201" t="str">
            <v>Eternit</v>
          </cell>
          <cell r="C201" t="str">
            <v>m2</v>
          </cell>
          <cell r="D201">
            <v>1</v>
          </cell>
          <cell r="E201">
            <v>10000</v>
          </cell>
          <cell r="F201">
            <v>10000</v>
          </cell>
        </row>
        <row r="202">
          <cell r="B202" t="str">
            <v>Paku</v>
          </cell>
          <cell r="C202" t="str">
            <v>kg</v>
          </cell>
          <cell r="D202">
            <v>2.5000000000000001E-2</v>
          </cell>
          <cell r="E202">
            <v>8800</v>
          </cell>
          <cell r="F202">
            <v>220</v>
          </cell>
        </row>
        <row r="203">
          <cell r="B203" t="str">
            <v>Tukang Kayu</v>
          </cell>
          <cell r="C203" t="str">
            <v>hr</v>
          </cell>
          <cell r="D203">
            <v>0.38400000000000001</v>
          </cell>
          <cell r="E203">
            <v>30000</v>
          </cell>
          <cell r="F203">
            <v>11520</v>
          </cell>
        </row>
        <row r="204">
          <cell r="B204" t="str">
            <v>Pekerja</v>
          </cell>
          <cell r="C204" t="str">
            <v>hr</v>
          </cell>
          <cell r="D204">
            <v>0.13600000000000001</v>
          </cell>
          <cell r="E204">
            <v>15000</v>
          </cell>
          <cell r="F204">
            <v>2040.0000000000002</v>
          </cell>
        </row>
        <row r="205">
          <cell r="B205" t="str">
            <v>Mandor</v>
          </cell>
          <cell r="C205" t="str">
            <v>hr</v>
          </cell>
          <cell r="D205">
            <v>7.0000000000000001E-3</v>
          </cell>
          <cell r="E205">
            <v>30000</v>
          </cell>
          <cell r="F205">
            <v>210</v>
          </cell>
        </row>
        <row r="206">
          <cell r="B206" t="str">
            <v>Kepala Tukang</v>
          </cell>
          <cell r="C206" t="str">
            <v>hr</v>
          </cell>
          <cell r="D206">
            <v>3.7999999999999999E-2</v>
          </cell>
          <cell r="E206">
            <v>35000</v>
          </cell>
          <cell r="F206">
            <v>1330</v>
          </cell>
        </row>
        <row r="207">
          <cell r="F207">
            <v>25320</v>
          </cell>
        </row>
        <row r="208">
          <cell r="A208" t="str">
            <v>I.5</v>
          </cell>
          <cell r="B208" t="str">
            <v>1 M2 CAT KAYU</v>
          </cell>
        </row>
        <row r="209">
          <cell r="B209" t="str">
            <v>Cat Dasar</v>
          </cell>
          <cell r="C209" t="str">
            <v>kg</v>
          </cell>
          <cell r="D209">
            <v>0.75</v>
          </cell>
          <cell r="E209">
            <v>21000</v>
          </cell>
          <cell r="F209">
            <v>15750</v>
          </cell>
        </row>
        <row r="210">
          <cell r="B210" t="str">
            <v>Cat Kayu</v>
          </cell>
          <cell r="C210" t="str">
            <v>kg</v>
          </cell>
          <cell r="D210">
            <v>0.35</v>
          </cell>
          <cell r="E210">
            <v>27500</v>
          </cell>
          <cell r="F210">
            <v>9625</v>
          </cell>
        </row>
        <row r="211">
          <cell r="B211" t="str">
            <v>Minyak Cat</v>
          </cell>
          <cell r="C211" t="str">
            <v>kg</v>
          </cell>
          <cell r="D211">
            <v>0.08</v>
          </cell>
          <cell r="E211">
            <v>3500</v>
          </cell>
          <cell r="F211">
            <v>280</v>
          </cell>
        </row>
        <row r="212">
          <cell r="B212" t="str">
            <v>Kertas Gosok</v>
          </cell>
          <cell r="C212" t="str">
            <v>lbr</v>
          </cell>
          <cell r="D212">
            <v>0.1</v>
          </cell>
          <cell r="E212">
            <v>2050</v>
          </cell>
          <cell r="F212">
            <v>205</v>
          </cell>
        </row>
        <row r="213">
          <cell r="B213" t="str">
            <v>Tukang Cat</v>
          </cell>
          <cell r="C213" t="str">
            <v>hr</v>
          </cell>
          <cell r="D213">
            <v>0.188</v>
          </cell>
          <cell r="E213">
            <v>30000</v>
          </cell>
          <cell r="F213">
            <v>5640</v>
          </cell>
        </row>
        <row r="214">
          <cell r="B214" t="str">
            <v>Pekerja</v>
          </cell>
          <cell r="C214" t="str">
            <v>hr</v>
          </cell>
          <cell r="D214">
            <v>0.24</v>
          </cell>
          <cell r="E214">
            <v>15000</v>
          </cell>
          <cell r="F214">
            <v>3600</v>
          </cell>
        </row>
        <row r="215">
          <cell r="B215" t="str">
            <v>Mandor</v>
          </cell>
          <cell r="C215" t="str">
            <v>hr</v>
          </cell>
          <cell r="D215">
            <v>1.2E-2</v>
          </cell>
          <cell r="E215">
            <v>30000</v>
          </cell>
          <cell r="F215">
            <v>360</v>
          </cell>
        </row>
        <row r="216">
          <cell r="B216" t="str">
            <v>Kepala Tukang</v>
          </cell>
          <cell r="C216" t="str">
            <v>hr</v>
          </cell>
          <cell r="D216">
            <v>1.9E-2</v>
          </cell>
          <cell r="E216">
            <v>35000</v>
          </cell>
          <cell r="F216">
            <v>665</v>
          </cell>
        </row>
        <row r="217">
          <cell r="E217" t="str">
            <v>1 M2 Cat Dasar</v>
          </cell>
          <cell r="F217">
            <v>26500</v>
          </cell>
        </row>
        <row r="218">
          <cell r="E218" t="str">
            <v>1 M2 Cat Kayu</v>
          </cell>
          <cell r="F218">
            <v>20375</v>
          </cell>
        </row>
        <row r="219">
          <cell r="B219" t="str">
            <v>10 M2 CAT RESIDU</v>
          </cell>
        </row>
        <row r="220">
          <cell r="B220" t="str">
            <v>Cat Residu</v>
          </cell>
          <cell r="C220" t="str">
            <v>kg</v>
          </cell>
          <cell r="D220">
            <v>0.75</v>
          </cell>
          <cell r="E220">
            <v>2750</v>
          </cell>
          <cell r="F220">
            <v>2062.5</v>
          </cell>
        </row>
        <row r="221">
          <cell r="B221" t="str">
            <v>Minyak Cat</v>
          </cell>
          <cell r="C221" t="str">
            <v>kg</v>
          </cell>
          <cell r="D221">
            <v>1</v>
          </cell>
          <cell r="E221">
            <v>3500</v>
          </cell>
          <cell r="F221">
            <v>3500</v>
          </cell>
        </row>
        <row r="222">
          <cell r="B222" t="str">
            <v>Kertas Gosok</v>
          </cell>
          <cell r="C222" t="str">
            <v>lbr</v>
          </cell>
          <cell r="D222">
            <v>10</v>
          </cell>
          <cell r="E222">
            <v>2050</v>
          </cell>
          <cell r="F222">
            <v>20500</v>
          </cell>
        </row>
        <row r="223">
          <cell r="B223" t="str">
            <v>Tukang Cat</v>
          </cell>
          <cell r="C223" t="str">
            <v>hr</v>
          </cell>
          <cell r="D223">
            <v>0.75</v>
          </cell>
          <cell r="E223">
            <v>30000</v>
          </cell>
          <cell r="F223">
            <v>22500</v>
          </cell>
        </row>
        <row r="224">
          <cell r="B224" t="str">
            <v>Pekerja</v>
          </cell>
          <cell r="C224" t="str">
            <v>hr</v>
          </cell>
          <cell r="D224">
            <v>0.75</v>
          </cell>
          <cell r="E224">
            <v>15000</v>
          </cell>
          <cell r="F224">
            <v>11250</v>
          </cell>
        </row>
        <row r="225">
          <cell r="B225" t="str">
            <v>Mandor</v>
          </cell>
          <cell r="C225" t="str">
            <v>hr</v>
          </cell>
          <cell r="D225">
            <v>0.1</v>
          </cell>
          <cell r="E225">
            <v>30000</v>
          </cell>
          <cell r="F225">
            <v>3000</v>
          </cell>
        </row>
        <row r="226">
          <cell r="B226" t="str">
            <v>Kepala Tukang</v>
          </cell>
          <cell r="C226" t="str">
            <v>hr</v>
          </cell>
          <cell r="D226">
            <v>0.1</v>
          </cell>
          <cell r="E226">
            <v>35000</v>
          </cell>
          <cell r="F226">
            <v>3500</v>
          </cell>
        </row>
        <row r="227">
          <cell r="E227" t="str">
            <v>10 M2 Cat Residu</v>
          </cell>
          <cell r="F227">
            <v>66312.5</v>
          </cell>
        </row>
        <row r="228">
          <cell r="E228" t="str">
            <v>1 M2 Cat Residu</v>
          </cell>
          <cell r="F228">
            <v>6631.25</v>
          </cell>
        </row>
        <row r="229">
          <cell r="A229" t="str">
            <v>I.6</v>
          </cell>
          <cell r="B229" t="str">
            <v>1 M2 CAT ATAP</v>
          </cell>
        </row>
        <row r="230">
          <cell r="B230" t="str">
            <v>Cat Atap</v>
          </cell>
          <cell r="C230" t="str">
            <v>kg</v>
          </cell>
          <cell r="D230">
            <v>0.18</v>
          </cell>
          <cell r="E230">
            <v>11000</v>
          </cell>
          <cell r="F230">
            <v>1980</v>
          </cell>
        </row>
        <row r="231">
          <cell r="B231" t="str">
            <v>Minyak Cat</v>
          </cell>
          <cell r="C231" t="str">
            <v>kg</v>
          </cell>
          <cell r="D231">
            <v>0.05</v>
          </cell>
          <cell r="E231">
            <v>3500</v>
          </cell>
          <cell r="F231">
            <v>175</v>
          </cell>
        </row>
        <row r="232">
          <cell r="B232" t="str">
            <v>Tukang Cat</v>
          </cell>
          <cell r="C232" t="str">
            <v>hr</v>
          </cell>
          <cell r="D232">
            <v>0.14000000000000001</v>
          </cell>
          <cell r="E232">
            <v>30000</v>
          </cell>
          <cell r="F232">
            <v>4200</v>
          </cell>
        </row>
        <row r="233">
          <cell r="B233" t="str">
            <v>Pekerja</v>
          </cell>
          <cell r="C233" t="str">
            <v>hr</v>
          </cell>
          <cell r="D233">
            <v>0.16800000000000001</v>
          </cell>
          <cell r="E233">
            <v>15000</v>
          </cell>
          <cell r="F233">
            <v>2520</v>
          </cell>
        </row>
        <row r="234">
          <cell r="B234" t="str">
            <v>Mandor</v>
          </cell>
          <cell r="C234" t="str">
            <v>hr</v>
          </cell>
          <cell r="D234">
            <v>8.0000000000000002E-3</v>
          </cell>
          <cell r="E234">
            <v>30000</v>
          </cell>
          <cell r="F234">
            <v>240</v>
          </cell>
        </row>
        <row r="235">
          <cell r="B235" t="str">
            <v>Kepala Tukang</v>
          </cell>
          <cell r="C235" t="str">
            <v>hr</v>
          </cell>
          <cell r="D235">
            <v>1.4E-2</v>
          </cell>
          <cell r="E235">
            <v>35000</v>
          </cell>
          <cell r="F235">
            <v>490</v>
          </cell>
        </row>
        <row r="236">
          <cell r="F236">
            <v>9605</v>
          </cell>
        </row>
        <row r="237">
          <cell r="A237" t="str">
            <v>I.3</v>
          </cell>
          <cell r="B237" t="str">
            <v>1 M2 CAT TEMBOK</v>
          </cell>
        </row>
        <row r="238">
          <cell r="B238" t="str">
            <v>Cat Tembok</v>
          </cell>
          <cell r="C238" t="str">
            <v>kg</v>
          </cell>
          <cell r="D238">
            <v>0.3</v>
          </cell>
          <cell r="E238">
            <v>14300</v>
          </cell>
          <cell r="F238">
            <v>4290</v>
          </cell>
        </row>
        <row r="239">
          <cell r="B239" t="str">
            <v>Tukang Cat</v>
          </cell>
          <cell r="C239" t="str">
            <v>hr</v>
          </cell>
          <cell r="D239">
            <v>0.12</v>
          </cell>
          <cell r="E239">
            <v>30000</v>
          </cell>
          <cell r="F239">
            <v>3600</v>
          </cell>
        </row>
        <row r="240">
          <cell r="B240" t="str">
            <v>Pekerja</v>
          </cell>
          <cell r="C240" t="str">
            <v>hr</v>
          </cell>
          <cell r="D240">
            <v>0.188</v>
          </cell>
          <cell r="E240">
            <v>15000</v>
          </cell>
          <cell r="F240">
            <v>2820</v>
          </cell>
        </row>
        <row r="241">
          <cell r="B241" t="str">
            <v>Mandor</v>
          </cell>
          <cell r="C241" t="str">
            <v>hr</v>
          </cell>
          <cell r="D241">
            <v>8.9999999999999993E-3</v>
          </cell>
          <cell r="E241">
            <v>30000</v>
          </cell>
          <cell r="F241">
            <v>270</v>
          </cell>
        </row>
        <row r="242">
          <cell r="B242" t="str">
            <v>Kepala Tukang</v>
          </cell>
          <cell r="C242" t="str">
            <v>hr</v>
          </cell>
          <cell r="D242">
            <v>1.2E-2</v>
          </cell>
          <cell r="E242">
            <v>35000</v>
          </cell>
          <cell r="F242">
            <v>420</v>
          </cell>
        </row>
        <row r="243">
          <cell r="F243">
            <v>11400</v>
          </cell>
        </row>
        <row r="244">
          <cell r="A244" t="str">
            <v>F.III.13</v>
          </cell>
          <cell r="B244" t="str">
            <v>1 M3 KUDA-KUDA KLS. I LOKAL</v>
          </cell>
        </row>
        <row r="245">
          <cell r="B245" t="str">
            <v>Kayu Kelas I Lokal</v>
          </cell>
          <cell r="C245" t="str">
            <v>m3</v>
          </cell>
          <cell r="D245">
            <v>1.1000000000000001</v>
          </cell>
          <cell r="E245">
            <v>1350000</v>
          </cell>
          <cell r="F245">
            <v>1485000.0000000002</v>
          </cell>
        </row>
        <row r="246">
          <cell r="B246" t="str">
            <v>Tukang Kayu</v>
          </cell>
          <cell r="C246" t="str">
            <v>hr</v>
          </cell>
          <cell r="D246">
            <v>15.6</v>
          </cell>
          <cell r="E246">
            <v>30000</v>
          </cell>
          <cell r="F246">
            <v>468000</v>
          </cell>
        </row>
        <row r="247">
          <cell r="B247" t="str">
            <v>Pekerja</v>
          </cell>
          <cell r="C247" t="str">
            <v>hr</v>
          </cell>
          <cell r="D247">
            <v>5.2</v>
          </cell>
          <cell r="E247">
            <v>15000</v>
          </cell>
          <cell r="F247">
            <v>78000</v>
          </cell>
        </row>
        <row r="248">
          <cell r="B248" t="str">
            <v>Mandor</v>
          </cell>
          <cell r="C248" t="str">
            <v>hr</v>
          </cell>
          <cell r="D248">
            <v>0.26</v>
          </cell>
          <cell r="E248">
            <v>30000</v>
          </cell>
          <cell r="F248">
            <v>7800</v>
          </cell>
        </row>
        <row r="249">
          <cell r="B249" t="str">
            <v>Kepala Tukang</v>
          </cell>
          <cell r="C249" t="str">
            <v>hr</v>
          </cell>
          <cell r="D249">
            <v>1.56</v>
          </cell>
          <cell r="E249">
            <v>35000</v>
          </cell>
          <cell r="F249">
            <v>54600</v>
          </cell>
        </row>
        <row r="250">
          <cell r="F250">
            <v>2093400.0000000002</v>
          </cell>
        </row>
        <row r="251">
          <cell r="A251" t="str">
            <v>F.I.2</v>
          </cell>
          <cell r="B251" t="str">
            <v>1 M3 GORDING KLS. I LOKAL</v>
          </cell>
        </row>
        <row r="252">
          <cell r="B252" t="str">
            <v>Kayu Kelas I Lokal</v>
          </cell>
          <cell r="C252" t="str">
            <v>m3</v>
          </cell>
          <cell r="D252">
            <v>1.1000000000000001</v>
          </cell>
          <cell r="E252">
            <v>1350000</v>
          </cell>
          <cell r="F252">
            <v>1485000.0000000002</v>
          </cell>
        </row>
        <row r="253">
          <cell r="B253" t="str">
            <v>Paku Biasa</v>
          </cell>
          <cell r="C253" t="str">
            <v>kg</v>
          </cell>
          <cell r="D253">
            <v>6</v>
          </cell>
          <cell r="E253">
            <v>8800</v>
          </cell>
          <cell r="F253">
            <v>52800</v>
          </cell>
        </row>
        <row r="254">
          <cell r="B254" t="str">
            <v>Tukang Kayu</v>
          </cell>
          <cell r="C254" t="str">
            <v>hr</v>
          </cell>
          <cell r="D254">
            <v>5.4</v>
          </cell>
          <cell r="E254">
            <v>30000</v>
          </cell>
          <cell r="F254">
            <v>180000</v>
          </cell>
        </row>
        <row r="255">
          <cell r="B255" t="str">
            <v>Pekerja</v>
          </cell>
          <cell r="C255" t="str">
            <v>hr</v>
          </cell>
          <cell r="D255">
            <v>2</v>
          </cell>
          <cell r="E255">
            <v>15000</v>
          </cell>
          <cell r="F255">
            <v>81000</v>
          </cell>
        </row>
        <row r="256">
          <cell r="B256" t="str">
            <v>Mandor</v>
          </cell>
          <cell r="C256" t="str">
            <v>hr</v>
          </cell>
          <cell r="D256">
            <v>0.1</v>
          </cell>
          <cell r="E256">
            <v>30000</v>
          </cell>
          <cell r="F256">
            <v>60000</v>
          </cell>
        </row>
        <row r="257">
          <cell r="B257" t="str">
            <v>Kepala Tukang</v>
          </cell>
          <cell r="C257" t="str">
            <v>hr</v>
          </cell>
          <cell r="D257">
            <v>0.54</v>
          </cell>
          <cell r="E257">
            <v>35000</v>
          </cell>
          <cell r="F257">
            <v>3500</v>
          </cell>
        </row>
        <row r="258">
          <cell r="F258">
            <v>1862300.0000000002</v>
          </cell>
        </row>
        <row r="259">
          <cell r="A259" t="str">
            <v>F.II.12</v>
          </cell>
          <cell r="B259" t="str">
            <v>1 M2 LISPLANK PAPAN T=2 CM</v>
          </cell>
        </row>
        <row r="260">
          <cell r="B260" t="str">
            <v>Kayu Kelas I Lokal</v>
          </cell>
          <cell r="C260" t="str">
            <v>m3</v>
          </cell>
          <cell r="D260">
            <v>2.1999999999999999E-2</v>
          </cell>
          <cell r="E260">
            <v>1800000</v>
          </cell>
          <cell r="F260">
            <v>39600</v>
          </cell>
        </row>
        <row r="261">
          <cell r="B261" t="str">
            <v>Paku Biasa</v>
          </cell>
          <cell r="C261" t="str">
            <v>kg</v>
          </cell>
          <cell r="D261">
            <v>0.1</v>
          </cell>
          <cell r="E261">
            <v>8800</v>
          </cell>
          <cell r="F261">
            <v>880</v>
          </cell>
        </row>
        <row r="262">
          <cell r="B262" t="str">
            <v>Tukang Kayu</v>
          </cell>
          <cell r="C262" t="str">
            <v>hr</v>
          </cell>
          <cell r="D262">
            <v>0.52</v>
          </cell>
          <cell r="E262">
            <v>30000</v>
          </cell>
          <cell r="F262">
            <v>15600</v>
          </cell>
        </row>
        <row r="263">
          <cell r="B263" t="str">
            <v>Pekerja</v>
          </cell>
          <cell r="C263" t="str">
            <v>hr</v>
          </cell>
          <cell r="D263">
            <v>0.19</v>
          </cell>
          <cell r="E263">
            <v>15000</v>
          </cell>
          <cell r="F263">
            <v>2850</v>
          </cell>
        </row>
        <row r="264">
          <cell r="B264" t="str">
            <v>Mandor</v>
          </cell>
          <cell r="C264" t="str">
            <v>hr</v>
          </cell>
          <cell r="D264">
            <v>0.01</v>
          </cell>
          <cell r="E264">
            <v>30000</v>
          </cell>
          <cell r="F264">
            <v>300</v>
          </cell>
        </row>
        <row r="265">
          <cell r="B265" t="str">
            <v>Kepala Tukang</v>
          </cell>
          <cell r="C265" t="str">
            <v>hr</v>
          </cell>
          <cell r="D265">
            <v>5.1999999999999998E-2</v>
          </cell>
          <cell r="E265">
            <v>35000</v>
          </cell>
          <cell r="F265">
            <v>1820</v>
          </cell>
        </row>
        <row r="266">
          <cell r="F266">
            <v>61050</v>
          </cell>
        </row>
        <row r="267">
          <cell r="A267" t="str">
            <v>J.3</v>
          </cell>
          <cell r="B267" t="str">
            <v>1 M2 ATAP SENG GELOMBANG</v>
          </cell>
        </row>
        <row r="268">
          <cell r="B268" t="str">
            <v>Seng Gel. BWG 32" BJLS 0.30 mm</v>
          </cell>
          <cell r="C268" t="str">
            <v>kk</v>
          </cell>
          <cell r="D268">
            <v>5.5</v>
          </cell>
          <cell r="E268">
            <v>7500</v>
          </cell>
          <cell r="F268">
            <v>41250</v>
          </cell>
        </row>
        <row r="269">
          <cell r="B269" t="str">
            <v>Paku Seng</v>
          </cell>
          <cell r="C269" t="str">
            <v>kg</v>
          </cell>
          <cell r="D269">
            <v>4.4999999999999998E-2</v>
          </cell>
          <cell r="E269">
            <v>19450</v>
          </cell>
          <cell r="F269">
            <v>875.25</v>
          </cell>
        </row>
        <row r="270">
          <cell r="B270" t="str">
            <v>Tukang Kayu</v>
          </cell>
          <cell r="C270" t="str">
            <v>hr</v>
          </cell>
          <cell r="D270">
            <v>0.15</v>
          </cell>
          <cell r="E270">
            <v>30000</v>
          </cell>
          <cell r="F270">
            <v>4500</v>
          </cell>
        </row>
        <row r="271">
          <cell r="B271" t="str">
            <v>Pekerja</v>
          </cell>
          <cell r="C271" t="str">
            <v>hr</v>
          </cell>
          <cell r="D271">
            <v>7.4999999999999997E-2</v>
          </cell>
          <cell r="E271">
            <v>15000</v>
          </cell>
          <cell r="F271">
            <v>1125</v>
          </cell>
        </row>
        <row r="272">
          <cell r="B272" t="str">
            <v>Mandor</v>
          </cell>
          <cell r="C272" t="str">
            <v>hr</v>
          </cell>
          <cell r="D272">
            <v>4.0000000000000001E-3</v>
          </cell>
          <cell r="E272">
            <v>30000</v>
          </cell>
          <cell r="F272">
            <v>120</v>
          </cell>
        </row>
        <row r="273">
          <cell r="B273" t="str">
            <v>Kepala Tukang</v>
          </cell>
          <cell r="C273" t="str">
            <v>hr</v>
          </cell>
          <cell r="D273">
            <v>1.4999999999999999E-2</v>
          </cell>
          <cell r="E273">
            <v>35000</v>
          </cell>
          <cell r="F273">
            <v>525</v>
          </cell>
        </row>
        <row r="274">
          <cell r="F274">
            <v>48395.25</v>
          </cell>
        </row>
        <row r="275">
          <cell r="A275" t="str">
            <v>H.10</v>
          </cell>
          <cell r="B275" t="str">
            <v>1 M' NOK SENG PLAT</v>
          </cell>
        </row>
        <row r="276">
          <cell r="B276" t="str">
            <v>Seng Plat. BWG 28 BJLS 0.35 mm</v>
          </cell>
          <cell r="C276" t="str">
            <v>kk</v>
          </cell>
          <cell r="D276">
            <v>0.5</v>
          </cell>
          <cell r="E276">
            <v>3500</v>
          </cell>
          <cell r="F276">
            <v>1750</v>
          </cell>
        </row>
        <row r="277">
          <cell r="B277" t="str">
            <v>Paku Seng</v>
          </cell>
          <cell r="C277" t="str">
            <v>kg</v>
          </cell>
          <cell r="D277">
            <v>4.4999999999999998E-2</v>
          </cell>
          <cell r="E277">
            <v>19450</v>
          </cell>
          <cell r="F277">
            <v>875.25</v>
          </cell>
        </row>
        <row r="278">
          <cell r="B278" t="str">
            <v>Tukang Kayu</v>
          </cell>
          <cell r="C278" t="str">
            <v>hr</v>
          </cell>
          <cell r="D278">
            <v>1.9E-2</v>
          </cell>
          <cell r="E278">
            <v>30000</v>
          </cell>
          <cell r="F278">
            <v>570</v>
          </cell>
        </row>
        <row r="279">
          <cell r="B279" t="str">
            <v>Pekerja</v>
          </cell>
          <cell r="C279" t="str">
            <v>hr</v>
          </cell>
          <cell r="D279">
            <v>1.9E-2</v>
          </cell>
          <cell r="E279">
            <v>15000</v>
          </cell>
          <cell r="F279">
            <v>285</v>
          </cell>
        </row>
        <row r="280">
          <cell r="F280">
            <v>3480.25</v>
          </cell>
        </row>
        <row r="281">
          <cell r="B281" t="str">
            <v>1 M' BESI DIA. 10 mm (PINTU BESI GUA)</v>
          </cell>
        </row>
        <row r="282">
          <cell r="B282" t="str">
            <v>Besi 10 mm</v>
          </cell>
          <cell r="C282" t="str">
            <v>btg</v>
          </cell>
          <cell r="D282">
            <v>8.3299999999999999E-2</v>
          </cell>
          <cell r="E282" t="e">
            <v>#REF!</v>
          </cell>
          <cell r="F282" t="e">
            <v>#REF!</v>
          </cell>
        </row>
        <row r="283">
          <cell r="B283" t="str">
            <v>Elektroda Las</v>
          </cell>
          <cell r="C283" t="str">
            <v>bh</v>
          </cell>
          <cell r="D283">
            <v>1</v>
          </cell>
          <cell r="E283">
            <v>0</v>
          </cell>
          <cell r="F283">
            <v>0</v>
          </cell>
        </row>
        <row r="284">
          <cell r="B284" t="str">
            <v>Pekerja</v>
          </cell>
          <cell r="C284" t="str">
            <v>hr</v>
          </cell>
          <cell r="D284">
            <v>0.1</v>
          </cell>
          <cell r="E284">
            <v>15000</v>
          </cell>
          <cell r="F284">
            <v>1500</v>
          </cell>
        </row>
        <row r="285">
          <cell r="B285" t="str">
            <v>Mandor</v>
          </cell>
          <cell r="C285" t="str">
            <v>hr</v>
          </cell>
          <cell r="D285">
            <v>0.05</v>
          </cell>
          <cell r="E285">
            <v>30000</v>
          </cell>
          <cell r="F285">
            <v>1500</v>
          </cell>
        </row>
        <row r="286">
          <cell r="B286" t="str">
            <v>Kepala Tukang</v>
          </cell>
          <cell r="C286" t="str">
            <v>hr</v>
          </cell>
          <cell r="D286">
            <v>1.4999999999999999E-2</v>
          </cell>
          <cell r="E286">
            <v>35000</v>
          </cell>
          <cell r="F286">
            <v>525</v>
          </cell>
        </row>
        <row r="287">
          <cell r="B287" t="str">
            <v>Tukang Las</v>
          </cell>
          <cell r="C287" t="str">
            <v>ls</v>
          </cell>
          <cell r="D287">
            <v>0.75</v>
          </cell>
          <cell r="E287">
            <v>30000</v>
          </cell>
          <cell r="F287">
            <v>22500</v>
          </cell>
        </row>
        <row r="288">
          <cell r="F288" t="e">
            <v>#REF!</v>
          </cell>
        </row>
        <row r="289">
          <cell r="B289" t="str">
            <v>1 M' TIANG BESI SIKU</v>
          </cell>
        </row>
        <row r="290">
          <cell r="B290" t="str">
            <v>Besi  L 3,5X3,5X0,35</v>
          </cell>
          <cell r="C290" t="str">
            <v>m'</v>
          </cell>
          <cell r="D290">
            <v>2.6</v>
          </cell>
          <cell r="E290">
            <v>0</v>
          </cell>
          <cell r="F290">
            <v>0</v>
          </cell>
        </row>
        <row r="291">
          <cell r="B291" t="str">
            <v>Elektroda Las</v>
          </cell>
          <cell r="C291" t="str">
            <v>bh</v>
          </cell>
          <cell r="D291">
            <v>1</v>
          </cell>
          <cell r="E291">
            <v>0</v>
          </cell>
          <cell r="F291">
            <v>0</v>
          </cell>
        </row>
        <row r="292">
          <cell r="B292" t="str">
            <v>Pekerja</v>
          </cell>
          <cell r="C292" t="str">
            <v>hr</v>
          </cell>
          <cell r="D292">
            <v>0.1</v>
          </cell>
          <cell r="E292">
            <v>15000</v>
          </cell>
          <cell r="F292">
            <v>1500</v>
          </cell>
        </row>
        <row r="293">
          <cell r="B293" t="str">
            <v>Mandor</v>
          </cell>
          <cell r="C293" t="str">
            <v>hr</v>
          </cell>
          <cell r="D293">
            <v>0.05</v>
          </cell>
          <cell r="E293">
            <v>30000</v>
          </cell>
          <cell r="F293">
            <v>1500</v>
          </cell>
        </row>
        <row r="294">
          <cell r="B294" t="str">
            <v>Kepala Tukang</v>
          </cell>
          <cell r="C294" t="str">
            <v>hr</v>
          </cell>
          <cell r="D294">
            <v>1.4999999999999999E-2</v>
          </cell>
          <cell r="E294">
            <v>35000</v>
          </cell>
          <cell r="F294">
            <v>525</v>
          </cell>
        </row>
        <row r="295">
          <cell r="B295" t="str">
            <v>Tukang Las</v>
          </cell>
          <cell r="C295" t="str">
            <v>ls</v>
          </cell>
          <cell r="D295">
            <v>0.75</v>
          </cell>
          <cell r="E295">
            <v>30000</v>
          </cell>
          <cell r="F295">
            <v>22500</v>
          </cell>
        </row>
        <row r="296">
          <cell r="F296">
            <v>26025</v>
          </cell>
        </row>
        <row r="297">
          <cell r="B297" t="str">
            <v>1 M' PIPA BESI DIA. 2 INCHI</v>
          </cell>
        </row>
        <row r="298">
          <cell r="B298" t="str">
            <v>Pipa Besi dia. 2 inchi</v>
          </cell>
          <cell r="C298" t="str">
            <v>btg</v>
          </cell>
          <cell r="D298">
            <v>0.16</v>
          </cell>
          <cell r="E298" t="e">
            <v>#REF!</v>
          </cell>
          <cell r="F298" t="e">
            <v>#REF!</v>
          </cell>
        </row>
        <row r="299">
          <cell r="B299" t="str">
            <v>Elektroda Las</v>
          </cell>
          <cell r="C299" t="str">
            <v>bh</v>
          </cell>
          <cell r="D299">
            <v>1</v>
          </cell>
          <cell r="E299">
            <v>0</v>
          </cell>
          <cell r="F299">
            <v>0</v>
          </cell>
        </row>
        <row r="300">
          <cell r="B300" t="str">
            <v>Pekerja</v>
          </cell>
          <cell r="C300" t="str">
            <v>hr</v>
          </cell>
          <cell r="D300">
            <v>0.1</v>
          </cell>
          <cell r="E300">
            <v>15000</v>
          </cell>
          <cell r="F300">
            <v>1500</v>
          </cell>
        </row>
        <row r="301">
          <cell r="B301" t="str">
            <v>Mandor</v>
          </cell>
          <cell r="C301" t="str">
            <v>hr</v>
          </cell>
          <cell r="D301">
            <v>0.05</v>
          </cell>
          <cell r="E301">
            <v>30000</v>
          </cell>
          <cell r="F301">
            <v>1500</v>
          </cell>
        </row>
        <row r="302">
          <cell r="B302" t="str">
            <v>Kepala Tukang</v>
          </cell>
          <cell r="C302" t="str">
            <v>hr</v>
          </cell>
          <cell r="D302">
            <v>1.4999999999999999E-2</v>
          </cell>
          <cell r="E302">
            <v>35000</v>
          </cell>
          <cell r="F302">
            <v>525</v>
          </cell>
        </row>
        <row r="303">
          <cell r="B303" t="str">
            <v>Tukang Las</v>
          </cell>
          <cell r="C303" t="str">
            <v>ls</v>
          </cell>
          <cell r="D303">
            <v>0.75</v>
          </cell>
          <cell r="E303">
            <v>30000</v>
          </cell>
          <cell r="F303">
            <v>22500</v>
          </cell>
        </row>
        <row r="304">
          <cell r="F304" t="e">
            <v>#REF!</v>
          </cell>
        </row>
        <row r="305">
          <cell r="B305" t="str">
            <v>1 M' KAWAT DURI</v>
          </cell>
        </row>
        <row r="306">
          <cell r="B306" t="str">
            <v>Kawat Duri</v>
          </cell>
          <cell r="C306" t="str">
            <v>roll</v>
          </cell>
          <cell r="D306">
            <v>0.02</v>
          </cell>
          <cell r="E306" t="e">
            <v>#REF!</v>
          </cell>
          <cell r="F306" t="e">
            <v>#REF!</v>
          </cell>
        </row>
        <row r="307">
          <cell r="B307" t="str">
            <v>Elektroda Las</v>
          </cell>
          <cell r="C307" t="str">
            <v>bh</v>
          </cell>
          <cell r="D307">
            <v>1</v>
          </cell>
          <cell r="E307">
            <v>0</v>
          </cell>
          <cell r="F307">
            <v>0</v>
          </cell>
        </row>
        <row r="308">
          <cell r="B308" t="str">
            <v>Pekerja</v>
          </cell>
          <cell r="C308" t="str">
            <v>hr</v>
          </cell>
          <cell r="D308">
            <v>0.1</v>
          </cell>
          <cell r="E308">
            <v>15000</v>
          </cell>
          <cell r="F308">
            <v>1500</v>
          </cell>
        </row>
        <row r="309">
          <cell r="B309" t="str">
            <v>Mandor</v>
          </cell>
          <cell r="C309" t="str">
            <v>hr</v>
          </cell>
          <cell r="D309">
            <v>0.05</v>
          </cell>
          <cell r="E309">
            <v>30000</v>
          </cell>
          <cell r="F309">
            <v>1500</v>
          </cell>
        </row>
        <row r="310">
          <cell r="B310" t="str">
            <v>Kepala Tukang</v>
          </cell>
          <cell r="C310" t="str">
            <v>hr</v>
          </cell>
          <cell r="D310">
            <v>1.4999999999999999E-2</v>
          </cell>
          <cell r="E310">
            <v>35000</v>
          </cell>
          <cell r="F310">
            <v>525</v>
          </cell>
        </row>
        <row r="311">
          <cell r="B311" t="str">
            <v>Tukang Las</v>
          </cell>
          <cell r="C311" t="str">
            <v>ls</v>
          </cell>
          <cell r="D311">
            <v>0.75</v>
          </cell>
          <cell r="E311">
            <v>30000</v>
          </cell>
          <cell r="F311">
            <v>22500</v>
          </cell>
        </row>
        <row r="312">
          <cell r="F312" t="e">
            <v>#REF!</v>
          </cell>
        </row>
        <row r="313">
          <cell r="B313" t="str">
            <v>10 M2 CAT ATAP</v>
          </cell>
        </row>
        <row r="314">
          <cell r="B314" t="str">
            <v>Cat  Asbes</v>
          </cell>
          <cell r="C314" t="str">
            <v>kg</v>
          </cell>
          <cell r="D314">
            <v>1.1000000000000001</v>
          </cell>
          <cell r="E314">
            <v>0</v>
          </cell>
          <cell r="F314">
            <v>0</v>
          </cell>
        </row>
        <row r="315">
          <cell r="B315" t="str">
            <v>Tukang Cat</v>
          </cell>
          <cell r="C315" t="str">
            <v>hr</v>
          </cell>
          <cell r="D315">
            <v>2.4</v>
          </cell>
          <cell r="E315">
            <v>30000</v>
          </cell>
          <cell r="F315">
            <v>72000</v>
          </cell>
        </row>
        <row r="316">
          <cell r="B316" t="str">
            <v>Pekerja</v>
          </cell>
          <cell r="C316" t="str">
            <v>hr</v>
          </cell>
          <cell r="D316">
            <v>1.2</v>
          </cell>
          <cell r="E316">
            <v>15000</v>
          </cell>
          <cell r="F316">
            <v>18000</v>
          </cell>
        </row>
        <row r="317">
          <cell r="B317" t="str">
            <v>Mandor</v>
          </cell>
          <cell r="C317" t="str">
            <v>hr</v>
          </cell>
          <cell r="D317">
            <v>0.12</v>
          </cell>
          <cell r="E317">
            <v>30000</v>
          </cell>
          <cell r="F317">
            <v>3600</v>
          </cell>
        </row>
        <row r="318">
          <cell r="B318" t="str">
            <v>Kepala Tukang</v>
          </cell>
          <cell r="C318" t="str">
            <v>hr</v>
          </cell>
          <cell r="D318">
            <v>0.12</v>
          </cell>
          <cell r="E318">
            <v>35000</v>
          </cell>
          <cell r="F318">
            <v>4200</v>
          </cell>
        </row>
        <row r="319">
          <cell r="E319" t="str">
            <v>10 M2</v>
          </cell>
          <cell r="F319">
            <v>97800</v>
          </cell>
        </row>
        <row r="320">
          <cell r="E320" t="str">
            <v xml:space="preserve">1 M2 Cat Atap </v>
          </cell>
          <cell r="F320">
            <v>9780</v>
          </cell>
        </row>
        <row r="321">
          <cell r="B321" t="str">
            <v>1 M' SALURAN AIR HUJAN KELILING BANGUNAN</v>
          </cell>
        </row>
        <row r="322">
          <cell r="B322" t="str">
            <v>Galian tanah</v>
          </cell>
          <cell r="C322" t="str">
            <v>m3</v>
          </cell>
          <cell r="D322">
            <v>0.3</v>
          </cell>
          <cell r="E322">
            <v>12810</v>
          </cell>
          <cell r="F322">
            <v>3843</v>
          </cell>
        </row>
        <row r="323">
          <cell r="B323" t="str">
            <v>Pas. Batu Bata Trasraam</v>
          </cell>
          <cell r="C323" t="str">
            <v>m3</v>
          </cell>
          <cell r="D323">
            <v>9.5699999999999993E-2</v>
          </cell>
          <cell r="E323">
            <v>563615</v>
          </cell>
          <cell r="F323">
            <v>53937.955499999996</v>
          </cell>
        </row>
        <row r="324">
          <cell r="B324" t="str">
            <v>Plesteran Trasraam</v>
          </cell>
          <cell r="C324" t="str">
            <v>m2</v>
          </cell>
          <cell r="D324">
            <v>1.1499999999999999</v>
          </cell>
          <cell r="E324">
            <v>21415</v>
          </cell>
          <cell r="F324">
            <v>24627.249999999996</v>
          </cell>
        </row>
        <row r="325">
          <cell r="B325" t="str">
            <v>Pas. Batu Kosong</v>
          </cell>
          <cell r="C325" t="str">
            <v>m3</v>
          </cell>
          <cell r="D325">
            <v>5.5E-2</v>
          </cell>
          <cell r="E325">
            <v>137100</v>
          </cell>
          <cell r="F325">
            <v>7540.5</v>
          </cell>
        </row>
        <row r="326">
          <cell r="F326">
            <v>89948.705499999996</v>
          </cell>
        </row>
        <row r="327">
          <cell r="B327" t="str">
            <v xml:space="preserve">1 BUAH BAK KONTROL </v>
          </cell>
        </row>
        <row r="328">
          <cell r="B328" t="str">
            <v>Galian Tanah</v>
          </cell>
          <cell r="C328" t="str">
            <v>m3</v>
          </cell>
          <cell r="D328">
            <v>0.53900000000000003</v>
          </cell>
          <cell r="E328">
            <v>12810</v>
          </cell>
          <cell r="F328">
            <v>6904.59</v>
          </cell>
        </row>
        <row r="329">
          <cell r="B329" t="str">
            <v>Pas. Bata Trasraam</v>
          </cell>
          <cell r="C329" t="str">
            <v>m3</v>
          </cell>
          <cell r="D329">
            <v>0.25</v>
          </cell>
          <cell r="E329">
            <v>563615</v>
          </cell>
          <cell r="F329">
            <v>140903.75</v>
          </cell>
        </row>
        <row r="330">
          <cell r="B330" t="str">
            <v>Plesteran Trasraam</v>
          </cell>
          <cell r="C330" t="str">
            <v>m2</v>
          </cell>
          <cell r="D330">
            <v>1.75</v>
          </cell>
          <cell r="E330">
            <v>21415</v>
          </cell>
          <cell r="F330">
            <v>37476.25</v>
          </cell>
        </row>
        <row r="331">
          <cell r="B331" t="str">
            <v>Urugan Pasir</v>
          </cell>
          <cell r="C331" t="str">
            <v>m3</v>
          </cell>
          <cell r="D331">
            <v>0.32</v>
          </cell>
          <cell r="E331">
            <v>51000</v>
          </cell>
          <cell r="F331">
            <v>16320</v>
          </cell>
        </row>
        <row r="332">
          <cell r="B332" t="str">
            <v>Urugan Kerikil</v>
          </cell>
          <cell r="C332" t="str">
            <v>m3</v>
          </cell>
          <cell r="D332">
            <v>2.5000000000000001E-2</v>
          </cell>
          <cell r="E332">
            <v>62220</v>
          </cell>
          <cell r="F332">
            <v>1555.5</v>
          </cell>
        </row>
        <row r="333">
          <cell r="F333">
            <v>203160.09</v>
          </cell>
        </row>
        <row r="334">
          <cell r="A334" t="str">
            <v>F.IV.24</v>
          </cell>
          <cell r="B334" t="str">
            <v>1 M2 PASANGAN RAM HARMONIKA</v>
          </cell>
        </row>
        <row r="335">
          <cell r="B335" t="str">
            <v>Kawat Ram Harmonika # 4 cm</v>
          </cell>
          <cell r="C335" t="str">
            <v>m2</v>
          </cell>
          <cell r="D335">
            <v>1.1499999999999999</v>
          </cell>
          <cell r="E335">
            <v>16200</v>
          </cell>
          <cell r="F335">
            <v>18630</v>
          </cell>
        </row>
        <row r="336">
          <cell r="B336" t="str">
            <v>Paku</v>
          </cell>
          <cell r="C336" t="str">
            <v>m2</v>
          </cell>
          <cell r="D336">
            <v>0.1</v>
          </cell>
          <cell r="E336">
            <v>8800</v>
          </cell>
          <cell r="F336">
            <v>880</v>
          </cell>
        </row>
        <row r="337">
          <cell r="B337" t="str">
            <v>Tukang Kayu</v>
          </cell>
          <cell r="C337" t="str">
            <v>hr</v>
          </cell>
          <cell r="D337">
            <v>0.25</v>
          </cell>
          <cell r="E337">
            <v>30000</v>
          </cell>
          <cell r="F337">
            <v>7500</v>
          </cell>
        </row>
        <row r="338">
          <cell r="B338" t="str">
            <v>Pekerja</v>
          </cell>
          <cell r="C338" t="str">
            <v>hr</v>
          </cell>
          <cell r="D338">
            <v>0.1</v>
          </cell>
          <cell r="E338">
            <v>15000</v>
          </cell>
          <cell r="F338">
            <v>1500</v>
          </cell>
        </row>
        <row r="339">
          <cell r="F339">
            <v>28510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A"/>
      <sheetName val="TRIBUN"/>
      <sheetName val="Rekap"/>
    </sheetNames>
    <sheetDataSet>
      <sheetData sheetId="0">
        <row r="7">
          <cell r="C7" t="str">
            <v>Batu Gunung</v>
          </cell>
          <cell r="D7" t="str">
            <v>Rp</v>
          </cell>
          <cell r="E7">
            <v>16500</v>
          </cell>
        </row>
        <row r="8">
          <cell r="C8" t="str">
            <v>Pasir Timbunan</v>
          </cell>
          <cell r="D8" t="str">
            <v>Rp</v>
          </cell>
          <cell r="E8">
            <v>15000</v>
          </cell>
        </row>
        <row r="9">
          <cell r="C9" t="str">
            <v>Tanah Timbunan</v>
          </cell>
          <cell r="D9" t="str">
            <v>Rp</v>
          </cell>
          <cell r="E9">
            <v>16000</v>
          </cell>
        </row>
        <row r="10">
          <cell r="C10" t="str">
            <v>Pasir Pasangan</v>
          </cell>
          <cell r="D10" t="str">
            <v>Rp</v>
          </cell>
          <cell r="E10">
            <v>33750</v>
          </cell>
        </row>
        <row r="11">
          <cell r="C11" t="str">
            <v>Pasir Beton</v>
          </cell>
          <cell r="D11" t="str">
            <v>Rp</v>
          </cell>
          <cell r="E11">
            <v>30000</v>
          </cell>
        </row>
        <row r="12">
          <cell r="C12" t="str">
            <v>Batu Pecah 2-3 cm</v>
          </cell>
          <cell r="D12" t="str">
            <v>Rp</v>
          </cell>
          <cell r="E12">
            <v>54500</v>
          </cell>
        </row>
        <row r="13">
          <cell r="C13" t="str">
            <v>Krikil Sungai</v>
          </cell>
          <cell r="D13" t="str">
            <v>Rp</v>
          </cell>
          <cell r="E13">
            <v>17500</v>
          </cell>
        </row>
        <row r="14">
          <cell r="C14" t="str">
            <v>Kapur</v>
          </cell>
          <cell r="D14" t="str">
            <v>Rp</v>
          </cell>
          <cell r="E14">
            <v>50000</v>
          </cell>
        </row>
        <row r="15">
          <cell r="C15" t="str">
            <v>Semen</v>
          </cell>
          <cell r="D15" t="str">
            <v>Rp</v>
          </cell>
          <cell r="E15">
            <v>19500</v>
          </cell>
        </row>
        <row r="16">
          <cell r="C16" t="str">
            <v>Bata Merah</v>
          </cell>
          <cell r="D16" t="str">
            <v>Rp</v>
          </cell>
          <cell r="E16">
            <v>185</v>
          </cell>
        </row>
        <row r="17">
          <cell r="C17" t="str">
            <v>Besi Beton U-24</v>
          </cell>
          <cell r="D17" t="str">
            <v>Rp</v>
          </cell>
          <cell r="E17">
            <v>3500</v>
          </cell>
        </row>
        <row r="18">
          <cell r="C18" t="str">
            <v>Kawat Beton</v>
          </cell>
          <cell r="D18" t="str">
            <v>Rp</v>
          </cell>
          <cell r="E18">
            <v>8000</v>
          </cell>
        </row>
        <row r="19">
          <cell r="C19" t="str">
            <v>Paku 2,5 - 4 cm</v>
          </cell>
          <cell r="D19" t="str">
            <v>Rp</v>
          </cell>
          <cell r="E19">
            <v>6000</v>
          </cell>
        </row>
        <row r="20">
          <cell r="C20" t="str">
            <v>Paku 5 - 10 cm</v>
          </cell>
          <cell r="D20" t="str">
            <v>Rp</v>
          </cell>
          <cell r="E20">
            <v>5000</v>
          </cell>
        </row>
        <row r="21">
          <cell r="C21" t="str">
            <v>Tegel Porselin 20x25</v>
          </cell>
          <cell r="D21" t="str">
            <v>Rp</v>
          </cell>
          <cell r="E21">
            <v>32000</v>
          </cell>
        </row>
        <row r="22">
          <cell r="C22" t="str">
            <v>Tegel Keramik 30x30</v>
          </cell>
          <cell r="D22" t="str">
            <v>Rp</v>
          </cell>
          <cell r="E22">
            <v>18000</v>
          </cell>
        </row>
        <row r="23">
          <cell r="C23" t="str">
            <v>Tegel Mozaik 20x20 cm</v>
          </cell>
          <cell r="D23" t="str">
            <v>Rp</v>
          </cell>
          <cell r="E23">
            <v>32000</v>
          </cell>
        </row>
        <row r="24">
          <cell r="C24" t="str">
            <v>Tripleks 6mm</v>
          </cell>
          <cell r="D24" t="str">
            <v>Rp</v>
          </cell>
          <cell r="E24">
            <v>15000</v>
          </cell>
        </row>
        <row r="25">
          <cell r="C25" t="str">
            <v>Kaca Rayband 5mm</v>
          </cell>
          <cell r="D25" t="str">
            <v>Rp</v>
          </cell>
          <cell r="E25">
            <v>55000</v>
          </cell>
        </row>
        <row r="26">
          <cell r="C26" t="str">
            <v>Kaca / Cermin</v>
          </cell>
          <cell r="D26" t="str">
            <v>Rp</v>
          </cell>
          <cell r="E26">
            <v>60000</v>
          </cell>
        </row>
        <row r="27">
          <cell r="C27" t="str">
            <v>Kayu Kls I (Balok Somil)</v>
          </cell>
          <cell r="D27" t="str">
            <v>Rp</v>
          </cell>
          <cell r="E27">
            <v>2675000</v>
          </cell>
        </row>
        <row r="28">
          <cell r="C28" t="str">
            <v>Kayu Kls I (Papan Somil)</v>
          </cell>
          <cell r="D28" t="str">
            <v>Rp</v>
          </cell>
          <cell r="E28">
            <v>3250000</v>
          </cell>
        </row>
        <row r="29">
          <cell r="C29" t="str">
            <v>Kayu Kls I (Balok Senso)</v>
          </cell>
          <cell r="D29" t="str">
            <v>Rp</v>
          </cell>
          <cell r="E29">
            <v>1800000</v>
          </cell>
        </row>
        <row r="30">
          <cell r="C30" t="str">
            <v>Kayu Kelas II (Balok)</v>
          </cell>
          <cell r="D30" t="str">
            <v>Rp</v>
          </cell>
          <cell r="E30">
            <v>900000</v>
          </cell>
        </row>
        <row r="31">
          <cell r="C31" t="str">
            <v>Kayu Kelas II (Papan)</v>
          </cell>
          <cell r="D31" t="str">
            <v>Rp</v>
          </cell>
          <cell r="E31">
            <v>1000000</v>
          </cell>
        </row>
        <row r="32">
          <cell r="C32" t="str">
            <v>Cat Tembok Kls B (Ex Metrolite)</v>
          </cell>
          <cell r="D32" t="str">
            <v>Rp</v>
          </cell>
          <cell r="E32">
            <v>27500</v>
          </cell>
        </row>
        <row r="33">
          <cell r="C33" t="str">
            <v>Cat Kayu Kls B</v>
          </cell>
          <cell r="D33" t="str">
            <v>Rp</v>
          </cell>
          <cell r="E33">
            <v>18500</v>
          </cell>
        </row>
        <row r="34">
          <cell r="C34" t="str">
            <v>Cat Dasar / Meni</v>
          </cell>
          <cell r="D34" t="str">
            <v>Rp</v>
          </cell>
          <cell r="E34">
            <v>13500</v>
          </cell>
        </row>
        <row r="35">
          <cell r="C35" t="str">
            <v>Kloset Jongkok</v>
          </cell>
          <cell r="D35" t="str">
            <v>Rp</v>
          </cell>
          <cell r="E35">
            <v>75000</v>
          </cell>
        </row>
        <row r="36">
          <cell r="C36" t="str">
            <v>Kran Air</v>
          </cell>
          <cell r="D36" t="str">
            <v>Rp</v>
          </cell>
          <cell r="E36">
            <v>80000</v>
          </cell>
        </row>
        <row r="37">
          <cell r="C37" t="str">
            <v xml:space="preserve">Washtafel EX.Lokal Warna </v>
          </cell>
          <cell r="D37" t="str">
            <v>Rp</v>
          </cell>
          <cell r="E37">
            <v>180000</v>
          </cell>
        </row>
        <row r="38">
          <cell r="C38" t="str">
            <v>Floor Drine</v>
          </cell>
          <cell r="D38" t="str">
            <v>Rp</v>
          </cell>
          <cell r="E38">
            <v>20000</v>
          </cell>
        </row>
        <row r="39">
          <cell r="C39" t="str">
            <v>Urinoir</v>
          </cell>
          <cell r="D39" t="str">
            <v>Rp</v>
          </cell>
          <cell r="E39">
            <v>500000</v>
          </cell>
        </row>
        <row r="40">
          <cell r="C40" t="str">
            <v>PVC D @ 10 cm Medium</v>
          </cell>
          <cell r="D40" t="str">
            <v>Rp</v>
          </cell>
          <cell r="E40">
            <v>11250</v>
          </cell>
        </row>
        <row r="41">
          <cell r="C41" t="str">
            <v>PVC D @ 7,5 cm Medium</v>
          </cell>
          <cell r="D41" t="str">
            <v>Rp</v>
          </cell>
          <cell r="E41">
            <v>6250</v>
          </cell>
        </row>
        <row r="42">
          <cell r="C42" t="str">
            <v>Gip  1/2" MB</v>
          </cell>
          <cell r="D42" t="str">
            <v>Rp</v>
          </cell>
          <cell r="E42">
            <v>7800</v>
          </cell>
        </row>
        <row r="43">
          <cell r="C43" t="str">
            <v>Baut D. 12 mm</v>
          </cell>
          <cell r="D43" t="str">
            <v>Rp</v>
          </cell>
          <cell r="E43">
            <v>3750</v>
          </cell>
        </row>
        <row r="44">
          <cell r="C44" t="str">
            <v>Engsel Pintu</v>
          </cell>
          <cell r="D44" t="str">
            <v>Rp</v>
          </cell>
          <cell r="E44">
            <v>3500</v>
          </cell>
        </row>
        <row r="45">
          <cell r="C45" t="str">
            <v>Engsel Jendela</v>
          </cell>
          <cell r="D45" t="str">
            <v>Rp</v>
          </cell>
          <cell r="E45">
            <v>2500</v>
          </cell>
        </row>
        <row r="46">
          <cell r="C46" t="str">
            <v>Grendel Jendela / Pintu</v>
          </cell>
          <cell r="D46" t="str">
            <v>Rp</v>
          </cell>
          <cell r="E46">
            <v>1000</v>
          </cell>
        </row>
        <row r="47">
          <cell r="C47" t="str">
            <v>Kunci Pintu 2 x Putar</v>
          </cell>
          <cell r="D47" t="str">
            <v>Rp</v>
          </cell>
          <cell r="E47">
            <v>75000</v>
          </cell>
        </row>
        <row r="48">
          <cell r="C48" t="str">
            <v>Hak Angin</v>
          </cell>
          <cell r="D48" t="str">
            <v>Rp</v>
          </cell>
          <cell r="E48">
            <v>5000</v>
          </cell>
        </row>
        <row r="49">
          <cell r="C49" t="str">
            <v>Lampu SL-25 Waat</v>
          </cell>
          <cell r="D49" t="str">
            <v>Rp</v>
          </cell>
          <cell r="E49">
            <v>62500</v>
          </cell>
        </row>
        <row r="50">
          <cell r="C50" t="str">
            <v>Mercury 100 Watt</v>
          </cell>
          <cell r="D50" t="str">
            <v>Rp</v>
          </cell>
          <cell r="E50">
            <v>125000</v>
          </cell>
        </row>
        <row r="51">
          <cell r="C51" t="str">
            <v>Lampu TL 2 x 36 Watt</v>
          </cell>
          <cell r="D51" t="str">
            <v>Rp</v>
          </cell>
          <cell r="E51">
            <v>93500</v>
          </cell>
        </row>
        <row r="52">
          <cell r="C52" t="str">
            <v>Lampu Pijar 40 Watt</v>
          </cell>
          <cell r="D52" t="str">
            <v>Rp</v>
          </cell>
          <cell r="E52">
            <v>2500</v>
          </cell>
        </row>
        <row r="53">
          <cell r="C53" t="str">
            <v>Stop Kontak</v>
          </cell>
          <cell r="D53" t="str">
            <v>Rp</v>
          </cell>
          <cell r="E53">
            <v>9000</v>
          </cell>
        </row>
        <row r="54">
          <cell r="C54" t="str">
            <v>Saklar Tunggal</v>
          </cell>
          <cell r="D54" t="str">
            <v>Rp</v>
          </cell>
          <cell r="E54">
            <v>8500</v>
          </cell>
        </row>
        <row r="55">
          <cell r="C55" t="str">
            <v>Saklar Ganda</v>
          </cell>
          <cell r="D55" t="str">
            <v>Rp</v>
          </cell>
          <cell r="E55">
            <v>11500</v>
          </cell>
        </row>
        <row r="61">
          <cell r="C61" t="str">
            <v>NAMA  TENAGA KERJA</v>
          </cell>
          <cell r="E61" t="str">
            <v>UPAH    &amp;</v>
          </cell>
        </row>
        <row r="63">
          <cell r="C63" t="str">
            <v>Tukang</v>
          </cell>
          <cell r="D63" t="str">
            <v>Rp</v>
          </cell>
          <cell r="E63">
            <v>20000</v>
          </cell>
        </row>
        <row r="64">
          <cell r="C64" t="str">
            <v>Kepala tukang</v>
          </cell>
          <cell r="D64" t="str">
            <v>Rp</v>
          </cell>
          <cell r="E64">
            <v>22500</v>
          </cell>
        </row>
        <row r="65">
          <cell r="C65" t="str">
            <v>Pekerja</v>
          </cell>
          <cell r="D65" t="str">
            <v>Rp</v>
          </cell>
          <cell r="E65">
            <v>12000</v>
          </cell>
        </row>
        <row r="66">
          <cell r="C66" t="str">
            <v>Mandor</v>
          </cell>
          <cell r="D66" t="str">
            <v>Rp</v>
          </cell>
          <cell r="E66">
            <v>17500</v>
          </cell>
        </row>
        <row r="69">
          <cell r="D69" t="str">
            <v>Makassar,   9 Desember 2000.</v>
          </cell>
        </row>
        <row r="71">
          <cell r="D71" t="str">
            <v>Konsultan Perencana</v>
          </cell>
        </row>
        <row r="72">
          <cell r="D72" t="str">
            <v>CV. PRAPRIMADANI PRATAMA</v>
          </cell>
        </row>
        <row r="139">
          <cell r="C139" t="str">
            <v>Semen Putih</v>
          </cell>
          <cell r="D139" t="str">
            <v>Rp</v>
          </cell>
          <cell r="E139">
            <v>50000</v>
          </cell>
        </row>
        <row r="140">
          <cell r="C140" t="str">
            <v>Genteng Beton Warna</v>
          </cell>
          <cell r="D140" t="str">
            <v>Rp</v>
          </cell>
          <cell r="E140">
            <v>3000</v>
          </cell>
        </row>
        <row r="141">
          <cell r="C141" t="str">
            <v>Bubungan Genteng Beton</v>
          </cell>
          <cell r="D141" t="str">
            <v>Rp</v>
          </cell>
          <cell r="E141">
            <v>3000</v>
          </cell>
        </row>
        <row r="142">
          <cell r="C142" t="str">
            <v>Karet Pelapis Genteng</v>
          </cell>
          <cell r="D142" t="str">
            <v>Rp</v>
          </cell>
          <cell r="E142">
            <v>7500</v>
          </cell>
        </row>
        <row r="143">
          <cell r="C143" t="str">
            <v>Seng Plat BWG 0,28</v>
          </cell>
          <cell r="D143" t="str">
            <v>Rp</v>
          </cell>
          <cell r="E143">
            <v>24299.995555555553</v>
          </cell>
        </row>
        <row r="144">
          <cell r="C144" t="str">
            <v>Seng Gelombang BJLS 0,28</v>
          </cell>
          <cell r="D144" t="str">
            <v>Rp</v>
          </cell>
          <cell r="E144">
            <v>23250</v>
          </cell>
        </row>
        <row r="145">
          <cell r="C145" t="str">
            <v>Asbes Gelombang 5 mm</v>
          </cell>
          <cell r="D145" t="str">
            <v>Rp</v>
          </cell>
          <cell r="E145">
            <v>17900</v>
          </cell>
        </row>
        <row r="146">
          <cell r="C146" t="str">
            <v>Asbes Genteng Harflex</v>
          </cell>
          <cell r="D146" t="str">
            <v>Rp</v>
          </cell>
          <cell r="E146">
            <v>18000</v>
          </cell>
        </row>
        <row r="147">
          <cell r="C147" t="str">
            <v>Tegel 30x30 (Ex. Platinium)</v>
          </cell>
          <cell r="D147" t="str">
            <v>Rp</v>
          </cell>
          <cell r="E147">
            <v>35000</v>
          </cell>
        </row>
        <row r="148">
          <cell r="C148" t="str">
            <v>Marmer Maros 100x100 cm</v>
          </cell>
          <cell r="D148" t="str">
            <v>Rp</v>
          </cell>
          <cell r="E148">
            <v>224000</v>
          </cell>
        </row>
        <row r="149">
          <cell r="C149" t="str">
            <v>Marmer Maros 60x60 cm</v>
          </cell>
          <cell r="D149" t="str">
            <v>Rp</v>
          </cell>
          <cell r="E149">
            <v>174000</v>
          </cell>
        </row>
        <row r="150">
          <cell r="C150" t="str">
            <v>Marmer Maros 30x30 cm</v>
          </cell>
          <cell r="D150" t="str">
            <v>Rp</v>
          </cell>
          <cell r="E150">
            <v>156000</v>
          </cell>
        </row>
        <row r="151">
          <cell r="C151" t="str">
            <v>Tegel Ezensa 60x60 cm</v>
          </cell>
          <cell r="D151" t="str">
            <v>Rp</v>
          </cell>
          <cell r="E151">
            <v>200000</v>
          </cell>
        </row>
        <row r="152">
          <cell r="C152" t="str">
            <v>Tegel Ezensa 40x40 cm</v>
          </cell>
          <cell r="D152" t="str">
            <v>Rp</v>
          </cell>
          <cell r="E152">
            <v>135000</v>
          </cell>
        </row>
        <row r="153">
          <cell r="C153" t="str">
            <v>Tegel Ezensa 30x30 cm</v>
          </cell>
          <cell r="D153" t="str">
            <v>Rp</v>
          </cell>
          <cell r="E153">
            <v>120000</v>
          </cell>
        </row>
        <row r="154">
          <cell r="C154" t="str">
            <v>Tripleks 4mm</v>
          </cell>
          <cell r="D154" t="str">
            <v>Rp</v>
          </cell>
          <cell r="E154">
            <v>9550</v>
          </cell>
        </row>
        <row r="155">
          <cell r="C155" t="str">
            <v>Tripleks 9mm</v>
          </cell>
          <cell r="D155" t="str">
            <v>Rp</v>
          </cell>
          <cell r="E155">
            <v>24500</v>
          </cell>
        </row>
        <row r="156">
          <cell r="C156" t="str">
            <v>Gypsum Board</v>
          </cell>
          <cell r="D156" t="str">
            <v>Rp</v>
          </cell>
          <cell r="E156">
            <v>11150</v>
          </cell>
        </row>
        <row r="157">
          <cell r="C157" t="str">
            <v>Eternit 1 x 1 M</v>
          </cell>
          <cell r="D157" t="str">
            <v>Rp</v>
          </cell>
          <cell r="E157">
            <v>6500</v>
          </cell>
        </row>
        <row r="158">
          <cell r="C158" t="str">
            <v>Kaca Buram  5 mm</v>
          </cell>
          <cell r="D158" t="str">
            <v>Rp</v>
          </cell>
          <cell r="E158">
            <v>55000</v>
          </cell>
        </row>
        <row r="159">
          <cell r="C159" t="str">
            <v>Kayu Kelas III (Balok)</v>
          </cell>
          <cell r="D159" t="str">
            <v>Rp</v>
          </cell>
          <cell r="E159">
            <v>500000</v>
          </cell>
        </row>
        <row r="160">
          <cell r="C160" t="str">
            <v>Kayu Kelas III (Papan)</v>
          </cell>
          <cell r="D160" t="str">
            <v>Rp</v>
          </cell>
          <cell r="E160">
            <v>550000</v>
          </cell>
        </row>
        <row r="161">
          <cell r="C161" t="str">
            <v>List Plafond (Kayu Profil 3x4)</v>
          </cell>
          <cell r="D161" t="str">
            <v>Rp</v>
          </cell>
          <cell r="E161">
            <v>2500</v>
          </cell>
        </row>
        <row r="162">
          <cell r="C162" t="str">
            <v>Lambiserin Kls II 1x9x400</v>
          </cell>
          <cell r="D162" t="str">
            <v>Rp</v>
          </cell>
          <cell r="E162">
            <v>2800</v>
          </cell>
        </row>
        <row r="163">
          <cell r="C163" t="str">
            <v>Teakwood Pintu</v>
          </cell>
          <cell r="D163" t="str">
            <v>Rp</v>
          </cell>
          <cell r="E163">
            <v>45000</v>
          </cell>
        </row>
        <row r="164">
          <cell r="C164" t="str">
            <v>Cat Teak Oil/Politur</v>
          </cell>
          <cell r="D164" t="str">
            <v>Rp</v>
          </cell>
          <cell r="E164">
            <v>10000</v>
          </cell>
        </row>
        <row r="165">
          <cell r="C165" t="str">
            <v>Minyak Cat</v>
          </cell>
          <cell r="D165" t="str">
            <v>Rp</v>
          </cell>
          <cell r="E165">
            <v>1750</v>
          </cell>
        </row>
        <row r="173">
          <cell r="C173" t="str">
            <v>Kloset Duduk</v>
          </cell>
          <cell r="D173" t="str">
            <v>Rp</v>
          </cell>
          <cell r="E173">
            <v>650000</v>
          </cell>
        </row>
        <row r="174">
          <cell r="C174" t="str">
            <v>Kloset Duduk KIA Warna (dud Blok)</v>
          </cell>
          <cell r="D174" t="str">
            <v>Rp</v>
          </cell>
          <cell r="E174">
            <v>1000000</v>
          </cell>
        </row>
        <row r="175">
          <cell r="C175" t="str">
            <v>Washbasin</v>
          </cell>
          <cell r="D175" t="str">
            <v>Rp</v>
          </cell>
          <cell r="E175">
            <v>220000</v>
          </cell>
        </row>
        <row r="176">
          <cell r="C176" t="str">
            <v>Tempat Sabun</v>
          </cell>
          <cell r="D176" t="str">
            <v>Rp</v>
          </cell>
          <cell r="E176">
            <v>25000</v>
          </cell>
        </row>
        <row r="177">
          <cell r="C177" t="str">
            <v>Hand Shower Ex. San Ei</v>
          </cell>
          <cell r="D177" t="str">
            <v>Rp</v>
          </cell>
          <cell r="E177">
            <v>175000</v>
          </cell>
        </row>
        <row r="178">
          <cell r="C178" t="str">
            <v>PVC D @ 15 cm Medium</v>
          </cell>
          <cell r="D178" t="str">
            <v>Rp</v>
          </cell>
          <cell r="E178">
            <v>12375.000000000002</v>
          </cell>
        </row>
        <row r="179">
          <cell r="C179" t="str">
            <v>Gip 3/4" MB</v>
          </cell>
          <cell r="D179" t="str">
            <v>Rp</v>
          </cell>
          <cell r="E179">
            <v>9000</v>
          </cell>
        </row>
        <row r="180">
          <cell r="C180" t="str">
            <v>Gip 2" MB</v>
          </cell>
          <cell r="D180" t="str">
            <v>Rp</v>
          </cell>
          <cell r="E180">
            <v>16600</v>
          </cell>
        </row>
        <row r="181">
          <cell r="C181" t="str">
            <v>PVC 3/4" MB</v>
          </cell>
          <cell r="D181" t="str">
            <v>Rp</v>
          </cell>
          <cell r="E181">
            <v>2125</v>
          </cell>
        </row>
        <row r="182">
          <cell r="C182" t="str">
            <v>Expanyolet Tempel</v>
          </cell>
          <cell r="D182" t="str">
            <v>Rp</v>
          </cell>
          <cell r="E182">
            <v>385000</v>
          </cell>
        </row>
        <row r="183">
          <cell r="C183" t="str">
            <v>Lampu Sanex SL-14</v>
          </cell>
          <cell r="D183" t="str">
            <v>Rp</v>
          </cell>
          <cell r="E183">
            <v>32000</v>
          </cell>
        </row>
        <row r="184">
          <cell r="C184" t="str">
            <v>Lampu TL 2 x 20 Watt</v>
          </cell>
          <cell r="D184" t="str">
            <v>Rp</v>
          </cell>
          <cell r="E184">
            <v>60000</v>
          </cell>
        </row>
        <row r="185">
          <cell r="C185" t="str">
            <v>Lampu TL 1 x 20 Watt</v>
          </cell>
          <cell r="D185" t="str">
            <v>Rp</v>
          </cell>
          <cell r="E185">
            <v>30000</v>
          </cell>
        </row>
        <row r="186">
          <cell r="C186" t="str">
            <v>Lampu Downlight Besar</v>
          </cell>
          <cell r="D186" t="str">
            <v>Rp</v>
          </cell>
          <cell r="E186">
            <v>132000</v>
          </cell>
        </row>
        <row r="187">
          <cell r="C187" t="str">
            <v>Lampu Pijar 15 Watt</v>
          </cell>
          <cell r="D187" t="str">
            <v>Rp</v>
          </cell>
          <cell r="E187">
            <v>2500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HBU"/>
      <sheetName val="UP"/>
      <sheetName val="pabrikasi kayu"/>
    </sheetNames>
    <sheetDataSet>
      <sheetData sheetId="0"/>
      <sheetData sheetId="1">
        <row r="444">
          <cell r="E444" t="str">
            <v>Tukang kayu</v>
          </cell>
        </row>
        <row r="445">
          <cell r="E445" t="str">
            <v>Tukang las</v>
          </cell>
        </row>
        <row r="446">
          <cell r="E446" t="str">
            <v>Tukang</v>
          </cell>
        </row>
        <row r="447">
          <cell r="E447" t="str">
            <v>Tukang gali</v>
          </cell>
        </row>
        <row r="448">
          <cell r="E448" t="str">
            <v>Tukang batu</v>
          </cell>
        </row>
        <row r="449">
          <cell r="E449" t="str">
            <v>Tukang besi</v>
          </cell>
        </row>
        <row r="450">
          <cell r="E450" t="str">
            <v>Tukang cat</v>
          </cell>
        </row>
        <row r="451">
          <cell r="E451" t="str">
            <v>Tukang listrik</v>
          </cell>
        </row>
        <row r="452">
          <cell r="E452" t="str">
            <v>Kepala tukang</v>
          </cell>
        </row>
        <row r="453">
          <cell r="E453" t="str">
            <v>Mandor</v>
          </cell>
        </row>
        <row r="458">
          <cell r="F458" t="str">
            <v>M3</v>
          </cell>
        </row>
        <row r="459">
          <cell r="F459" t="str">
            <v>M2</v>
          </cell>
        </row>
        <row r="460">
          <cell r="F460" t="str">
            <v>M'</v>
          </cell>
        </row>
        <row r="461">
          <cell r="F461" t="str">
            <v>Bh</v>
          </cell>
        </row>
        <row r="462">
          <cell r="F462" t="str">
            <v>Btg</v>
          </cell>
        </row>
        <row r="463">
          <cell r="F463" t="str">
            <v>Roll</v>
          </cell>
        </row>
        <row r="464">
          <cell r="F464" t="str">
            <v>Kg</v>
          </cell>
        </row>
        <row r="465">
          <cell r="F465" t="str">
            <v>Gln</v>
          </cell>
        </row>
        <row r="466">
          <cell r="F466" t="str">
            <v>Zak</v>
          </cell>
        </row>
        <row r="467">
          <cell r="F467" t="str">
            <v>Btl</v>
          </cell>
        </row>
        <row r="468">
          <cell r="F468" t="str">
            <v>Klng</v>
          </cell>
        </row>
        <row r="469">
          <cell r="F469" t="str">
            <v>Ltr</v>
          </cell>
        </row>
        <row r="470">
          <cell r="F470" t="str">
            <v>Dos</v>
          </cell>
        </row>
        <row r="471">
          <cell r="F471" t="str">
            <v>Lbr</v>
          </cell>
        </row>
        <row r="472">
          <cell r="F472" t="str">
            <v>Set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a"/>
      <sheetName val="REKAP Tala"/>
      <sheetName val="TERBILANG"/>
      <sheetName val="dimensi saluran"/>
      <sheetName val="Mobilisasi"/>
      <sheetName val="HARGA"/>
      <sheetName val="AN.HARGA SATUAN"/>
      <sheetName val="AN. ALAT"/>
      <sheetName val="Sheet1"/>
      <sheetName val="APBD"/>
      <sheetName val="Sheet2"/>
      <sheetName val="time"/>
      <sheetName val="APBN"/>
      <sheetName val="BOBOT  ok"/>
      <sheetName val="RINCIAN ok"/>
      <sheetName val="mc (ok"/>
      <sheetName val="BOBOT (no"/>
      <sheetName val="RINCIAN no"/>
      <sheetName val="mc np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bilang"/>
      <sheetName val="Type 232"/>
      <sheetName val="Type 90"/>
      <sheetName val="Type 54"/>
      <sheetName val="Type 45"/>
      <sheetName val="SLTPN 3 Asrama TRU"/>
      <sheetName val="Upah &amp; Bahan"/>
      <sheetName val="Analisa-SMU &amp; SLTP"/>
      <sheetName val="Recap Anggaran"/>
    </sheetNames>
    <sheetDataSet>
      <sheetData sheetId="0"/>
      <sheetData sheetId="1">
        <row r="187">
          <cell r="X187">
            <v>292836000</v>
          </cell>
        </row>
      </sheetData>
      <sheetData sheetId="2">
        <row r="183">
          <cell r="X183">
            <v>160358000</v>
          </cell>
        </row>
      </sheetData>
      <sheetData sheetId="3">
        <row r="156">
          <cell r="X156">
            <v>83053000</v>
          </cell>
        </row>
      </sheetData>
      <sheetData sheetId="4">
        <row r="155">
          <cell r="X155">
            <v>72576000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kap"/>
      <sheetName val="RAB"/>
      <sheetName val="Rekap Masamba"/>
      <sheetName val="RAB Masamba"/>
      <sheetName val="Daftar Harga"/>
      <sheetName val="Analisa K"/>
      <sheetName val="Analisa E"/>
      <sheetName val="Analisa F"/>
      <sheetName val="Times (2)"/>
      <sheetName val="Harga Alat"/>
      <sheetName val="Huruf"/>
      <sheetName val="Dat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A"/>
      <sheetName val="Sheet3"/>
      <sheetName val="Sheet1"/>
      <sheetName val="RAB"/>
      <sheetName val="Mingguan"/>
      <sheetName val="Bulanan"/>
      <sheetName val="MC"/>
      <sheetName val="Recab MC"/>
      <sheetName val="Schedule"/>
      <sheetName val="Sampul &amp; BA CCO"/>
      <sheetName val="Sheet2"/>
    </sheetNames>
    <sheetDataSet>
      <sheetData sheetId="0"/>
      <sheetData sheetId="1"/>
      <sheetData sheetId="2">
        <row r="8">
          <cell r="H8" t="str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>
        <row r="48">
          <cell r="D48">
            <v>17059600</v>
          </cell>
          <cell r="E48">
            <v>138474107</v>
          </cell>
          <cell r="G48">
            <v>21456100</v>
          </cell>
          <cell r="M48">
            <v>13589726</v>
          </cell>
          <cell r="N48">
            <v>115937791</v>
          </cell>
          <cell r="O48">
            <v>9407500</v>
          </cell>
          <cell r="P48">
            <v>21315000</v>
          </cell>
          <cell r="Q48">
            <v>91894683</v>
          </cell>
          <cell r="S48">
            <v>29369600</v>
          </cell>
          <cell r="U48">
            <v>4358800</v>
          </cell>
          <cell r="V48">
            <v>300325</v>
          </cell>
          <cell r="W48">
            <v>12481164</v>
          </cell>
          <cell r="X48">
            <v>723790</v>
          </cell>
          <cell r="Y48">
            <v>2612985</v>
          </cell>
          <cell r="Z48">
            <v>4362940</v>
          </cell>
          <cell r="AB48">
            <v>45960</v>
          </cell>
          <cell r="AD48">
            <v>23283443.5</v>
          </cell>
          <cell r="AE48">
            <v>37344613.5</v>
          </cell>
          <cell r="AF48">
            <v>60628057</v>
          </cell>
          <cell r="AG48">
            <v>1</v>
          </cell>
        </row>
        <row r="49">
          <cell r="AP49">
            <v>6060207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MDES."/>
      <sheetName val="Sheet1"/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C42">
            <v>107502516</v>
          </cell>
          <cell r="E42">
            <v>13973280</v>
          </cell>
          <cell r="G42">
            <v>104109723</v>
          </cell>
          <cell r="H42">
            <v>549108</v>
          </cell>
          <cell r="I42">
            <v>34457712</v>
          </cell>
          <cell r="P42">
            <v>540000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>
        <row r="42">
          <cell r="K42">
            <v>73395700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MDES."/>
      <sheetName val="bumdes"/>
      <sheetName val="KEU"/>
      <sheetName val="PEMBIYAAN "/>
      <sheetName val="REN"/>
      <sheetName val="UMUM"/>
      <sheetName val="KESRA"/>
      <sheetName val="PEMER"/>
      <sheetName val="YAN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X4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gaDasar"/>
      <sheetName val="REKAP total"/>
      <sheetName val="Antek"/>
      <sheetName val="Analisa"/>
      <sheetName val="Analisa SNI"/>
      <sheetName val="Anmob"/>
      <sheetName val="Analisa LS"/>
      <sheetName val="Peralatan"/>
      <sheetName val="AN. SNI"/>
      <sheetName val="TERBILANG"/>
    </sheetNames>
    <sheetDataSet>
      <sheetData sheetId="0">
        <row r="17">
          <cell r="D17" t="str">
            <v>Pekerja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6">
          <cell r="BO26" t="str">
            <v xml:space="preserve"> Alat Baru</v>
          </cell>
        </row>
        <row r="27">
          <cell r="BO27">
            <v>1341125891</v>
          </cell>
        </row>
        <row r="46">
          <cell r="BO46" t="str">
            <v xml:space="preserve"> Alat Baru</v>
          </cell>
        </row>
        <row r="47">
          <cell r="BO47">
            <v>247812175</v>
          </cell>
        </row>
        <row r="66">
          <cell r="BO66" t="str">
            <v xml:space="preserve"> Alat Baru</v>
          </cell>
        </row>
        <row r="67">
          <cell r="BO67">
            <v>55862745</v>
          </cell>
        </row>
        <row r="86">
          <cell r="BO86" t="str">
            <v xml:space="preserve"> Alat Baru</v>
          </cell>
        </row>
        <row r="87">
          <cell r="BO87">
            <v>888028890</v>
          </cell>
        </row>
        <row r="106">
          <cell r="BO106" t="str">
            <v xml:space="preserve"> Alat Baru</v>
          </cell>
        </row>
        <row r="107">
          <cell r="BO107">
            <v>54602683</v>
          </cell>
        </row>
        <row r="126">
          <cell r="BO126" t="str">
            <v xml:space="preserve"> Alat Baru</v>
          </cell>
        </row>
        <row r="127">
          <cell r="BO127">
            <v>117605778</v>
          </cell>
        </row>
        <row r="146">
          <cell r="BO146" t="str">
            <v xml:space="preserve"> Alat Baru</v>
          </cell>
        </row>
        <row r="147">
          <cell r="BO147">
            <v>777038177</v>
          </cell>
        </row>
        <row r="166">
          <cell r="BO166" t="str">
            <v xml:space="preserve"> Alat Baru</v>
          </cell>
        </row>
        <row r="167">
          <cell r="BO167">
            <v>92404540</v>
          </cell>
        </row>
        <row r="246">
          <cell r="BO246" t="str">
            <v xml:space="preserve"> Alat Baru</v>
          </cell>
        </row>
        <row r="247">
          <cell r="BO247">
            <v>46006191</v>
          </cell>
        </row>
        <row r="266">
          <cell r="BO266" t="str">
            <v xml:space="preserve"> Alat Baru</v>
          </cell>
        </row>
        <row r="267">
          <cell r="BO267">
            <v>1224220842</v>
          </cell>
        </row>
        <row r="286">
          <cell r="BO286" t="str">
            <v xml:space="preserve"> Alat Baru</v>
          </cell>
        </row>
        <row r="287">
          <cell r="BO287">
            <v>504024763</v>
          </cell>
        </row>
        <row r="306">
          <cell r="BO306" t="str">
            <v xml:space="preserve"> Alat Baru</v>
          </cell>
        </row>
        <row r="307">
          <cell r="BO307">
            <v>1099019604</v>
          </cell>
        </row>
        <row r="326">
          <cell r="BO326" t="str">
            <v xml:space="preserve"> Alat Baru</v>
          </cell>
        </row>
        <row r="327">
          <cell r="BO327">
            <v>155407635</v>
          </cell>
        </row>
        <row r="346">
          <cell r="BO346" t="str">
            <v xml:space="preserve"> Alat Baru</v>
          </cell>
        </row>
        <row r="347">
          <cell r="BO347">
            <v>155407635</v>
          </cell>
        </row>
        <row r="366">
          <cell r="BO366" t="str">
            <v xml:space="preserve"> Alat Baru</v>
          </cell>
        </row>
        <row r="367">
          <cell r="BO367">
            <v>176408667</v>
          </cell>
        </row>
        <row r="386">
          <cell r="BO386" t="str">
            <v xml:space="preserve"> Alat Baru</v>
          </cell>
        </row>
        <row r="387">
          <cell r="BO387">
            <v>1297409699</v>
          </cell>
        </row>
        <row r="406">
          <cell r="BO406" t="str">
            <v xml:space="preserve"> Alat Baru</v>
          </cell>
        </row>
        <row r="407">
          <cell r="BO407">
            <v>35854386</v>
          </cell>
        </row>
        <row r="426">
          <cell r="BO426" t="str">
            <v xml:space="preserve"> Alat Baru</v>
          </cell>
        </row>
        <row r="427">
          <cell r="BO427">
            <v>1310989671</v>
          </cell>
        </row>
        <row r="446">
          <cell r="BO446" t="str">
            <v xml:space="preserve"> Alat Baru</v>
          </cell>
        </row>
        <row r="447">
          <cell r="BO447">
            <v>20450464</v>
          </cell>
        </row>
        <row r="466">
          <cell r="BO466" t="str">
            <v xml:space="preserve"> Alat Baru</v>
          </cell>
        </row>
        <row r="467">
          <cell r="BO467">
            <v>105005159</v>
          </cell>
        </row>
        <row r="486">
          <cell r="BO486" t="str">
            <v xml:space="preserve"> Alat Baru</v>
          </cell>
        </row>
        <row r="487">
          <cell r="BO487">
            <v>71403508</v>
          </cell>
        </row>
        <row r="546">
          <cell r="BO546" t="str">
            <v xml:space="preserve"> Alat Baru</v>
          </cell>
        </row>
        <row r="547">
          <cell r="BO547">
            <v>46000000</v>
          </cell>
        </row>
        <row r="566">
          <cell r="BO566" t="str">
            <v xml:space="preserve"> Alat Baru</v>
          </cell>
        </row>
        <row r="567">
          <cell r="BO567">
            <v>112500000</v>
          </cell>
        </row>
        <row r="586">
          <cell r="BO586" t="str">
            <v xml:space="preserve"> Alat Baru</v>
          </cell>
        </row>
        <row r="587">
          <cell r="BO587">
            <v>166250000</v>
          </cell>
        </row>
        <row r="606">
          <cell r="BO606" t="str">
            <v xml:space="preserve"> Alat Baru</v>
          </cell>
        </row>
        <row r="607">
          <cell r="BO607">
            <v>70000000</v>
          </cell>
        </row>
        <row r="626">
          <cell r="BO626" t="str">
            <v xml:space="preserve"> Alat Baru</v>
          </cell>
        </row>
        <row r="627">
          <cell r="BO627">
            <v>350000000</v>
          </cell>
        </row>
        <row r="646">
          <cell r="BO646" t="str">
            <v xml:space="preserve"> Alat Baru</v>
          </cell>
        </row>
        <row r="647">
          <cell r="BO647">
            <v>17500000</v>
          </cell>
        </row>
        <row r="666">
          <cell r="BO666" t="str">
            <v xml:space="preserve"> Alat Baru</v>
          </cell>
        </row>
        <row r="667">
          <cell r="BO667">
            <v>2250000000</v>
          </cell>
        </row>
        <row r="697">
          <cell r="BO697" t="str">
            <v xml:space="preserve"> Alat Baru</v>
          </cell>
        </row>
        <row r="698">
          <cell r="BO698">
            <v>15000000</v>
          </cell>
        </row>
      </sheetData>
      <sheetData sheetId="8"/>
      <sheetData sheetId="9">
        <row r="8">
          <cell r="I8" t="str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ilisasi (2)"/>
      <sheetName val="Div2"/>
      <sheetName val="Div3"/>
      <sheetName val="Div4"/>
      <sheetName val="Div5"/>
      <sheetName val="Div6"/>
      <sheetName val="Div7"/>
      <sheetName val="Div8"/>
      <sheetName val="Div9"/>
      <sheetName val="Sheet3"/>
      <sheetName val="Sheet2"/>
      <sheetName val="Sheet1"/>
    </sheetNames>
    <sheetDataSet>
      <sheetData sheetId="0" refreshError="1"/>
      <sheetData sheetId="1">
        <row r="13">
          <cell r="G13" t="str">
            <v>Tk</v>
          </cell>
          <cell r="H13">
            <v>7</v>
          </cell>
          <cell r="I13" t="str">
            <v>jam</v>
          </cell>
        </row>
        <row r="14">
          <cell r="G14" t="str">
            <v>Fk</v>
          </cell>
          <cell r="H14">
            <v>1.2</v>
          </cell>
          <cell r="I14" t="str">
            <v>-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_Suramadu"/>
    </sheetNames>
    <sheetDataSet>
      <sheetData sheetId="0"/>
      <sheetData sheetId="1">
        <row r="72">
          <cell r="H72">
            <v>0</v>
          </cell>
        </row>
        <row r="74">
          <cell r="H74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N_BIA"/>
      <sheetName val="HRG-SAT"/>
      <sheetName val="BRK-DWN"/>
      <sheetName val="VENDOR"/>
      <sheetName val="REKAP"/>
      <sheetName val="BQ"/>
      <sheetName val="JAD-PEL"/>
      <sheetName val="JDW-ALAT"/>
      <sheetName val="JAD-ALAT"/>
      <sheetName val="PP"/>
      <sheetName val="RUPA2"/>
      <sheetName val="BU"/>
      <sheetName val="Bi-BANK"/>
      <sheetName val="TOT-TUA"/>
      <sheetName val="PRLTN"/>
      <sheetName val="PRLTN (2)"/>
      <sheetName val="REK-MAT"/>
      <sheetName val="R_PRLT"/>
      <sheetName val="UPAH"/>
      <sheetName val="MTRL"/>
      <sheetName val="Sheet10 (5)"/>
      <sheetName val="Sheet5"/>
      <sheetName val="Sheet10"/>
      <sheetName val="SUBKON"/>
      <sheetName val="SKAT"/>
      <sheetName val="SURAT"/>
      <sheetName val="COVER"/>
      <sheetName val="RBP"/>
      <sheetName val="DISBIA"/>
      <sheetName val="AKP"/>
      <sheetName val="BBM"/>
      <sheetName val="Sheet2"/>
      <sheetName val="RBP_1"/>
      <sheetName val="RBP-SKON"/>
      <sheetName val="R_BOS"/>
      <sheetName val="R_UPH"/>
      <sheetName val="RBP-MAT"/>
      <sheetName val="R_BANK"/>
      <sheetName val="UP_GAJ"/>
      <sheetName val="R_BU"/>
      <sheetName val="R_RUPA"/>
      <sheetName val="R_PP"/>
      <sheetName val="FINAL"/>
      <sheetName val="BOQ"/>
      <sheetName val="SATUAN"/>
      <sheetName val="PRICE"/>
      <sheetName val="SCHEDUL"/>
      <sheetName val="Sheet3"/>
      <sheetName val="ANALISA"/>
      <sheetName val="ANALTEK"/>
      <sheetName val="TENAGA"/>
      <sheetName val="ALAT"/>
      <sheetName val="Skn"/>
      <sheetName val="minat"/>
      <sheetName val="astek"/>
      <sheetName val="Sheet1"/>
      <sheetName val="B.UMUM"/>
      <sheetName val="METHOD"/>
      <sheetName val="SUMMARY"/>
      <sheetName val="S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I13">
            <v>2.4589925145147018E-2</v>
          </cell>
        </row>
        <row r="173">
          <cell r="L173">
            <v>4.9179850290294036E-3</v>
          </cell>
          <cell r="M173">
            <v>5.7411311949826039E-3</v>
          </cell>
          <cell r="N173">
            <v>2.8384926796663348E-2</v>
          </cell>
          <cell r="O173">
            <v>2.9200370446442917E-2</v>
          </cell>
          <cell r="P173">
            <v>2.5494372383795774E-2</v>
          </cell>
          <cell r="Q173">
            <v>2.470929387897634E-2</v>
          </cell>
          <cell r="R173">
            <v>2.3488946540523491E-2</v>
          </cell>
          <cell r="S173">
            <v>3.9365852441924226E-2</v>
          </cell>
          <cell r="T173">
            <v>6.9974118106029382E-2</v>
          </cell>
          <cell r="U173">
            <v>3.6666177848223971E-2</v>
          </cell>
          <cell r="V173">
            <v>3.6666177848223971E-2</v>
          </cell>
          <cell r="W173">
            <v>2.0858433838299179E-2</v>
          </cell>
          <cell r="X173">
            <v>1.977470177465631E-2</v>
          </cell>
          <cell r="Y173">
            <v>1.8637102499625902E-2</v>
          </cell>
          <cell r="Z173">
            <v>2.3250826215158536E-2</v>
          </cell>
          <cell r="AA173">
            <v>2.1113408975701929E-2</v>
          </cell>
          <cell r="AB173">
            <v>2.6887122684837676E-2</v>
          </cell>
          <cell r="AC173">
            <v>2.4023502153326659E-2</v>
          </cell>
          <cell r="AD173">
            <v>2.4023502153326659E-2</v>
          </cell>
          <cell r="AE173">
            <v>2.4023502153326659E-2</v>
          </cell>
          <cell r="AF173">
            <v>2.0783726947227441E-2</v>
          </cell>
          <cell r="AG173">
            <v>1.7316022457526673E-2</v>
          </cell>
          <cell r="AH173">
            <v>1.7718633307650392E-2</v>
          </cell>
          <cell r="AI173">
            <v>1.7748945258585447E-2</v>
          </cell>
          <cell r="AJ173">
            <v>3.2489658501443711E-2</v>
          </cell>
          <cell r="AK173">
            <v>3.3077205235768056E-2</v>
          </cell>
          <cell r="AL173">
            <v>1.8484295833252336E-2</v>
          </cell>
          <cell r="AM173">
            <v>1.8203774981137576E-2</v>
          </cell>
          <cell r="AN173">
            <v>1.4396042731947545E-2</v>
          </cell>
          <cell r="AO173">
            <v>1.3365178273081115E-2</v>
          </cell>
          <cell r="AP173">
            <v>2.1110206770087663E-2</v>
          </cell>
          <cell r="AQ173">
            <v>1.5254929680577225E-2</v>
          </cell>
          <cell r="AR173">
            <v>1.9851042945885165E-2</v>
          </cell>
          <cell r="AS173">
            <v>1.729737557747826E-2</v>
          </cell>
          <cell r="AT173">
            <v>1.7998748401930893E-2</v>
          </cell>
          <cell r="AU173">
            <v>1.7216509721764476E-2</v>
          </cell>
          <cell r="AV173">
            <v>2.2766138798371003E-2</v>
          </cell>
          <cell r="AW173">
            <v>1.627283123038235E-2</v>
          </cell>
          <cell r="AX173">
            <v>1.7655953886211238E-2</v>
          </cell>
          <cell r="AY173">
            <v>1.3365178273081115E-2</v>
          </cell>
          <cell r="AZ173">
            <v>1.3365178273081115E-2</v>
          </cell>
          <cell r="BA173">
            <v>1.3365178273081115E-2</v>
          </cell>
          <cell r="BB173">
            <v>1.3365178273081115E-2</v>
          </cell>
          <cell r="BC173">
            <v>1.4765646235997633E-2</v>
          </cell>
          <cell r="BD173">
            <v>1.4634835885890773E-2</v>
          </cell>
          <cell r="BE173">
            <v>1.5092723864729511E-2</v>
          </cell>
          <cell r="BF173">
            <v>5.8534888585294034E-3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PEN"/>
      <sheetName val="Rekap Biaya"/>
      <sheetName val="RAB"/>
      <sheetName val="Sheet3"/>
      <sheetName val="Perhit Volume"/>
      <sheetName val="Pekerjaan Utama"/>
      <sheetName val="Sheet2"/>
      <sheetName val="REKAP-0"/>
      <sheetName val="RAB-0"/>
      <sheetName val="Ringkasan"/>
      <sheetName val="%"/>
    </sheetNames>
    <sheetDataSet>
      <sheetData sheetId="0" refreshError="1"/>
      <sheetData sheetId="1" refreshError="1"/>
      <sheetData sheetId="2" refreshError="1">
        <row r="29">
          <cell r="J29">
            <v>10500000</v>
          </cell>
        </row>
        <row r="85">
          <cell r="J85">
            <v>155513337.43441498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A4E7-9EBA-4CB2-AE04-19DEF06F8299}">
  <dimension ref="A1:F11"/>
  <sheetViews>
    <sheetView zoomScale="95" zoomScaleNormal="95" workbookViewId="0">
      <selection activeCell="D15" sqref="D15"/>
    </sheetView>
  </sheetViews>
  <sheetFormatPr defaultRowHeight="12.75" x14ac:dyDescent="0.2"/>
  <cols>
    <col min="1" max="1" width="9.33203125" style="1"/>
    <col min="2" max="2" width="34.5" customWidth="1"/>
    <col min="3" max="4" width="9.33203125" style="4"/>
    <col min="5" max="6" width="29.83203125" style="482" customWidth="1"/>
  </cols>
  <sheetData>
    <row r="1" spans="1:6" s="1287" customFormat="1" ht="20.25" x14ac:dyDescent="0.2">
      <c r="A1" s="1288"/>
      <c r="C1" s="1292"/>
      <c r="D1" s="1292"/>
      <c r="E1" s="1293"/>
      <c r="F1" s="1293"/>
    </row>
    <row r="2" spans="1:6" s="1287" customFormat="1" ht="20.25" x14ac:dyDescent="0.2">
      <c r="A2" s="1288"/>
      <c r="C2" s="1292"/>
      <c r="D2" s="1292"/>
      <c r="E2" s="1293">
        <v>25000</v>
      </c>
      <c r="F2" s="1293"/>
    </row>
    <row r="3" spans="1:6" s="1291" customFormat="1" ht="20.25" x14ac:dyDescent="0.2">
      <c r="A3" s="1289">
        <v>1</v>
      </c>
      <c r="B3" s="1290" t="s">
        <v>700</v>
      </c>
      <c r="C3" s="1289">
        <v>33</v>
      </c>
      <c r="D3" s="1289">
        <v>56</v>
      </c>
      <c r="E3" s="1294">
        <f>E2-E2*12%</f>
        <v>22000</v>
      </c>
      <c r="F3" s="1294">
        <f>SUM(D3*C3*E3)</f>
        <v>40656000</v>
      </c>
    </row>
    <row r="4" spans="1:6" s="1291" customFormat="1" ht="20.25" x14ac:dyDescent="0.2">
      <c r="A4" s="1289">
        <v>2</v>
      </c>
      <c r="B4" s="1290" t="s">
        <v>701</v>
      </c>
      <c r="C4" s="1289">
        <v>8</v>
      </c>
      <c r="D4" s="1289">
        <v>14</v>
      </c>
      <c r="E4" s="1294">
        <f>E3</f>
        <v>22000</v>
      </c>
      <c r="F4" s="1294">
        <f t="shared" ref="F4:F8" si="0">SUM(D4*C4*E4)</f>
        <v>2464000</v>
      </c>
    </row>
    <row r="5" spans="1:6" s="1291" customFormat="1" ht="20.25" x14ac:dyDescent="0.2">
      <c r="A5" s="1289">
        <v>3</v>
      </c>
      <c r="B5" s="1290" t="s">
        <v>702</v>
      </c>
      <c r="C5" s="1289">
        <v>28</v>
      </c>
      <c r="D5" s="1289">
        <v>14</v>
      </c>
      <c r="E5" s="1294">
        <f t="shared" ref="E5:E7" si="1">E4</f>
        <v>22000</v>
      </c>
      <c r="F5" s="1294">
        <f t="shared" si="0"/>
        <v>8624000</v>
      </c>
    </row>
    <row r="6" spans="1:6" s="1291" customFormat="1" ht="20.25" x14ac:dyDescent="0.2">
      <c r="A6" s="1289">
        <v>4</v>
      </c>
      <c r="B6" s="1290" t="s">
        <v>703</v>
      </c>
      <c r="C6" s="1289">
        <v>6</v>
      </c>
      <c r="D6" s="1289">
        <v>14</v>
      </c>
      <c r="E6" s="1294">
        <f t="shared" si="1"/>
        <v>22000</v>
      </c>
      <c r="F6" s="1294">
        <f t="shared" si="0"/>
        <v>1848000</v>
      </c>
    </row>
    <row r="7" spans="1:6" s="1291" customFormat="1" ht="20.25" x14ac:dyDescent="0.2">
      <c r="A7" s="1289">
        <v>5</v>
      </c>
      <c r="B7" s="1290" t="s">
        <v>704</v>
      </c>
      <c r="C7" s="1289">
        <v>2</v>
      </c>
      <c r="D7" s="1289">
        <v>56</v>
      </c>
      <c r="E7" s="1294">
        <f t="shared" si="1"/>
        <v>22000</v>
      </c>
      <c r="F7" s="1294">
        <f t="shared" si="0"/>
        <v>2464000</v>
      </c>
    </row>
    <row r="8" spans="1:6" s="1291" customFormat="1" ht="20.25" x14ac:dyDescent="0.2">
      <c r="A8" s="1289">
        <v>6</v>
      </c>
      <c r="B8" s="1290" t="s">
        <v>705</v>
      </c>
      <c r="C8" s="1289">
        <v>5</v>
      </c>
      <c r="D8" s="1289">
        <v>56</v>
      </c>
      <c r="E8" s="1294">
        <v>20000</v>
      </c>
      <c r="F8" s="1294">
        <f t="shared" si="0"/>
        <v>5600000</v>
      </c>
    </row>
    <row r="9" spans="1:6" s="1296" customFormat="1" ht="20.25" x14ac:dyDescent="0.2">
      <c r="A9" s="1695" t="s">
        <v>13</v>
      </c>
      <c r="B9" s="1696"/>
      <c r="C9" s="1696"/>
      <c r="D9" s="1696"/>
      <c r="E9" s="1697"/>
      <c r="F9" s="1295">
        <f>SUM(F3:F8)</f>
        <v>61656000</v>
      </c>
    </row>
    <row r="10" spans="1:6" s="1287" customFormat="1" ht="20.25" x14ac:dyDescent="0.2">
      <c r="A10" s="1288"/>
      <c r="C10" s="1292">
        <f>C3+C4+C5+C6+C7</f>
        <v>77</v>
      </c>
      <c r="D10" s="1292"/>
      <c r="E10" s="1293"/>
      <c r="F10" s="1293"/>
    </row>
    <row r="11" spans="1:6" x14ac:dyDescent="0.2">
      <c r="C11" s="4">
        <f>C1</f>
        <v>0</v>
      </c>
    </row>
  </sheetData>
  <mergeCells count="1">
    <mergeCell ref="A9:E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8B82-6C66-47C1-AB14-C4852B762E7D}">
  <sheetPr>
    <tabColor rgb="FFFF0000"/>
  </sheetPr>
  <dimension ref="A1:AT80"/>
  <sheetViews>
    <sheetView tabSelected="1" topLeftCell="AA7" zoomScale="90" zoomScaleNormal="90" workbookViewId="0">
      <pane ySplit="1215" topLeftCell="A8" activePane="bottomLeft"/>
      <selection activeCell="H7" sqref="H7"/>
      <selection pane="bottomLeft" activeCell="AI15" sqref="AI15"/>
    </sheetView>
  </sheetViews>
  <sheetFormatPr defaultColWidth="9.33203125" defaultRowHeight="15.75" x14ac:dyDescent="0.2"/>
  <cols>
    <col min="1" max="1" width="6.33203125" style="130" customWidth="1"/>
    <col min="2" max="2" width="29.6640625" style="125" customWidth="1"/>
    <col min="3" max="11" width="21.83203125" style="125" customWidth="1"/>
    <col min="12" max="12" width="21.83203125" style="532" customWidth="1"/>
    <col min="13" max="21" width="21.83203125" style="125" customWidth="1"/>
    <col min="22" max="22" width="25.6640625" style="532" customWidth="1"/>
    <col min="23" max="31" width="21.83203125" style="125" customWidth="1"/>
    <col min="32" max="32" width="25.6640625" style="534" customWidth="1"/>
    <col min="33" max="34" width="23.83203125" style="125" customWidth="1"/>
    <col min="35" max="35" width="23.83203125" style="532" customWidth="1"/>
    <col min="36" max="36" width="12.6640625" style="530" customWidth="1"/>
    <col min="37" max="46" width="17.5" style="531" customWidth="1"/>
    <col min="47" max="48" width="9.33203125" style="125"/>
    <col min="49" max="49" width="12" style="125" bestFit="1" customWidth="1"/>
    <col min="50" max="16384" width="9.33203125" style="125"/>
  </cols>
  <sheetData>
    <row r="1" spans="1:46" ht="20.25" x14ac:dyDescent="0.2">
      <c r="A1" s="1821" t="s">
        <v>287</v>
      </c>
      <c r="B1" s="1821"/>
      <c r="C1" s="1821"/>
      <c r="D1" s="1821"/>
      <c r="E1" s="1821"/>
      <c r="F1" s="1821"/>
      <c r="G1" s="1821"/>
      <c r="H1" s="1821"/>
      <c r="I1" s="1821"/>
      <c r="J1" s="1821"/>
      <c r="K1" s="1821"/>
      <c r="L1" s="1821"/>
      <c r="M1" s="1821"/>
      <c r="N1" s="1821"/>
      <c r="O1" s="1821"/>
      <c r="P1" s="1821"/>
      <c r="Q1" s="1821"/>
      <c r="R1" s="1821"/>
      <c r="S1" s="1821"/>
      <c r="T1" s="1821"/>
      <c r="U1" s="1821"/>
      <c r="V1" s="1821"/>
      <c r="W1" s="1821"/>
      <c r="X1" s="1821"/>
      <c r="Y1" s="1821"/>
      <c r="Z1" s="1821"/>
      <c r="AA1" s="1821"/>
      <c r="AB1" s="1821"/>
      <c r="AC1" s="1821"/>
      <c r="AD1" s="1821"/>
      <c r="AE1" s="1821"/>
      <c r="AF1" s="1821"/>
      <c r="AG1" s="1821"/>
      <c r="AH1" s="1821"/>
      <c r="AI1" s="1821"/>
    </row>
    <row r="2" spans="1:46" x14ac:dyDescent="0.2">
      <c r="V2" s="538" t="e">
        <f>SUM(#REF!)</f>
        <v>#REF!</v>
      </c>
      <c r="W2" s="533"/>
      <c r="X2" s="533"/>
      <c r="Y2" s="533"/>
      <c r="Z2" s="533"/>
      <c r="AK2" s="535"/>
    </row>
    <row r="3" spans="1:46" ht="27" customHeight="1" x14ac:dyDescent="0.2">
      <c r="W3" s="540"/>
      <c r="X3" s="540"/>
      <c r="Y3" s="540"/>
      <c r="Z3" s="540"/>
      <c r="AA3" s="540"/>
      <c r="AB3" s="540"/>
      <c r="AC3" s="540"/>
      <c r="AD3" s="540"/>
      <c r="AE3" s="540"/>
      <c r="AF3" s="539"/>
    </row>
    <row r="4" spans="1:46" s="1555" customFormat="1" ht="21.75" customHeight="1" x14ac:dyDescent="0.2">
      <c r="A4" s="1554"/>
      <c r="AE4" s="1555" t="s">
        <v>732</v>
      </c>
      <c r="AF4" s="1555">
        <f>SUM(AF8+V8)</f>
        <v>2165065510.75</v>
      </c>
      <c r="AG4" s="1555" t="s">
        <v>736</v>
      </c>
      <c r="AJ4" s="1554"/>
      <c r="AK4" s="1554"/>
      <c r="AL4" s="1554"/>
      <c r="AM4" s="1554"/>
      <c r="AN4" s="1554"/>
      <c r="AO4" s="1554"/>
      <c r="AP4" s="1554"/>
      <c r="AQ4" s="1554"/>
      <c r="AR4" s="1554"/>
      <c r="AS4" s="1554"/>
      <c r="AT4" s="1554"/>
    </row>
    <row r="5" spans="1:46" s="1558" customFormat="1" ht="21.75" customHeight="1" x14ac:dyDescent="0.2">
      <c r="A5" s="1557"/>
      <c r="B5" s="1558" t="s">
        <v>88</v>
      </c>
      <c r="L5" s="1559"/>
      <c r="V5" s="1555"/>
      <c r="X5" s="1560"/>
      <c r="Y5" s="1560"/>
      <c r="Z5" s="1560"/>
      <c r="AE5" s="1559" t="s">
        <v>733</v>
      </c>
      <c r="AF5" s="1555">
        <f>SUM(AF9+V9)</f>
        <v>380335964</v>
      </c>
      <c r="AG5" s="1555" t="s">
        <v>736</v>
      </c>
      <c r="AI5" s="1559"/>
      <c r="AJ5" s="1556"/>
      <c r="AK5" s="1561"/>
      <c r="AL5" s="1561"/>
      <c r="AM5" s="1561"/>
      <c r="AN5" s="1561"/>
      <c r="AO5" s="1561"/>
      <c r="AP5" s="1561"/>
      <c r="AQ5" s="1561"/>
      <c r="AR5" s="1561"/>
      <c r="AS5" s="1561"/>
      <c r="AT5" s="1561"/>
    </row>
    <row r="6" spans="1:46" s="537" customFormat="1" ht="30" customHeight="1" x14ac:dyDescent="0.2">
      <c r="A6" s="1822" t="s">
        <v>10</v>
      </c>
      <c r="B6" s="1822" t="s">
        <v>11</v>
      </c>
      <c r="C6" s="1824" t="s">
        <v>256</v>
      </c>
      <c r="D6" s="1825"/>
      <c r="E6" s="1825"/>
      <c r="F6" s="1826"/>
      <c r="G6" s="1826"/>
      <c r="H6" s="1826"/>
      <c r="I6" s="1826"/>
      <c r="J6" s="1826"/>
      <c r="K6" s="1826"/>
      <c r="L6" s="1827"/>
      <c r="M6" s="1828" t="s">
        <v>258</v>
      </c>
      <c r="N6" s="1829"/>
      <c r="O6" s="1829"/>
      <c r="P6" s="1829"/>
      <c r="Q6" s="1829"/>
      <c r="R6" s="1829"/>
      <c r="S6" s="1829"/>
      <c r="T6" s="1829"/>
      <c r="U6" s="1829"/>
      <c r="V6" s="1830"/>
      <c r="W6" s="1831" t="s">
        <v>41</v>
      </c>
      <c r="X6" s="1832"/>
      <c r="Y6" s="1832"/>
      <c r="Z6" s="1832"/>
      <c r="AA6" s="1832"/>
      <c r="AB6" s="1832"/>
      <c r="AC6" s="1832"/>
      <c r="AD6" s="1832"/>
      <c r="AE6" s="1832"/>
      <c r="AF6" s="1833"/>
      <c r="AG6" s="1818" t="s">
        <v>40</v>
      </c>
      <c r="AH6" s="1819"/>
      <c r="AI6" s="1820"/>
      <c r="AJ6" s="536" t="s">
        <v>285</v>
      </c>
      <c r="AK6" s="382"/>
      <c r="AL6" s="382"/>
      <c r="AM6" s="382"/>
      <c r="AN6" s="382"/>
      <c r="AO6" s="382"/>
      <c r="AP6" s="382"/>
      <c r="AQ6" s="382"/>
      <c r="AR6" s="382"/>
      <c r="AS6" s="382"/>
      <c r="AT6" s="964" t="s">
        <v>286</v>
      </c>
    </row>
    <row r="7" spans="1:46" s="546" customFormat="1" ht="54" customHeight="1" x14ac:dyDescent="0.2">
      <c r="A7" s="1823"/>
      <c r="B7" s="1823"/>
      <c r="C7" s="541" t="s">
        <v>25</v>
      </c>
      <c r="D7" s="541" t="s">
        <v>24</v>
      </c>
      <c r="E7" s="541" t="s">
        <v>288</v>
      </c>
      <c r="F7" s="541" t="s">
        <v>289</v>
      </c>
      <c r="G7" s="541" t="s">
        <v>290</v>
      </c>
      <c r="H7" s="541" t="s">
        <v>291</v>
      </c>
      <c r="I7" s="541" t="s">
        <v>55</v>
      </c>
      <c r="J7" s="541" t="s">
        <v>648</v>
      </c>
      <c r="K7" s="541" t="s">
        <v>292</v>
      </c>
      <c r="L7" s="541" t="s">
        <v>21</v>
      </c>
      <c r="M7" s="541" t="s">
        <v>25</v>
      </c>
      <c r="N7" s="541" t="s">
        <v>24</v>
      </c>
      <c r="O7" s="541" t="s">
        <v>288</v>
      </c>
      <c r="P7" s="541" t="s">
        <v>289</v>
      </c>
      <c r="Q7" s="541" t="s">
        <v>290</v>
      </c>
      <c r="R7" s="541" t="s">
        <v>291</v>
      </c>
      <c r="S7" s="541" t="s">
        <v>55</v>
      </c>
      <c r="T7" s="541" t="s">
        <v>648</v>
      </c>
      <c r="U7" s="541" t="s">
        <v>292</v>
      </c>
      <c r="V7" s="541" t="s">
        <v>21</v>
      </c>
      <c r="W7" s="541" t="s">
        <v>25</v>
      </c>
      <c r="X7" s="541" t="s">
        <v>24</v>
      </c>
      <c r="Y7" s="541" t="s">
        <v>288</v>
      </c>
      <c r="Z7" s="541" t="s">
        <v>289</v>
      </c>
      <c r="AA7" s="541" t="s">
        <v>290</v>
      </c>
      <c r="AB7" s="541" t="s">
        <v>291</v>
      </c>
      <c r="AC7" s="541" t="s">
        <v>55</v>
      </c>
      <c r="AD7" s="541" t="s">
        <v>648</v>
      </c>
      <c r="AE7" s="541" t="s">
        <v>292</v>
      </c>
      <c r="AF7" s="547" t="s">
        <v>21</v>
      </c>
      <c r="AG7" s="542" t="s">
        <v>26</v>
      </c>
      <c r="AH7" s="542" t="s">
        <v>52</v>
      </c>
      <c r="AI7" s="543" t="s">
        <v>296</v>
      </c>
      <c r="AJ7" s="544"/>
      <c r="AK7" s="545" t="s">
        <v>25</v>
      </c>
      <c r="AL7" s="545" t="s">
        <v>24</v>
      </c>
      <c r="AM7" s="545" t="s">
        <v>288</v>
      </c>
      <c r="AN7" s="545" t="s">
        <v>289</v>
      </c>
      <c r="AO7" s="545" t="s">
        <v>54</v>
      </c>
      <c r="AP7" s="545" t="s">
        <v>293</v>
      </c>
      <c r="AQ7" s="545" t="s">
        <v>55</v>
      </c>
      <c r="AR7" s="545" t="s">
        <v>648</v>
      </c>
      <c r="AS7" s="545" t="s">
        <v>292</v>
      </c>
      <c r="AT7" s="548" t="s">
        <v>21</v>
      </c>
    </row>
    <row r="8" spans="1:46" s="948" customFormat="1" ht="35.25" customHeight="1" x14ac:dyDescent="0.2">
      <c r="A8" s="965">
        <v>1</v>
      </c>
      <c r="B8" s="963" t="s">
        <v>294</v>
      </c>
      <c r="C8" s="944">
        <f>SUM(REKAP!C107)</f>
        <v>1178455900</v>
      </c>
      <c r="D8" s="944">
        <f>SUM(REKAP!D107)</f>
        <v>1247012000</v>
      </c>
      <c r="E8" s="944"/>
      <c r="F8" s="944"/>
      <c r="G8" s="944">
        <f>SUM(REKAP!E107)</f>
        <v>76159700</v>
      </c>
      <c r="H8" s="944"/>
      <c r="I8" s="944"/>
      <c r="J8" s="944"/>
      <c r="K8" s="944">
        <f>SUM(REKAP!F64)</f>
        <v>5916736</v>
      </c>
      <c r="L8" s="945">
        <f>SUM(C8:K8)</f>
        <v>2507544336</v>
      </c>
      <c r="M8" s="944">
        <f>SUM(REKAP!H107)</f>
        <v>1001035628</v>
      </c>
      <c r="N8" s="944">
        <f>SUM(REKAP!I107)</f>
        <v>1068030945</v>
      </c>
      <c r="O8" s="944"/>
      <c r="P8" s="944"/>
      <c r="Q8" s="944">
        <f>SUM(REKAP!J107)</f>
        <v>35095125</v>
      </c>
      <c r="R8" s="944"/>
      <c r="S8" s="944"/>
      <c r="T8" s="944"/>
      <c r="U8" s="944">
        <f>SUM(REKAP!K64)</f>
        <v>4280000</v>
      </c>
      <c r="V8" s="945">
        <f>SUM(M8:U8)</f>
        <v>2108441698</v>
      </c>
      <c r="W8" s="944">
        <f>SUM(REKAP!M107)</f>
        <v>21336577</v>
      </c>
      <c r="X8" s="944">
        <f>SUM(REKAP!N107)</f>
        <v>33025735.75</v>
      </c>
      <c r="Y8" s="944"/>
      <c r="Z8" s="944"/>
      <c r="AA8" s="944">
        <f>SUM(REKAP!O107)</f>
        <v>2167200.0000000005</v>
      </c>
      <c r="AB8" s="944"/>
      <c r="AC8" s="944"/>
      <c r="AD8" s="944"/>
      <c r="AE8" s="944">
        <f>SUM(REKAP!P107)</f>
        <v>94300</v>
      </c>
      <c r="AF8" s="945">
        <f>SUM(W8:AE8)</f>
        <v>56623812.75</v>
      </c>
      <c r="AG8" s="944">
        <f>SUM(REKAP!R107)</f>
        <v>62260566</v>
      </c>
      <c r="AH8" s="944">
        <f>SUM(REKAP!S107)</f>
        <v>276836384</v>
      </c>
      <c r="AI8" s="944">
        <f>SUM(REKAP!T107)</f>
        <v>339096950</v>
      </c>
      <c r="AJ8" s="946">
        <f>SUM(REKAP!U107)</f>
        <v>0.96293596446843199</v>
      </c>
      <c r="AK8" s="946">
        <f>SUM(W8+M8)/C8</f>
        <v>0.86755236661804658</v>
      </c>
      <c r="AL8" s="946">
        <f t="shared" ref="AL8:AS9" si="0">SUM(X8+N8)/D8</f>
        <v>0.88295596253283848</v>
      </c>
      <c r="AM8" s="946"/>
      <c r="AN8" s="946"/>
      <c r="AO8" s="946">
        <f t="shared" si="0"/>
        <v>0.48926564836783759</v>
      </c>
      <c r="AP8" s="946"/>
      <c r="AQ8" s="946"/>
      <c r="AR8" s="946"/>
      <c r="AS8" s="946">
        <f t="shared" si="0"/>
        <v>0.73930964639963659</v>
      </c>
      <c r="AT8" s="947">
        <f>SUM(AK8:AS8)/4</f>
        <v>0.74477090597958984</v>
      </c>
    </row>
    <row r="9" spans="1:46" s="948" customFormat="1" ht="35.25" customHeight="1" x14ac:dyDescent="0.2">
      <c r="A9" s="962">
        <v>2</v>
      </c>
      <c r="B9" s="963" t="s">
        <v>295</v>
      </c>
      <c r="C9" s="949">
        <f>SUM([43]REKAP!$D$48)</f>
        <v>17059600</v>
      </c>
      <c r="D9" s="949"/>
      <c r="E9" s="949">
        <f>SUM([44]REKAP!$C$42)</f>
        <v>107502516</v>
      </c>
      <c r="F9" s="949">
        <f>SUM([43]REKAP!$E$48)</f>
        <v>138474107</v>
      </c>
      <c r="G9" s="949">
        <f>SUM([43]REKAP!$G$48)</f>
        <v>21456100</v>
      </c>
      <c r="H9" s="949">
        <f>SUM([44]REKAP!$E$42)</f>
        <v>13973280</v>
      </c>
      <c r="I9" s="949">
        <f>SUM([44]REKAP!$G$42)</f>
        <v>104109723</v>
      </c>
      <c r="J9" s="949">
        <f>SUM([44]REKAP!$H$42)</f>
        <v>549108</v>
      </c>
      <c r="K9" s="949">
        <f>SUM([44]REKAP!$I$42)</f>
        <v>34457712</v>
      </c>
      <c r="L9" s="945">
        <f>SUM(C9:K9)</f>
        <v>437582146</v>
      </c>
      <c r="M9" s="949">
        <f>SUM([43]REKAP!$M$48)</f>
        <v>13589726</v>
      </c>
      <c r="N9" s="949"/>
      <c r="O9" s="949">
        <f>SUM([45]REKAP!$K$42)</f>
        <v>73395700</v>
      </c>
      <c r="P9" s="949">
        <f>SUM([43]REKAP!$N$48)</f>
        <v>115937791</v>
      </c>
      <c r="Q9" s="949">
        <f>SUM([43]REKAP!$P$48)</f>
        <v>21315000</v>
      </c>
      <c r="R9" s="949">
        <f>SUM([43]REKAP!$O$48)</f>
        <v>9407500</v>
      </c>
      <c r="S9" s="949">
        <f>SUM([43]REKAP!$Q$48)</f>
        <v>91894683</v>
      </c>
      <c r="T9" s="949">
        <f>SUM([44]REKAP!$P$42)</f>
        <v>540000</v>
      </c>
      <c r="U9" s="949">
        <f>SUM([43]REKAP!$S$48)</f>
        <v>29369600</v>
      </c>
      <c r="V9" s="945">
        <f>SUM(M9:U9)</f>
        <v>355450000</v>
      </c>
      <c r="W9" s="949">
        <f>SUM([43]REKAP!$V$48)</f>
        <v>300325</v>
      </c>
      <c r="X9" s="949"/>
      <c r="Y9" s="949">
        <f>SUM([43]REKAP!$U$48)</f>
        <v>4358800</v>
      </c>
      <c r="Z9" s="949">
        <f>SUM([43]REKAP!$W$48)</f>
        <v>12481164</v>
      </c>
      <c r="AA9" s="949">
        <f>SUM([43]REKAP!$Y$48)</f>
        <v>2612985</v>
      </c>
      <c r="AB9" s="949">
        <f>SUM([43]REKAP!$X$48)</f>
        <v>723790</v>
      </c>
      <c r="AC9" s="949">
        <f>SUM([43]REKAP!$Z$48)</f>
        <v>4362940</v>
      </c>
      <c r="AD9" s="949">
        <f>SUM([46]REKAP!$X$42)</f>
        <v>0</v>
      </c>
      <c r="AE9" s="949">
        <f>SUM([43]REKAP!$AB$48)</f>
        <v>45960</v>
      </c>
      <c r="AF9" s="945">
        <f>SUM(W9:AE9)</f>
        <v>24885964</v>
      </c>
      <c r="AG9" s="949">
        <f>SUM([43]REKAP!$AD$48)</f>
        <v>23283443.5</v>
      </c>
      <c r="AH9" s="949">
        <f>SUM([43]REKAP!$AE$48)</f>
        <v>37344613.5</v>
      </c>
      <c r="AI9" s="944">
        <f>SUM([43]REKAP!$AF$48)</f>
        <v>60628057</v>
      </c>
      <c r="AJ9" s="950">
        <f>SUM([43]REKAP!$AG$48)</f>
        <v>1</v>
      </c>
      <c r="AK9" s="951">
        <f>SUM(W9+M9)/C9</f>
        <v>0.81420730849492373</v>
      </c>
      <c r="AL9" s="951"/>
      <c r="AM9" s="951">
        <f t="shared" ref="AM9:AN9" si="1">SUM(Y9+O9)/E9</f>
        <v>0.72328074628504513</v>
      </c>
      <c r="AN9" s="951">
        <f t="shared" si="1"/>
        <v>0.92738604914780209</v>
      </c>
      <c r="AO9" s="951">
        <f t="shared" si="0"/>
        <v>1.1152066312144331</v>
      </c>
      <c r="AP9" s="951">
        <f t="shared" ref="AP9:AR9" si="2">SUM(AB9+R9)/H9</f>
        <v>0.72504737613502346</v>
      </c>
      <c r="AQ9" s="951">
        <f t="shared" si="2"/>
        <v>0.92457861020339094</v>
      </c>
      <c r="AR9" s="951">
        <f t="shared" si="2"/>
        <v>0.98341309906247953</v>
      </c>
      <c r="AS9" s="951">
        <f t="shared" si="0"/>
        <v>0.85367130586035433</v>
      </c>
      <c r="AT9" s="951">
        <f>SUM(AK9:AS9)/8</f>
        <v>0.88334889080043155</v>
      </c>
    </row>
    <row r="10" spans="1:46" s="948" customFormat="1" ht="21.75" customHeight="1" thickBot="1" x14ac:dyDescent="0.25">
      <c r="A10" s="952"/>
      <c r="B10" s="953"/>
      <c r="C10" s="954"/>
      <c r="D10" s="954"/>
      <c r="E10" s="954"/>
      <c r="F10" s="954"/>
      <c r="G10" s="954"/>
      <c r="H10" s="954"/>
      <c r="I10" s="954"/>
      <c r="J10" s="954"/>
      <c r="K10" s="954"/>
      <c r="L10" s="1682"/>
      <c r="M10" s="954"/>
      <c r="N10" s="954"/>
      <c r="O10" s="954"/>
      <c r="P10" s="954"/>
      <c r="Q10" s="954"/>
      <c r="R10" s="954"/>
      <c r="S10" s="954"/>
      <c r="T10" s="954"/>
      <c r="U10" s="954"/>
      <c r="V10" s="955"/>
      <c r="W10" s="954"/>
      <c r="X10" s="954"/>
      <c r="Y10" s="954"/>
      <c r="Z10" s="954"/>
      <c r="AA10" s="954"/>
      <c r="AB10" s="954"/>
      <c r="AC10" s="954"/>
      <c r="AD10" s="954"/>
      <c r="AE10" s="954"/>
      <c r="AF10" s="955"/>
      <c r="AG10" s="954"/>
      <c r="AH10" s="956"/>
      <c r="AI10" s="957"/>
      <c r="AJ10" s="958"/>
      <c r="AK10" s="959"/>
      <c r="AL10" s="959"/>
      <c r="AM10" s="959"/>
      <c r="AN10" s="959"/>
      <c r="AO10" s="959"/>
      <c r="AP10" s="959"/>
      <c r="AQ10" s="959"/>
      <c r="AR10" s="959"/>
      <c r="AS10" s="959"/>
      <c r="AT10" s="960"/>
    </row>
    <row r="11" spans="1:46" s="1680" customFormat="1" ht="21.75" customHeight="1" thickTop="1" thickBot="1" x14ac:dyDescent="0.25">
      <c r="A11" s="1676"/>
      <c r="B11" s="1677" t="s">
        <v>58</v>
      </c>
      <c r="C11" s="1675">
        <f>SUM(C8:C10)</f>
        <v>1195515500</v>
      </c>
      <c r="D11" s="1675">
        <f>SUM(D8:D10)</f>
        <v>1247012000</v>
      </c>
      <c r="E11" s="1675">
        <f>SUM(E8:E10)</f>
        <v>107502516</v>
      </c>
      <c r="F11" s="1675">
        <f>SUM(F8:F10)</f>
        <v>138474107</v>
      </c>
      <c r="G11" s="1675">
        <f>SUM(G8:G10)</f>
        <v>97615800</v>
      </c>
      <c r="H11" s="1675">
        <f>SUM(H8:H10)</f>
        <v>13973280</v>
      </c>
      <c r="I11" s="1675">
        <f>SUM(I8:I10)</f>
        <v>104109723</v>
      </c>
      <c r="J11" s="1675">
        <f>SUM(J8:J10)</f>
        <v>549108</v>
      </c>
      <c r="K11" s="1675">
        <f>SUM(K8:K10)</f>
        <v>40374448</v>
      </c>
      <c r="L11" s="1675">
        <f>SUM(L8+L9)</f>
        <v>2945126482</v>
      </c>
      <c r="M11" s="1675">
        <f t="shared" ref="M11:AI11" si="3">SUM(M8:M10)</f>
        <v>1014625354</v>
      </c>
      <c r="N11" s="1675">
        <f t="shared" si="3"/>
        <v>1068030945</v>
      </c>
      <c r="O11" s="1675">
        <f t="shared" si="3"/>
        <v>73395700</v>
      </c>
      <c r="P11" s="1675">
        <f t="shared" si="3"/>
        <v>115937791</v>
      </c>
      <c r="Q11" s="1675">
        <f t="shared" si="3"/>
        <v>56410125</v>
      </c>
      <c r="R11" s="1675">
        <f t="shared" si="3"/>
        <v>9407500</v>
      </c>
      <c r="S11" s="1675">
        <f t="shared" si="3"/>
        <v>91894683</v>
      </c>
      <c r="T11" s="1675">
        <f t="shared" si="3"/>
        <v>540000</v>
      </c>
      <c r="U11" s="1675">
        <f t="shared" si="3"/>
        <v>33649600</v>
      </c>
      <c r="V11" s="1675">
        <f t="shared" si="3"/>
        <v>2463891698</v>
      </c>
      <c r="W11" s="1675">
        <f t="shared" si="3"/>
        <v>21636902</v>
      </c>
      <c r="X11" s="1675">
        <f t="shared" si="3"/>
        <v>33025735.75</v>
      </c>
      <c r="Y11" s="1675">
        <f t="shared" si="3"/>
        <v>4358800</v>
      </c>
      <c r="Z11" s="1675">
        <f t="shared" si="3"/>
        <v>12481164</v>
      </c>
      <c r="AA11" s="1675">
        <f t="shared" si="3"/>
        <v>4780185</v>
      </c>
      <c r="AB11" s="1675">
        <f t="shared" si="3"/>
        <v>723790</v>
      </c>
      <c r="AC11" s="1675">
        <f t="shared" si="3"/>
        <v>4362940</v>
      </c>
      <c r="AD11" s="1675">
        <f t="shared" si="3"/>
        <v>0</v>
      </c>
      <c r="AE11" s="1675">
        <f t="shared" si="3"/>
        <v>140260</v>
      </c>
      <c r="AF11" s="1675">
        <f t="shared" si="3"/>
        <v>81509776.75</v>
      </c>
      <c r="AG11" s="1675">
        <f t="shared" si="3"/>
        <v>85544009.5</v>
      </c>
      <c r="AH11" s="1675">
        <f t="shared" si="3"/>
        <v>314180997.5</v>
      </c>
      <c r="AI11" s="1675">
        <f t="shared" si="3"/>
        <v>399725007</v>
      </c>
      <c r="AJ11" s="1678">
        <f>SUM(AJ8:AJ10)/2</f>
        <v>0.98146798223421605</v>
      </c>
      <c r="AK11" s="1678">
        <f t="shared" ref="AK11:AR11" si="4">SUM(M11+W11)/C11</f>
        <v>0.86679115076299718</v>
      </c>
      <c r="AL11" s="1678">
        <f t="shared" si="4"/>
        <v>0.88295596253283848</v>
      </c>
      <c r="AM11" s="1678">
        <f t="shared" si="4"/>
        <v>0.72328074628504513</v>
      </c>
      <c r="AN11" s="1678">
        <f t="shared" si="4"/>
        <v>0.92738604914780209</v>
      </c>
      <c r="AO11" s="1678">
        <f t="shared" si="4"/>
        <v>0.6268484200303639</v>
      </c>
      <c r="AP11" s="1678">
        <f t="shared" si="4"/>
        <v>0.72504737613502346</v>
      </c>
      <c r="AQ11" s="1678">
        <f t="shared" si="4"/>
        <v>0.92457861020339094</v>
      </c>
      <c r="AR11" s="1678">
        <f t="shared" si="4"/>
        <v>0.98341309906247953</v>
      </c>
      <c r="AS11" s="1678">
        <f t="shared" ref="AS11" si="5">SUM(U11+AE11)/K11</f>
        <v>0.83691199939129823</v>
      </c>
      <c r="AT11" s="1679">
        <f>SUM(AK11:AS11)/9</f>
        <v>0.83302371261680441</v>
      </c>
    </row>
    <row r="12" spans="1:46" s="1682" customFormat="1" ht="28.5" customHeight="1" thickTop="1" x14ac:dyDescent="0.2">
      <c r="A12" s="1681"/>
      <c r="L12" s="1682">
        <f>SUM(AI11+AF11+V11)</f>
        <v>2945126481.75</v>
      </c>
      <c r="V12" s="1682">
        <f>SUM(M11:U11)</f>
        <v>2463891698</v>
      </c>
      <c r="AF12" s="1682">
        <f>SUM(W11:AE11)</f>
        <v>81509776.75</v>
      </c>
      <c r="AI12" s="1682">
        <f>SUM(AG11:AH11)</f>
        <v>399725007</v>
      </c>
      <c r="AJ12" s="1681"/>
      <c r="AK12" s="1683"/>
      <c r="AL12" s="1683"/>
      <c r="AM12" s="1683"/>
      <c r="AN12" s="1683"/>
      <c r="AO12" s="1683"/>
      <c r="AP12" s="1683"/>
      <c r="AQ12" s="1683"/>
      <c r="AR12" s="1683"/>
      <c r="AS12" s="1683"/>
      <c r="AT12" s="1681"/>
    </row>
    <row r="13" spans="1:46" s="1685" customFormat="1" ht="28.5" customHeight="1" x14ac:dyDescent="0.2">
      <c r="A13" s="1684"/>
      <c r="C13" s="1686"/>
      <c r="D13" s="1686"/>
      <c r="E13" s="1686"/>
      <c r="F13" s="1686"/>
      <c r="G13" s="1686"/>
      <c r="H13" s="1686"/>
      <c r="I13" s="1686"/>
      <c r="J13" s="1686"/>
      <c r="K13" s="1686"/>
      <c r="L13" s="1687">
        <f>SUM(L11-L12)</f>
        <v>0.25</v>
      </c>
      <c r="M13" s="1686"/>
      <c r="N13" s="1686"/>
      <c r="Q13" s="1686"/>
      <c r="V13" s="1688" t="s">
        <v>13</v>
      </c>
      <c r="AF13" s="1689"/>
      <c r="AG13" s="1686"/>
      <c r="AH13" s="1690"/>
      <c r="AI13" s="1691"/>
      <c r="AJ13" s="1692"/>
      <c r="AK13" s="1693"/>
      <c r="AL13" s="1693"/>
      <c r="AM13" s="1693"/>
      <c r="AN13" s="1693"/>
      <c r="AO13" s="1693"/>
      <c r="AP13" s="1693"/>
      <c r="AQ13" s="1693"/>
      <c r="AR13" s="1693"/>
      <c r="AS13" s="1693"/>
      <c r="AT13" s="1693"/>
    </row>
    <row r="14" spans="1:46" ht="27" customHeight="1" x14ac:dyDescent="0.2">
      <c r="C14" s="1550"/>
      <c r="F14" s="533"/>
      <c r="J14" s="1553"/>
      <c r="K14" s="533"/>
      <c r="M14" s="1082">
        <f>SUM(C11-M11-W11)</f>
        <v>159253244</v>
      </c>
      <c r="N14" s="1082">
        <f t="shared" ref="N14:T14" si="6">SUM(D11-N11-X11)</f>
        <v>145955319.25</v>
      </c>
      <c r="O14" s="1082">
        <f t="shared" si="6"/>
        <v>29748016</v>
      </c>
      <c r="P14" s="1082">
        <f t="shared" si="6"/>
        <v>10055152</v>
      </c>
      <c r="Q14" s="1082">
        <f t="shared" si="6"/>
        <v>36425490</v>
      </c>
      <c r="R14" s="1082">
        <f t="shared" si="6"/>
        <v>3841990</v>
      </c>
      <c r="S14" s="1082">
        <f t="shared" si="6"/>
        <v>7852100</v>
      </c>
      <c r="T14" s="1082">
        <f t="shared" si="6"/>
        <v>9108</v>
      </c>
      <c r="U14" s="1082">
        <f>SUM(K11-U11-AE11)</f>
        <v>6584588</v>
      </c>
      <c r="V14" s="1082">
        <f>SUM(L11-V11-AF11)</f>
        <v>399725007.25</v>
      </c>
      <c r="AI14" s="1621"/>
    </row>
    <row r="15" spans="1:46" ht="25.5" customHeight="1" x14ac:dyDescent="0.2">
      <c r="C15" s="533"/>
      <c r="K15" s="1694"/>
      <c r="L15" s="549"/>
      <c r="M15" s="1815" t="s">
        <v>598</v>
      </c>
      <c r="N15" s="1816"/>
      <c r="O15" s="1816"/>
      <c r="P15" s="1816"/>
      <c r="Q15" s="1816"/>
      <c r="R15" s="1816"/>
      <c r="S15" s="1816"/>
      <c r="T15" s="1816"/>
      <c r="U15" s="1816"/>
      <c r="V15" s="1817"/>
      <c r="AE15" s="1620"/>
      <c r="AF15" s="1668"/>
      <c r="AH15" s="1620"/>
      <c r="AI15" s="1621"/>
    </row>
    <row r="16" spans="1:46" s="1623" customFormat="1" ht="27" customHeight="1" x14ac:dyDescent="0.2">
      <c r="A16" s="1622"/>
      <c r="C16" s="1624"/>
      <c r="F16" s="1625"/>
      <c r="J16" s="1626"/>
      <c r="K16" s="1694"/>
      <c r="L16" s="1627"/>
      <c r="M16" s="1628">
        <v>189001260</v>
      </c>
      <c r="N16" s="1628">
        <v>156010471</v>
      </c>
      <c r="O16" s="1628">
        <f t="shared" ref="O16" si="7">SUM(E13-O13-Y13)</f>
        <v>0</v>
      </c>
      <c r="P16" s="1628">
        <f t="shared" ref="P16" si="8">SUM(F13-P13-Z13)</f>
        <v>0</v>
      </c>
      <c r="Q16" s="1628">
        <v>40267480</v>
      </c>
      <c r="R16" s="1628">
        <f t="shared" ref="R16" si="9">SUM(H13-R13-AB13)</f>
        <v>0</v>
      </c>
      <c r="S16" s="1628">
        <v>7861208</v>
      </c>
      <c r="T16" s="1628">
        <f t="shared" ref="T16" si="10">SUM(J13-T13-AD13)</f>
        <v>0</v>
      </c>
      <c r="U16" s="1628">
        <v>6584588</v>
      </c>
      <c r="V16" s="1628">
        <f>SUM(M16:U16)</f>
        <v>399725007</v>
      </c>
      <c r="AE16" s="1620"/>
      <c r="AF16" s="1668"/>
      <c r="AI16" s="1629"/>
      <c r="AJ16" s="1630"/>
      <c r="AK16" s="531"/>
      <c r="AL16" s="531"/>
      <c r="AM16" s="531"/>
      <c r="AN16" s="531"/>
      <c r="AO16" s="531"/>
      <c r="AP16" s="531"/>
      <c r="AQ16" s="531"/>
      <c r="AR16" s="531"/>
      <c r="AS16" s="531"/>
      <c r="AT16" s="531"/>
    </row>
    <row r="17" spans="1:46" s="1671" customFormat="1" ht="25.5" customHeight="1" x14ac:dyDescent="0.2">
      <c r="A17" s="1674"/>
      <c r="K17" s="1672"/>
      <c r="M17" s="1672">
        <f>SUM(M14+O14)</f>
        <v>189001260</v>
      </c>
      <c r="N17" s="1672">
        <f>SUM(N14+P14)</f>
        <v>156010471.25</v>
      </c>
      <c r="O17" s="1672"/>
      <c r="P17" s="1672"/>
      <c r="Q17" s="1672">
        <f>SUM(Q14+R14)</f>
        <v>40267480</v>
      </c>
      <c r="R17" s="1672"/>
      <c r="S17" s="1672">
        <f>SUM(S14+T14)</f>
        <v>7861208</v>
      </c>
      <c r="T17" s="1672"/>
      <c r="U17" s="1672">
        <f>SUM(U14)</f>
        <v>6584588</v>
      </c>
      <c r="V17" s="1628"/>
      <c r="AF17" s="1672"/>
      <c r="AJ17" s="1673"/>
      <c r="AK17" s="1674"/>
      <c r="AL17" s="1674"/>
      <c r="AM17" s="1674"/>
      <c r="AN17" s="1674"/>
      <c r="AO17" s="1674"/>
      <c r="AP17" s="1674"/>
      <c r="AQ17" s="1674"/>
      <c r="AR17" s="1674"/>
      <c r="AS17" s="1674"/>
      <c r="AT17" s="1674"/>
    </row>
    <row r="18" spans="1:46" ht="25.5" customHeight="1" x14ac:dyDescent="0.2">
      <c r="M18" s="961">
        <f>SUM(M16-M17)</f>
        <v>0</v>
      </c>
      <c r="N18" s="961">
        <f>SUM(N16-N17)</f>
        <v>-0.25</v>
      </c>
      <c r="O18" s="961"/>
      <c r="P18" s="961"/>
      <c r="Q18" s="961">
        <f t="shared" ref="Q18:U18" si="11">SUM(Q16-Q17)</f>
        <v>0</v>
      </c>
      <c r="R18" s="961"/>
      <c r="S18" s="961">
        <f t="shared" si="11"/>
        <v>0</v>
      </c>
      <c r="T18" s="961"/>
      <c r="U18" s="961">
        <f t="shared" si="11"/>
        <v>0</v>
      </c>
      <c r="V18" s="1628">
        <f>SUM(M18:U18)</f>
        <v>-0.25</v>
      </c>
      <c r="AF18" s="1669"/>
    </row>
    <row r="19" spans="1:46" s="132" customFormat="1" ht="25.5" customHeight="1" x14ac:dyDescent="0.2">
      <c r="A19" s="1631"/>
      <c r="L19" s="534"/>
      <c r="M19" s="1632"/>
      <c r="N19" s="1632"/>
      <c r="O19" s="1633"/>
      <c r="Q19" s="1632"/>
      <c r="R19" s="1633"/>
      <c r="S19" s="1632"/>
      <c r="U19" s="1632"/>
      <c r="V19" s="1176"/>
      <c r="AF19" s="1176"/>
      <c r="AI19" s="534"/>
      <c r="AJ19" s="530"/>
      <c r="AK19" s="1634"/>
      <c r="AL19" s="1634"/>
      <c r="AM19" s="1634"/>
      <c r="AN19" s="1634"/>
      <c r="AO19" s="1634"/>
      <c r="AP19" s="1634"/>
      <c r="AQ19" s="1634"/>
      <c r="AR19" s="1634"/>
      <c r="AS19" s="1634"/>
      <c r="AT19" s="1634"/>
    </row>
    <row r="20" spans="1:46" s="1636" customFormat="1" ht="25.5" customHeight="1" x14ac:dyDescent="0.2">
      <c r="A20" s="1635"/>
      <c r="L20" s="1637"/>
      <c r="M20" s="1638"/>
      <c r="N20" s="1638"/>
      <c r="O20" s="1638"/>
      <c r="Q20" s="1638"/>
      <c r="R20" s="1639"/>
      <c r="S20" s="1638"/>
      <c r="U20" s="1638"/>
      <c r="V20" s="1640"/>
      <c r="AF20" s="1640"/>
      <c r="AI20" s="1637"/>
      <c r="AJ20" s="1641"/>
      <c r="AK20" s="1642"/>
      <c r="AL20" s="1642"/>
      <c r="AM20" s="1642"/>
      <c r="AN20" s="1642"/>
      <c r="AO20" s="1642"/>
      <c r="AP20" s="1642"/>
      <c r="AQ20" s="1642"/>
      <c r="AR20" s="1642"/>
      <c r="AS20" s="1642"/>
      <c r="AT20" s="1642"/>
    </row>
    <row r="21" spans="1:46" ht="25.5" customHeight="1" x14ac:dyDescent="0.2"/>
    <row r="22" spans="1:46" ht="25.5" customHeight="1" x14ac:dyDescent="0.2"/>
    <row r="23" spans="1:46" ht="25.5" customHeight="1" x14ac:dyDescent="0.2"/>
    <row r="24" spans="1:46" ht="25.5" customHeight="1" x14ac:dyDescent="0.2"/>
    <row r="25" spans="1:46" ht="25.5" customHeight="1" x14ac:dyDescent="0.2"/>
    <row r="26" spans="1:46" ht="25.5" customHeight="1" x14ac:dyDescent="0.2"/>
    <row r="27" spans="1:46" ht="25.5" customHeight="1" x14ac:dyDescent="0.2"/>
    <row r="28" spans="1:46" ht="25.5" customHeight="1" x14ac:dyDescent="0.2"/>
    <row r="29" spans="1:46" ht="25.5" customHeight="1" x14ac:dyDescent="0.2"/>
    <row r="30" spans="1:46" ht="25.5" customHeight="1" x14ac:dyDescent="0.2"/>
    <row r="31" spans="1:46" ht="25.5" customHeight="1" x14ac:dyDescent="0.2"/>
    <row r="32" spans="1:46" ht="25.5" customHeight="1" x14ac:dyDescent="0.2"/>
    <row r="33" ht="25.5" customHeight="1" x14ac:dyDescent="0.2"/>
    <row r="34" ht="25.5" customHeight="1" x14ac:dyDescent="0.2"/>
    <row r="35" ht="25.5" customHeight="1" x14ac:dyDescent="0.2"/>
    <row r="36" ht="25.5" customHeight="1" x14ac:dyDescent="0.2"/>
    <row r="37" ht="25.5" customHeight="1" x14ac:dyDescent="0.2"/>
    <row r="38" ht="25.5" customHeight="1" x14ac:dyDescent="0.2"/>
    <row r="39" ht="25.5" customHeight="1" x14ac:dyDescent="0.2"/>
    <row r="40" ht="25.5" customHeight="1" x14ac:dyDescent="0.2"/>
    <row r="41" ht="25.5" customHeight="1" x14ac:dyDescent="0.2"/>
    <row r="42" ht="25.5" customHeight="1" x14ac:dyDescent="0.2"/>
    <row r="43" ht="25.5" customHeight="1" x14ac:dyDescent="0.2"/>
    <row r="44" ht="25.5" customHeight="1" x14ac:dyDescent="0.2"/>
    <row r="45" ht="25.5" customHeight="1" x14ac:dyDescent="0.2"/>
    <row r="46" ht="25.5" customHeight="1" x14ac:dyDescent="0.2"/>
    <row r="47" ht="25.5" customHeight="1" x14ac:dyDescent="0.2"/>
    <row r="48" ht="25.5" customHeight="1" x14ac:dyDescent="0.2"/>
    <row r="49" ht="25.5" customHeight="1" x14ac:dyDescent="0.2"/>
    <row r="50" ht="25.5" customHeight="1" x14ac:dyDescent="0.2"/>
    <row r="51" ht="25.5" customHeight="1" x14ac:dyDescent="0.2"/>
    <row r="52" ht="25.5" customHeight="1" x14ac:dyDescent="0.2"/>
    <row r="53" ht="25.5" customHeight="1" x14ac:dyDescent="0.2"/>
    <row r="54" ht="25.5" customHeight="1" x14ac:dyDescent="0.2"/>
    <row r="55" ht="25.5" customHeight="1" x14ac:dyDescent="0.2"/>
    <row r="56" ht="25.5" customHeight="1" x14ac:dyDescent="0.2"/>
    <row r="57" ht="25.5" customHeight="1" x14ac:dyDescent="0.2"/>
    <row r="58" ht="25.5" customHeight="1" x14ac:dyDescent="0.2"/>
    <row r="59" ht="25.5" customHeight="1" x14ac:dyDescent="0.2"/>
    <row r="60" ht="25.5" customHeight="1" x14ac:dyDescent="0.2"/>
    <row r="61" ht="25.5" customHeight="1" x14ac:dyDescent="0.2"/>
    <row r="62" ht="25.5" customHeight="1" x14ac:dyDescent="0.2"/>
    <row r="63" ht="25.5" customHeight="1" x14ac:dyDescent="0.2"/>
    <row r="64" ht="25.5" customHeight="1" x14ac:dyDescent="0.2"/>
    <row r="65" ht="25.5" customHeight="1" x14ac:dyDescent="0.2"/>
    <row r="66" ht="25.5" customHeight="1" x14ac:dyDescent="0.2"/>
    <row r="67" ht="25.5" customHeight="1" x14ac:dyDescent="0.2"/>
    <row r="68" ht="25.5" customHeight="1" x14ac:dyDescent="0.2"/>
    <row r="69" ht="25.5" customHeight="1" x14ac:dyDescent="0.2"/>
    <row r="70" ht="25.5" customHeight="1" x14ac:dyDescent="0.2"/>
    <row r="71" ht="25.5" customHeight="1" x14ac:dyDescent="0.2"/>
    <row r="72" ht="25.5" customHeight="1" x14ac:dyDescent="0.2"/>
    <row r="73" ht="25.5" customHeight="1" x14ac:dyDescent="0.2"/>
    <row r="74" ht="25.5" customHeight="1" x14ac:dyDescent="0.2"/>
    <row r="75" ht="25.5" customHeight="1" x14ac:dyDescent="0.2"/>
    <row r="76" ht="25.5" customHeight="1" x14ac:dyDescent="0.2"/>
    <row r="77" ht="25.5" customHeight="1" x14ac:dyDescent="0.2"/>
    <row r="78" ht="25.5" customHeight="1" x14ac:dyDescent="0.2"/>
    <row r="79" ht="25.5" customHeight="1" x14ac:dyDescent="0.2"/>
    <row r="80" ht="25.5" customHeight="1" x14ac:dyDescent="0.2"/>
  </sheetData>
  <mergeCells count="8">
    <mergeCell ref="M15:V15"/>
    <mergeCell ref="AG6:AI6"/>
    <mergeCell ref="A1:AI1"/>
    <mergeCell ref="A6:A7"/>
    <mergeCell ref="B6:B7"/>
    <mergeCell ref="C6:L6"/>
    <mergeCell ref="M6:V6"/>
    <mergeCell ref="W6:AF6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BN11"/>
  <sheetViews>
    <sheetView zoomScale="70" zoomScaleNormal="70" zoomScaleSheetLayoutView="120" workbookViewId="0">
      <selection activeCell="H13" sqref="H13"/>
    </sheetView>
  </sheetViews>
  <sheetFormatPr defaultRowHeight="15" x14ac:dyDescent="0.2"/>
  <cols>
    <col min="1" max="1" width="9.33203125" style="1"/>
    <col min="2" max="2" width="53.1640625" customWidth="1"/>
    <col min="4" max="8" width="9.33203125" style="4"/>
    <col min="9" max="9" width="9.33203125" style="15"/>
    <col min="10" max="10" width="9.33203125" style="1"/>
    <col min="11" max="11" width="20" customWidth="1"/>
    <col min="12" max="12" width="21" customWidth="1"/>
    <col min="13" max="13" width="16.33203125" customWidth="1"/>
    <col min="15" max="15" width="9.33203125" style="2"/>
    <col min="16" max="16" width="18.33203125" customWidth="1"/>
    <col min="17" max="17" width="20.33203125" customWidth="1"/>
    <col min="18" max="18" width="19" customWidth="1"/>
    <col min="21" max="21" width="18.5" style="13" customWidth="1"/>
    <col min="26" max="26" width="20.5" style="12" customWidth="1"/>
    <col min="27" max="27" width="17.83203125" style="12" customWidth="1"/>
    <col min="28" max="28" width="17.6640625" style="14" customWidth="1"/>
    <col min="29" max="29" width="18.1640625" style="14" customWidth="1"/>
    <col min="30" max="31" width="9.33203125" style="13"/>
    <col min="32" max="36" width="9.33203125" style="3"/>
    <col min="37" max="37" width="9.33203125" style="5"/>
    <col min="38" max="49" width="9.33203125" style="3"/>
  </cols>
  <sheetData>
    <row r="1" spans="1:66" s="114" customFormat="1" ht="24.75" customHeight="1" x14ac:dyDescent="0.2">
      <c r="A1" s="1699" t="s">
        <v>8</v>
      </c>
      <c r="B1" s="1700"/>
      <c r="C1" s="106" t="s">
        <v>254</v>
      </c>
      <c r="D1" s="107"/>
      <c r="E1" s="107"/>
      <c r="F1" s="107"/>
      <c r="G1" s="107"/>
      <c r="H1" s="107"/>
      <c r="I1" s="107"/>
      <c r="J1" s="107"/>
      <c r="K1" s="107"/>
      <c r="L1" s="108"/>
      <c r="M1" s="108"/>
      <c r="N1" s="108"/>
      <c r="O1" s="109"/>
      <c r="P1" s="107"/>
      <c r="Q1" s="108"/>
      <c r="R1" s="108"/>
      <c r="S1" s="108"/>
      <c r="T1" s="108"/>
      <c r="U1" s="110"/>
      <c r="V1" s="108"/>
      <c r="W1" s="108"/>
      <c r="X1" s="108"/>
      <c r="Y1" s="108"/>
      <c r="Z1" s="110"/>
      <c r="AA1" s="110"/>
      <c r="AB1" s="105"/>
      <c r="AC1" s="111"/>
      <c r="AD1" s="107"/>
      <c r="AE1" s="108"/>
      <c r="AF1" s="108"/>
      <c r="AG1" s="108"/>
      <c r="AH1" s="108"/>
      <c r="AI1" s="108"/>
      <c r="AJ1" s="109"/>
      <c r="AK1" s="108"/>
      <c r="AL1" s="108"/>
      <c r="AM1" s="108"/>
      <c r="AN1" s="108"/>
      <c r="AO1" s="108"/>
      <c r="AP1" s="110"/>
      <c r="AQ1" s="110"/>
      <c r="AR1" s="110"/>
      <c r="AS1" s="105"/>
      <c r="AT1" s="111"/>
      <c r="AU1" s="110"/>
      <c r="AV1" s="110"/>
      <c r="AW1" s="112"/>
      <c r="AX1" s="112"/>
      <c r="AY1" s="112"/>
      <c r="AZ1" s="112"/>
      <c r="BA1" s="112"/>
      <c r="BB1" s="113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</row>
    <row r="2" spans="1:66" s="114" customFormat="1" ht="26.25" customHeight="1" x14ac:dyDescent="0.2">
      <c r="A2" s="1701" t="s">
        <v>9</v>
      </c>
      <c r="B2" s="1702"/>
      <c r="C2" s="116" t="s">
        <v>87</v>
      </c>
      <c r="D2" s="117"/>
      <c r="E2" s="117"/>
      <c r="F2" s="117"/>
      <c r="G2" s="117"/>
      <c r="H2" s="117"/>
      <c r="I2" s="117"/>
      <c r="J2" s="117"/>
      <c r="K2" s="117"/>
      <c r="L2" s="118"/>
      <c r="M2" s="118"/>
      <c r="N2" s="118"/>
      <c r="O2" s="119"/>
      <c r="P2" s="117"/>
      <c r="Q2" s="118"/>
      <c r="R2" s="118"/>
      <c r="S2" s="118"/>
      <c r="T2" s="118"/>
      <c r="U2" s="119"/>
      <c r="V2" s="118"/>
      <c r="W2" s="118"/>
      <c r="X2" s="118"/>
      <c r="Y2" s="118"/>
      <c r="Z2" s="119"/>
      <c r="AA2" s="119"/>
      <c r="AB2" s="115"/>
      <c r="AC2" s="120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10"/>
      <c r="AV2" s="110"/>
      <c r="AW2" s="112">
        <v>1100000</v>
      </c>
      <c r="AX2" s="112"/>
      <c r="AY2" s="112"/>
      <c r="AZ2" s="112"/>
      <c r="BA2" s="112"/>
      <c r="BB2" s="113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</row>
    <row r="3" spans="1:66" s="8" customFormat="1" ht="48.75" customHeight="1" x14ac:dyDescent="0.2">
      <c r="A3" s="1703" t="s">
        <v>10</v>
      </c>
      <c r="B3" s="1706" t="s">
        <v>11</v>
      </c>
      <c r="C3" s="1706" t="s">
        <v>22</v>
      </c>
      <c r="D3" s="1721" t="s">
        <v>12</v>
      </c>
      <c r="E3" s="1721"/>
      <c r="F3" s="1721"/>
      <c r="G3" s="1721"/>
      <c r="H3" s="1721"/>
      <c r="I3" s="1721"/>
      <c r="J3" s="1706" t="s">
        <v>20</v>
      </c>
      <c r="K3" s="1717" t="s">
        <v>17</v>
      </c>
      <c r="L3" s="1718"/>
      <c r="M3" s="1718"/>
      <c r="N3" s="1718"/>
      <c r="O3" s="1719"/>
      <c r="P3" s="1720" t="s">
        <v>6</v>
      </c>
      <c r="Q3" s="1720"/>
      <c r="R3" s="1720"/>
      <c r="S3" s="1720"/>
      <c r="T3" s="1720"/>
      <c r="U3" s="1720"/>
      <c r="V3" s="1722" t="s">
        <v>41</v>
      </c>
      <c r="W3" s="1723"/>
      <c r="X3" s="1723"/>
      <c r="Y3" s="1723"/>
      <c r="Z3" s="1724"/>
      <c r="AA3" s="1706" t="s">
        <v>38</v>
      </c>
      <c r="AB3" s="1706" t="s">
        <v>256</v>
      </c>
      <c r="AC3" s="1709" t="s">
        <v>39</v>
      </c>
      <c r="AD3" s="135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5"/>
      <c r="AV3" s="25"/>
    </row>
    <row r="4" spans="1:66" s="8" customFormat="1" ht="48.75" customHeight="1" x14ac:dyDescent="0.2">
      <c r="A4" s="1704"/>
      <c r="B4" s="1707"/>
      <c r="C4" s="1707"/>
      <c r="D4" s="1712" t="s">
        <v>18</v>
      </c>
      <c r="E4" s="1714" t="s">
        <v>19</v>
      </c>
      <c r="F4" s="1715"/>
      <c r="G4" s="1715"/>
      <c r="H4" s="1715"/>
      <c r="I4" s="1715"/>
      <c r="J4" s="1707"/>
      <c r="K4" s="1712" t="s">
        <v>18</v>
      </c>
      <c r="L4" s="1714" t="s">
        <v>19</v>
      </c>
      <c r="M4" s="1715"/>
      <c r="N4" s="1715"/>
      <c r="O4" s="1716"/>
      <c r="P4" s="1712" t="s">
        <v>18</v>
      </c>
      <c r="Q4" s="1714" t="s">
        <v>19</v>
      </c>
      <c r="R4" s="1715"/>
      <c r="S4" s="1715"/>
      <c r="T4" s="1715"/>
      <c r="U4" s="1716"/>
      <c r="V4" s="1725"/>
      <c r="W4" s="1726"/>
      <c r="X4" s="1726"/>
      <c r="Y4" s="1726"/>
      <c r="Z4" s="1727"/>
      <c r="AA4" s="1707"/>
      <c r="AB4" s="1707"/>
      <c r="AC4" s="1710"/>
      <c r="AD4" s="135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5"/>
      <c r="AV4" s="25"/>
    </row>
    <row r="5" spans="1:66" s="6" customFormat="1" ht="28.5" customHeight="1" x14ac:dyDescent="0.2">
      <c r="A5" s="1705"/>
      <c r="B5" s="1708"/>
      <c r="C5" s="1708"/>
      <c r="D5" s="1713"/>
      <c r="E5" s="26">
        <v>1</v>
      </c>
      <c r="F5" s="26">
        <v>2</v>
      </c>
      <c r="G5" s="26">
        <v>3</v>
      </c>
      <c r="H5" s="26">
        <v>4</v>
      </c>
      <c r="I5" s="26" t="s">
        <v>21</v>
      </c>
      <c r="J5" s="1708"/>
      <c r="K5" s="1713"/>
      <c r="L5" s="26">
        <v>1</v>
      </c>
      <c r="M5" s="26">
        <v>2</v>
      </c>
      <c r="N5" s="26">
        <v>3</v>
      </c>
      <c r="O5" s="26">
        <v>4</v>
      </c>
      <c r="P5" s="1713"/>
      <c r="Q5" s="26">
        <v>1</v>
      </c>
      <c r="R5" s="26">
        <v>2</v>
      </c>
      <c r="S5" s="26">
        <v>3</v>
      </c>
      <c r="T5" s="26">
        <v>4</v>
      </c>
      <c r="U5" s="26" t="s">
        <v>13</v>
      </c>
      <c r="V5" s="173">
        <v>1</v>
      </c>
      <c r="W5" s="173">
        <v>2</v>
      </c>
      <c r="X5" s="173">
        <v>3</v>
      </c>
      <c r="Y5" s="173">
        <v>4</v>
      </c>
      <c r="Z5" s="26" t="s">
        <v>13</v>
      </c>
      <c r="AA5" s="1708"/>
      <c r="AB5" s="1708"/>
      <c r="AC5" s="1711"/>
      <c r="AD5" s="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</row>
    <row r="6" spans="1:66" s="92" customFormat="1" ht="24.75" customHeight="1" thickBot="1" x14ac:dyDescent="0.25">
      <c r="A6" s="85"/>
      <c r="B6" s="145" t="s">
        <v>255</v>
      </c>
      <c r="C6" s="86" t="s">
        <v>128</v>
      </c>
      <c r="D6" s="147">
        <v>1</v>
      </c>
      <c r="E6" s="87">
        <v>1</v>
      </c>
      <c r="F6" s="88"/>
      <c r="G6" s="88"/>
      <c r="H6" s="88"/>
      <c r="I6" s="89">
        <f>SUM(E6:H6)</f>
        <v>1</v>
      </c>
      <c r="J6" s="159" t="s">
        <v>14</v>
      </c>
      <c r="K6" s="158">
        <v>343500000</v>
      </c>
      <c r="L6" s="93">
        <v>343500000</v>
      </c>
      <c r="M6" s="94"/>
      <c r="N6" s="94"/>
      <c r="O6" s="94"/>
      <c r="P6" s="69">
        <f>SUM(I6*K6)</f>
        <v>343500000</v>
      </c>
      <c r="Q6" s="70">
        <f t="shared" ref="Q6:T6" si="0">L6*E6</f>
        <v>343500000</v>
      </c>
      <c r="R6" s="70">
        <f t="shared" si="0"/>
        <v>0</v>
      </c>
      <c r="S6" s="70">
        <f t="shared" si="0"/>
        <v>0</v>
      </c>
      <c r="T6" s="70">
        <f t="shared" si="0"/>
        <v>0</v>
      </c>
      <c r="U6" s="71">
        <f t="shared" ref="U6" si="1">SUM(Q6:T6)</f>
        <v>343500000</v>
      </c>
      <c r="V6" s="70"/>
      <c r="W6" s="70"/>
      <c r="X6" s="70">
        <f t="shared" ref="X6:Y6" si="2">SUM(S6*14%)</f>
        <v>0</v>
      </c>
      <c r="Y6" s="70">
        <f t="shared" si="2"/>
        <v>0</v>
      </c>
      <c r="Z6" s="72">
        <f t="shared" ref="Z6" si="3">SUM(V6:Y6)</f>
        <v>0</v>
      </c>
      <c r="AA6" s="98">
        <f t="shared" ref="AA6:AA7" si="4">P6-U6-Z6</f>
        <v>0</v>
      </c>
      <c r="AB6" s="99">
        <f t="shared" ref="AB6" si="5">K6*D6</f>
        <v>343500000</v>
      </c>
      <c r="AC6" s="100">
        <f t="shared" ref="AC6" si="6">AB6-U6-Z6</f>
        <v>0</v>
      </c>
      <c r="AD6" s="630">
        <v>1</v>
      </c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</row>
    <row r="7" spans="1:66" s="38" customFormat="1" ht="24.75" customHeight="1" thickBot="1" x14ac:dyDescent="0.25">
      <c r="A7" s="43"/>
      <c r="B7" s="44" t="s">
        <v>4</v>
      </c>
      <c r="C7" s="44"/>
      <c r="D7" s="45"/>
      <c r="E7" s="46"/>
      <c r="F7" s="46"/>
      <c r="G7" s="46"/>
      <c r="H7" s="46"/>
      <c r="I7" s="47"/>
      <c r="J7" s="77"/>
      <c r="K7" s="101"/>
      <c r="L7" s="102"/>
      <c r="M7" s="102"/>
      <c r="N7" s="102"/>
      <c r="O7" s="102"/>
      <c r="P7" s="103">
        <f t="shared" ref="P7:Z7" si="7">SUM(P6:P6)</f>
        <v>343500000</v>
      </c>
      <c r="Q7" s="103">
        <f t="shared" si="7"/>
        <v>343500000</v>
      </c>
      <c r="R7" s="103">
        <f t="shared" si="7"/>
        <v>0</v>
      </c>
      <c r="S7" s="103">
        <f t="shared" si="7"/>
        <v>0</v>
      </c>
      <c r="T7" s="103">
        <f t="shared" si="7"/>
        <v>0</v>
      </c>
      <c r="U7" s="103">
        <f t="shared" si="7"/>
        <v>343500000</v>
      </c>
      <c r="V7" s="103">
        <f t="shared" si="7"/>
        <v>0</v>
      </c>
      <c r="W7" s="103">
        <f t="shared" si="7"/>
        <v>0</v>
      </c>
      <c r="X7" s="103">
        <f t="shared" si="7"/>
        <v>0</v>
      </c>
      <c r="Y7" s="103">
        <f t="shared" si="7"/>
        <v>0</v>
      </c>
      <c r="Z7" s="103">
        <f t="shared" si="7"/>
        <v>0</v>
      </c>
      <c r="AA7" s="104">
        <f t="shared" si="4"/>
        <v>0</v>
      </c>
      <c r="AB7" s="103">
        <f>SUM(AB6:AB6)</f>
        <v>343500000</v>
      </c>
      <c r="AC7" s="103">
        <f>SUM(AC6:AC6)</f>
        <v>0</v>
      </c>
      <c r="AD7" s="658">
        <f>SUM(AD6)</f>
        <v>1</v>
      </c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</row>
    <row r="8" spans="1:66" s="20" customFormat="1" ht="24.75" customHeight="1" x14ac:dyDescent="0.2">
      <c r="A8" s="50"/>
      <c r="D8" s="50"/>
      <c r="E8" s="50"/>
      <c r="F8" s="50"/>
      <c r="G8" s="50"/>
      <c r="H8" s="50"/>
      <c r="I8" s="50"/>
      <c r="J8" s="50"/>
      <c r="O8" s="40"/>
      <c r="U8" s="51"/>
      <c r="Z8" s="52">
        <f>SUM(U7+Z7)</f>
        <v>343500000</v>
      </c>
      <c r="AA8" s="53">
        <f>P7-U7-Z7</f>
        <v>0</v>
      </c>
      <c r="AB8" s="54">
        <f>SUM(AC7+U7+Z7)</f>
        <v>343500000</v>
      </c>
      <c r="AC8" s="55">
        <f>SUM(AA7)</f>
        <v>0</v>
      </c>
      <c r="AD8" s="40" t="s">
        <v>38</v>
      </c>
      <c r="AE8" s="40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</row>
    <row r="9" spans="1:66" s="20" customFormat="1" ht="24.75" customHeight="1" x14ac:dyDescent="0.2">
      <c r="A9" s="50"/>
      <c r="D9" s="50"/>
      <c r="E9" s="50"/>
      <c r="F9" s="50"/>
      <c r="G9" s="50"/>
      <c r="H9" s="50"/>
      <c r="I9" s="50"/>
      <c r="J9" s="50"/>
      <c r="O9" s="40"/>
      <c r="U9" s="40"/>
      <c r="Z9" s="40"/>
      <c r="AA9" s="40"/>
      <c r="AB9" s="56"/>
      <c r="AC9" s="57">
        <f>SUM(AC7-AC8)</f>
        <v>0</v>
      </c>
      <c r="AD9" s="40" t="s">
        <v>37</v>
      </c>
      <c r="AE9" s="40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</row>
    <row r="10" spans="1:66" s="20" customFormat="1" ht="24.75" customHeight="1" x14ac:dyDescent="0.2">
      <c r="A10" s="50"/>
      <c r="D10" s="50"/>
      <c r="E10" s="50"/>
      <c r="F10" s="50"/>
      <c r="G10" s="50"/>
      <c r="H10" s="50"/>
      <c r="I10" s="50"/>
      <c r="J10" s="50"/>
      <c r="O10" s="40"/>
      <c r="U10" s="40"/>
      <c r="Z10" s="40"/>
      <c r="AA10" s="40"/>
      <c r="AB10" s="56"/>
      <c r="AC10" s="57"/>
      <c r="AD10" s="40"/>
      <c r="AE10" s="40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</row>
    <row r="11" spans="1:66" s="16" customFormat="1" ht="24.75" customHeight="1" x14ac:dyDescent="0.2">
      <c r="A11" s="1698" t="s">
        <v>15</v>
      </c>
      <c r="B11" s="1698"/>
      <c r="C11" s="1698"/>
      <c r="D11" s="1698"/>
      <c r="E11" s="59"/>
      <c r="F11" s="59"/>
      <c r="G11" s="59"/>
      <c r="H11" s="59"/>
      <c r="I11" s="60"/>
      <c r="J11" s="17"/>
      <c r="K11" s="64"/>
      <c r="L11" s="61"/>
      <c r="M11" s="61"/>
      <c r="N11" s="61"/>
      <c r="O11" s="61"/>
      <c r="P11" s="64"/>
      <c r="Q11" s="61"/>
      <c r="R11" s="61"/>
      <c r="S11" s="61"/>
      <c r="T11" s="68" t="s">
        <v>23</v>
      </c>
      <c r="U11" s="68">
        <v>7758000</v>
      </c>
      <c r="V11" s="61"/>
      <c r="W11" s="61"/>
      <c r="X11" s="61"/>
      <c r="Y11" s="68" t="s">
        <v>23</v>
      </c>
      <c r="Z11" s="68">
        <v>1002120</v>
      </c>
      <c r="AA11" s="68">
        <f>SUM(U11:Z11)</f>
        <v>8760120</v>
      </c>
      <c r="AB11" s="63"/>
      <c r="AC11" s="63"/>
      <c r="AD11" s="65"/>
      <c r="AE11" s="80"/>
      <c r="AF11" s="81"/>
    </row>
  </sheetData>
  <mergeCells count="20">
    <mergeCell ref="AC3:AC5"/>
    <mergeCell ref="D4:D5"/>
    <mergeCell ref="E4:I4"/>
    <mergeCell ref="K4:K5"/>
    <mergeCell ref="L4:O4"/>
    <mergeCell ref="P4:P5"/>
    <mergeCell ref="Q4:U4"/>
    <mergeCell ref="J3:J5"/>
    <mergeCell ref="K3:O3"/>
    <mergeCell ref="P3:U3"/>
    <mergeCell ref="AA3:AA5"/>
    <mergeCell ref="AB3:AB5"/>
    <mergeCell ref="D3:I3"/>
    <mergeCell ref="V3:Z4"/>
    <mergeCell ref="A11:D11"/>
    <mergeCell ref="A1:B1"/>
    <mergeCell ref="A2:B2"/>
    <mergeCell ref="A3:A5"/>
    <mergeCell ref="B3:B5"/>
    <mergeCell ref="C3:C5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T252"/>
  <sheetViews>
    <sheetView topLeftCell="A247" zoomScale="80" zoomScaleNormal="80" workbookViewId="0">
      <selection activeCell="BG227" sqref="BG227"/>
    </sheetView>
  </sheetViews>
  <sheetFormatPr defaultRowHeight="15" x14ac:dyDescent="0.2"/>
  <cols>
    <col min="1" max="1" width="7.5" style="10" customWidth="1"/>
    <col min="2" max="2" width="78.6640625" style="9" customWidth="1"/>
    <col min="3" max="3" width="7.6640625" style="167" customWidth="1"/>
    <col min="4" max="4" width="10.83203125" style="229" customWidth="1"/>
    <col min="5" max="16" width="11.6640625" style="4" customWidth="1"/>
    <col min="17" max="17" width="11.6640625" style="15" customWidth="1"/>
    <col min="18" max="18" width="14.33203125" style="9" customWidth="1"/>
    <col min="19" max="19" width="15.83203125" style="9" customWidth="1"/>
    <col min="20" max="20" width="16.1640625" customWidth="1"/>
    <col min="21" max="21" width="14.83203125" customWidth="1"/>
    <col min="22" max="30" width="11.6640625" customWidth="1"/>
    <col min="31" max="31" width="11.6640625" style="2" customWidth="1"/>
    <col min="32" max="32" width="20.5" style="11" customWidth="1"/>
    <col min="33" max="44" width="17.5" customWidth="1"/>
    <col min="45" max="45" width="17.5" style="13" customWidth="1"/>
    <col min="46" max="57" width="17.5" customWidth="1"/>
    <col min="58" max="59" width="17.5" style="13" customWidth="1"/>
    <col min="60" max="61" width="17.5" style="14" customWidth="1"/>
    <col min="62" max="62" width="16.1640625" style="7" bestFit="1" customWidth="1"/>
    <col min="63" max="63" width="16.83203125" style="3" customWidth="1"/>
    <col min="64" max="64" width="19.33203125" style="3" customWidth="1"/>
    <col min="65" max="65" width="16.83203125" style="3" customWidth="1"/>
    <col min="66" max="66" width="16.5" style="3" customWidth="1"/>
    <col min="67" max="67" width="12" style="3" customWidth="1"/>
    <col min="68" max="68" width="12.33203125" style="3" customWidth="1"/>
    <col min="69" max="69" width="14.83203125" style="3" customWidth="1"/>
    <col min="70" max="78" width="9.33203125" style="3"/>
    <col min="79" max="79" width="14.1640625" style="3" customWidth="1"/>
    <col min="80" max="80" width="17.33203125" style="3" customWidth="1"/>
    <col min="81" max="81" width="15.1640625" customWidth="1"/>
    <col min="82" max="82" width="17.5" customWidth="1"/>
    <col min="92" max="92" width="16.1640625" customWidth="1"/>
  </cols>
  <sheetData>
    <row r="1" spans="1:98" ht="21" x14ac:dyDescent="0.2">
      <c r="A1" s="553"/>
    </row>
    <row r="2" spans="1:98" s="20" customFormat="1" ht="16.5" customHeight="1" x14ac:dyDescent="0.2">
      <c r="A2" s="1730" t="s">
        <v>8</v>
      </c>
      <c r="B2" s="1731"/>
      <c r="C2" s="124" t="s">
        <v>298</v>
      </c>
      <c r="D2" s="224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7"/>
      <c r="AF2" s="23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8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8"/>
      <c r="BG2" s="138"/>
      <c r="BH2" s="135"/>
      <c r="BI2" s="139"/>
      <c r="BJ2" s="135"/>
      <c r="BK2" s="136"/>
      <c r="BL2" s="136"/>
      <c r="BM2" s="136"/>
      <c r="BN2" s="136"/>
      <c r="BO2" s="136"/>
      <c r="BP2" s="137"/>
      <c r="BQ2" s="136"/>
      <c r="BR2" s="136"/>
      <c r="BS2" s="136"/>
      <c r="BT2" s="136"/>
      <c r="BU2" s="136"/>
      <c r="BV2" s="138"/>
      <c r="BW2" s="138"/>
      <c r="BX2" s="138"/>
      <c r="BY2" s="135"/>
      <c r="BZ2" s="139"/>
      <c r="CA2" s="138"/>
      <c r="CB2" s="138"/>
      <c r="CC2" s="24"/>
      <c r="CD2" s="24"/>
      <c r="CE2" s="24"/>
      <c r="CF2" s="24"/>
      <c r="CG2" s="24"/>
      <c r="CH2" s="140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</row>
    <row r="3" spans="1:98" s="8" customFormat="1" ht="48.75" customHeight="1" x14ac:dyDescent="0.2">
      <c r="A3" s="1703" t="s">
        <v>10</v>
      </c>
      <c r="B3" s="1706" t="s">
        <v>11</v>
      </c>
      <c r="C3" s="1706" t="s">
        <v>22</v>
      </c>
      <c r="D3" s="1721" t="s">
        <v>12</v>
      </c>
      <c r="E3" s="1721"/>
      <c r="F3" s="1721"/>
      <c r="G3" s="1721"/>
      <c r="H3" s="1721"/>
      <c r="I3" s="1721"/>
      <c r="J3" s="1721"/>
      <c r="K3" s="1721"/>
      <c r="L3" s="1721"/>
      <c r="M3" s="1721"/>
      <c r="N3" s="1721"/>
      <c r="O3" s="1721"/>
      <c r="P3" s="1721"/>
      <c r="Q3" s="1721"/>
      <c r="R3" s="1706" t="s">
        <v>20</v>
      </c>
      <c r="S3" s="1717" t="s">
        <v>17</v>
      </c>
      <c r="T3" s="1718"/>
      <c r="U3" s="1718"/>
      <c r="V3" s="1718"/>
      <c r="W3" s="1718"/>
      <c r="X3" s="1718"/>
      <c r="Y3" s="1718"/>
      <c r="Z3" s="1718"/>
      <c r="AA3" s="1718"/>
      <c r="AB3" s="1718"/>
      <c r="AC3" s="1718"/>
      <c r="AD3" s="1718"/>
      <c r="AE3" s="1719"/>
      <c r="AF3" s="1720" t="s">
        <v>6</v>
      </c>
      <c r="AG3" s="1720"/>
      <c r="AH3" s="1720"/>
      <c r="AI3" s="1720"/>
      <c r="AJ3" s="1720"/>
      <c r="AK3" s="1720"/>
      <c r="AL3" s="1720"/>
      <c r="AM3" s="1720"/>
      <c r="AN3" s="1720"/>
      <c r="AO3" s="1720"/>
      <c r="AP3" s="1720"/>
      <c r="AQ3" s="1720"/>
      <c r="AR3" s="1720"/>
      <c r="AS3" s="1720"/>
      <c r="AT3" s="1722" t="s">
        <v>41</v>
      </c>
      <c r="AU3" s="1723"/>
      <c r="AV3" s="1723"/>
      <c r="AW3" s="1723"/>
      <c r="AX3" s="1723"/>
      <c r="AY3" s="1723"/>
      <c r="AZ3" s="1723"/>
      <c r="BA3" s="1723"/>
      <c r="BB3" s="1723"/>
      <c r="BC3" s="1723"/>
      <c r="BD3" s="1723"/>
      <c r="BE3" s="1723"/>
      <c r="BF3" s="1724"/>
      <c r="BG3" s="1706" t="s">
        <v>38</v>
      </c>
      <c r="BH3" s="1706" t="s">
        <v>256</v>
      </c>
      <c r="BI3" s="1709" t="s">
        <v>39</v>
      </c>
      <c r="BJ3" s="135"/>
      <c r="BK3" s="135"/>
      <c r="BL3" s="135"/>
      <c r="BM3" s="135"/>
      <c r="BN3" s="135"/>
      <c r="BO3" s="1733" t="s">
        <v>41</v>
      </c>
      <c r="BP3" s="1734"/>
      <c r="BQ3" s="1734"/>
      <c r="BR3" s="1734"/>
      <c r="BS3" s="1734"/>
      <c r="BT3" s="1734"/>
      <c r="BU3" s="1734"/>
      <c r="BV3" s="1734"/>
      <c r="BW3" s="1734"/>
      <c r="BX3" s="1734"/>
      <c r="BY3" s="1734"/>
      <c r="BZ3" s="1734"/>
      <c r="CA3" s="1734"/>
      <c r="CB3" s="1734"/>
      <c r="CC3" s="1734"/>
      <c r="CD3" s="1734"/>
      <c r="CE3" s="1734"/>
      <c r="CF3" s="1734"/>
      <c r="CG3" s="1734"/>
      <c r="CH3" s="1734"/>
      <c r="CI3" s="1734"/>
      <c r="CJ3" s="1734"/>
      <c r="CK3" s="1734"/>
      <c r="CL3" s="1734"/>
      <c r="CM3" s="1734"/>
      <c r="CN3" s="1735"/>
    </row>
    <row r="4" spans="1:98" s="8" customFormat="1" ht="48.75" customHeight="1" x14ac:dyDescent="0.2">
      <c r="A4" s="1704"/>
      <c r="B4" s="1707"/>
      <c r="C4" s="1707"/>
      <c r="D4" s="1728" t="s">
        <v>18</v>
      </c>
      <c r="E4" s="1714" t="s">
        <v>19</v>
      </c>
      <c r="F4" s="1715"/>
      <c r="G4" s="1715"/>
      <c r="H4" s="1715"/>
      <c r="I4" s="1715"/>
      <c r="J4" s="1715"/>
      <c r="K4" s="1715"/>
      <c r="L4" s="1715"/>
      <c r="M4" s="1715"/>
      <c r="N4" s="1715"/>
      <c r="O4" s="1715"/>
      <c r="P4" s="1715"/>
      <c r="Q4" s="1715"/>
      <c r="R4" s="1707"/>
      <c r="S4" s="1712" t="s">
        <v>18</v>
      </c>
      <c r="T4" s="1714" t="s">
        <v>19</v>
      </c>
      <c r="U4" s="1715"/>
      <c r="V4" s="1715"/>
      <c r="W4" s="1715"/>
      <c r="X4" s="1715"/>
      <c r="Y4" s="1715"/>
      <c r="Z4" s="1715"/>
      <c r="AA4" s="1715"/>
      <c r="AB4" s="1715"/>
      <c r="AC4" s="1715"/>
      <c r="AD4" s="1715"/>
      <c r="AE4" s="1716"/>
      <c r="AF4" s="1712" t="s">
        <v>18</v>
      </c>
      <c r="AG4" s="1714" t="s">
        <v>19</v>
      </c>
      <c r="AH4" s="1715"/>
      <c r="AI4" s="1715"/>
      <c r="AJ4" s="1715"/>
      <c r="AK4" s="1715"/>
      <c r="AL4" s="1715"/>
      <c r="AM4" s="1715"/>
      <c r="AN4" s="1715"/>
      <c r="AO4" s="1715"/>
      <c r="AP4" s="1715"/>
      <c r="AQ4" s="1715"/>
      <c r="AR4" s="1715"/>
      <c r="AS4" s="1716"/>
      <c r="AT4" s="1725"/>
      <c r="AU4" s="1726"/>
      <c r="AV4" s="1726"/>
      <c r="AW4" s="1726"/>
      <c r="AX4" s="1726"/>
      <c r="AY4" s="1726"/>
      <c r="AZ4" s="1726"/>
      <c r="BA4" s="1726"/>
      <c r="BB4" s="1726"/>
      <c r="BC4" s="1726"/>
      <c r="BD4" s="1726"/>
      <c r="BE4" s="1726"/>
      <c r="BF4" s="1727"/>
      <c r="BG4" s="1707"/>
      <c r="BH4" s="1707"/>
      <c r="BI4" s="1710"/>
      <c r="BJ4" s="135"/>
      <c r="BK4" s="1736">
        <f>SUM(BK6/60)</f>
        <v>0</v>
      </c>
      <c r="BL4" s="1736"/>
      <c r="BM4" s="1736"/>
      <c r="BN4" s="23"/>
      <c r="BO4" s="1737" t="s">
        <v>686</v>
      </c>
      <c r="BP4" s="1738"/>
      <c r="BQ4" s="1738"/>
      <c r="BR4" s="1738"/>
      <c r="BS4" s="1738"/>
      <c r="BT4" s="1738"/>
      <c r="BU4" s="1738"/>
      <c r="BV4" s="1738"/>
      <c r="BW4" s="1738"/>
      <c r="BX4" s="1738"/>
      <c r="BY4" s="1738"/>
      <c r="BZ4" s="1738"/>
      <c r="CA4" s="1739"/>
      <c r="CB4" s="1740" t="s">
        <v>687</v>
      </c>
      <c r="CC4" s="1741"/>
      <c r="CD4" s="1741"/>
      <c r="CE4" s="1741"/>
      <c r="CF4" s="1741"/>
      <c r="CG4" s="1741"/>
      <c r="CH4" s="1741"/>
      <c r="CI4" s="1741"/>
      <c r="CJ4" s="1741"/>
      <c r="CK4" s="1741"/>
      <c r="CL4" s="1741"/>
      <c r="CM4" s="1741"/>
      <c r="CN4" s="1742"/>
    </row>
    <row r="5" spans="1:98" s="6" customFormat="1" ht="28.5" customHeight="1" x14ac:dyDescent="0.2">
      <c r="A5" s="1705"/>
      <c r="B5" s="1708"/>
      <c r="C5" s="1708"/>
      <c r="D5" s="1729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21</v>
      </c>
      <c r="R5" s="1708"/>
      <c r="S5" s="1713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713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13</v>
      </c>
      <c r="AT5" s="173">
        <v>1</v>
      </c>
      <c r="AU5" s="173">
        <v>2</v>
      </c>
      <c r="AV5" s="173">
        <v>3</v>
      </c>
      <c r="AW5" s="173">
        <v>4</v>
      </c>
      <c r="AX5" s="173">
        <v>5</v>
      </c>
      <c r="AY5" s="173">
        <v>6</v>
      </c>
      <c r="AZ5" s="173">
        <v>7</v>
      </c>
      <c r="BA5" s="173">
        <v>8</v>
      </c>
      <c r="BB5" s="173">
        <v>9</v>
      </c>
      <c r="BC5" s="173">
        <v>10</v>
      </c>
      <c r="BD5" s="173">
        <v>11</v>
      </c>
      <c r="BE5" s="173">
        <v>12</v>
      </c>
      <c r="BF5" s="26" t="s">
        <v>13</v>
      </c>
      <c r="BG5" s="1708"/>
      <c r="BH5" s="1708"/>
      <c r="BI5" s="1711"/>
      <c r="BJ5" s="7"/>
      <c r="BK5" s="1743" t="s">
        <v>19</v>
      </c>
      <c r="BL5" s="1744"/>
      <c r="BM5" s="1745"/>
      <c r="BN5" s="621"/>
      <c r="BO5" s="173">
        <v>1</v>
      </c>
      <c r="BP5" s="173">
        <v>2</v>
      </c>
      <c r="BQ5" s="173">
        <v>3</v>
      </c>
      <c r="BR5" s="173">
        <v>4</v>
      </c>
      <c r="BS5" s="173">
        <v>5</v>
      </c>
      <c r="BT5" s="173">
        <v>6</v>
      </c>
      <c r="BU5" s="173">
        <v>7</v>
      </c>
      <c r="BV5" s="173">
        <v>8</v>
      </c>
      <c r="BW5" s="173">
        <v>9</v>
      </c>
      <c r="BX5" s="173">
        <v>10</v>
      </c>
      <c r="BY5" s="173">
        <v>11</v>
      </c>
      <c r="BZ5" s="173">
        <v>12</v>
      </c>
      <c r="CA5" s="26" t="s">
        <v>13</v>
      </c>
      <c r="CB5" s="173">
        <v>1</v>
      </c>
      <c r="CC5" s="173">
        <v>2</v>
      </c>
      <c r="CD5" s="173">
        <v>3</v>
      </c>
      <c r="CE5" s="173">
        <v>4</v>
      </c>
      <c r="CF5" s="173">
        <v>5</v>
      </c>
      <c r="CG5" s="173">
        <v>6</v>
      </c>
      <c r="CH5" s="173">
        <v>7</v>
      </c>
      <c r="CI5" s="173">
        <v>8</v>
      </c>
      <c r="CJ5" s="173">
        <v>9</v>
      </c>
      <c r="CK5" s="173">
        <v>10</v>
      </c>
      <c r="CL5" s="173">
        <v>11</v>
      </c>
      <c r="CM5" s="173">
        <v>12</v>
      </c>
      <c r="CN5" s="26" t="s">
        <v>13</v>
      </c>
    </row>
    <row r="6" spans="1:98" s="37" customFormat="1" ht="24.75" customHeight="1" x14ac:dyDescent="0.2">
      <c r="A6" s="28">
        <v>1</v>
      </c>
      <c r="B6" s="141" t="s">
        <v>89</v>
      </c>
      <c r="C6" s="29" t="s">
        <v>25</v>
      </c>
      <c r="D6" s="552">
        <v>50</v>
      </c>
      <c r="E6" s="225">
        <v>50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1">
        <f>SUM(E6:P6)</f>
        <v>50</v>
      </c>
      <c r="R6" s="83" t="s">
        <v>31</v>
      </c>
      <c r="S6" s="142">
        <v>10300</v>
      </c>
      <c r="T6" s="628">
        <v>9000</v>
      </c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9">
        <f>SUM(Q6*S6)</f>
        <v>515000</v>
      </c>
      <c r="AG6" s="70">
        <f>T6*E6</f>
        <v>450000</v>
      </c>
      <c r="AH6" s="70">
        <f>U6*F6</f>
        <v>0</v>
      </c>
      <c r="AI6" s="70">
        <f t="shared" ref="AG6:AI9" si="0">V6*G6</f>
        <v>0</v>
      </c>
      <c r="AJ6" s="70">
        <f t="shared" ref="AJ6:AR9" si="1">W6*H6</f>
        <v>0</v>
      </c>
      <c r="AK6" s="70">
        <f t="shared" si="1"/>
        <v>0</v>
      </c>
      <c r="AL6" s="70">
        <f t="shared" si="1"/>
        <v>0</v>
      </c>
      <c r="AM6" s="70">
        <f t="shared" si="1"/>
        <v>0</v>
      </c>
      <c r="AN6" s="70">
        <f t="shared" si="1"/>
        <v>0</v>
      </c>
      <c r="AO6" s="70">
        <f t="shared" si="1"/>
        <v>0</v>
      </c>
      <c r="AP6" s="70">
        <f t="shared" si="1"/>
        <v>0</v>
      </c>
      <c r="AQ6" s="70">
        <f t="shared" si="1"/>
        <v>0</v>
      </c>
      <c r="AR6" s="70">
        <f t="shared" si="1"/>
        <v>0</v>
      </c>
      <c r="AS6" s="71">
        <f>SUM(AG6:AR6)</f>
        <v>450000</v>
      </c>
      <c r="AT6" s="70">
        <f>SUM(AG6*4%)</f>
        <v>18000</v>
      </c>
      <c r="AU6" s="70">
        <f t="shared" ref="AU6:AV9" si="2">SUM(AH6*14%)</f>
        <v>0</v>
      </c>
      <c r="AV6" s="70">
        <f t="shared" si="2"/>
        <v>0</v>
      </c>
      <c r="AW6" s="70">
        <f>SUM(AJ6*4%)</f>
        <v>0</v>
      </c>
      <c r="AX6" s="70">
        <f t="shared" ref="AX6:BE9" si="3">SUM(AK6*14%)</f>
        <v>0</v>
      </c>
      <c r="AY6" s="70">
        <f t="shared" si="3"/>
        <v>0</v>
      </c>
      <c r="AZ6" s="70">
        <f t="shared" si="3"/>
        <v>0</v>
      </c>
      <c r="BA6" s="70">
        <f t="shared" si="3"/>
        <v>0</v>
      </c>
      <c r="BB6" s="70">
        <f t="shared" si="3"/>
        <v>0</v>
      </c>
      <c r="BC6" s="70">
        <f t="shared" si="3"/>
        <v>0</v>
      </c>
      <c r="BD6" s="70">
        <f t="shared" si="3"/>
        <v>0</v>
      </c>
      <c r="BE6" s="70">
        <f t="shared" si="3"/>
        <v>0</v>
      </c>
      <c r="BF6" s="72">
        <f>SUM(AT6:BE6)</f>
        <v>18000</v>
      </c>
      <c r="BG6" s="73">
        <f>AF6-AS6-BF6</f>
        <v>47000</v>
      </c>
      <c r="BH6" s="74">
        <f>S6*D6</f>
        <v>515000</v>
      </c>
      <c r="BI6" s="75">
        <f>BH6-AS6-BF6</f>
        <v>47000</v>
      </c>
      <c r="BJ6" s="891">
        <f>SUM(Q6/D6)</f>
        <v>1</v>
      </c>
      <c r="BK6" s="1081"/>
      <c r="BL6" s="1081"/>
      <c r="BM6" s="1083"/>
      <c r="BN6" s="1084"/>
      <c r="BO6" s="862"/>
      <c r="BP6" s="862"/>
      <c r="BQ6" s="862"/>
      <c r="BR6" s="862"/>
      <c r="BS6" s="862"/>
      <c r="BT6" s="862"/>
      <c r="BU6" s="862"/>
      <c r="BV6" s="862"/>
      <c r="BW6" s="1081">
        <f t="shared" ref="BW6:BW7" si="4">SUM(AN6*12.5%)</f>
        <v>0</v>
      </c>
      <c r="BX6" s="862"/>
      <c r="BY6" s="862"/>
      <c r="BZ6" s="862"/>
      <c r="CA6" s="73">
        <f t="shared" ref="CA6" si="5">SUM(BO6:BZ6)</f>
        <v>0</v>
      </c>
      <c r="CB6" s="862"/>
      <c r="CC6" s="862"/>
      <c r="CD6" s="862"/>
      <c r="CE6" s="862"/>
      <c r="CF6" s="862"/>
      <c r="CG6" s="862"/>
      <c r="CH6" s="862"/>
      <c r="CI6" s="862"/>
      <c r="CJ6" s="1081"/>
      <c r="CK6" s="862"/>
      <c r="CL6" s="862"/>
      <c r="CM6" s="862"/>
      <c r="CN6" s="73">
        <f t="shared" ref="CN6:CN7" si="6">SUM(CB6:CM6)</f>
        <v>0</v>
      </c>
    </row>
    <row r="7" spans="1:98" s="37" customFormat="1" ht="24.75" customHeight="1" x14ac:dyDescent="0.2">
      <c r="A7" s="28">
        <v>2</v>
      </c>
      <c r="B7" s="141" t="s">
        <v>90</v>
      </c>
      <c r="C7" s="29" t="s">
        <v>25</v>
      </c>
      <c r="D7" s="552">
        <v>50</v>
      </c>
      <c r="E7" s="225">
        <v>50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>
        <f>SUM(E7:P7)</f>
        <v>50</v>
      </c>
      <c r="R7" s="83" t="s">
        <v>31</v>
      </c>
      <c r="S7" s="142">
        <v>28500</v>
      </c>
      <c r="T7" s="628">
        <v>25000</v>
      </c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629">
        <f t="shared" ref="AF7:AF9" si="7">SUM(Q7*S7)</f>
        <v>1425000</v>
      </c>
      <c r="AG7" s="70">
        <f t="shared" si="0"/>
        <v>1250000</v>
      </c>
      <c r="AH7" s="70">
        <f t="shared" si="0"/>
        <v>0</v>
      </c>
      <c r="AI7" s="70">
        <f t="shared" si="0"/>
        <v>0</v>
      </c>
      <c r="AJ7" s="70">
        <f t="shared" si="1"/>
        <v>0</v>
      </c>
      <c r="AK7" s="70">
        <f t="shared" si="1"/>
        <v>0</v>
      </c>
      <c r="AL7" s="70">
        <f t="shared" si="1"/>
        <v>0</v>
      </c>
      <c r="AM7" s="70">
        <f t="shared" si="1"/>
        <v>0</v>
      </c>
      <c r="AN7" s="70">
        <f t="shared" si="1"/>
        <v>0</v>
      </c>
      <c r="AO7" s="70">
        <f t="shared" si="1"/>
        <v>0</v>
      </c>
      <c r="AP7" s="70">
        <f t="shared" si="1"/>
        <v>0</v>
      </c>
      <c r="AQ7" s="70">
        <f t="shared" si="1"/>
        <v>0</v>
      </c>
      <c r="AR7" s="70">
        <f t="shared" si="1"/>
        <v>0</v>
      </c>
      <c r="AS7" s="71">
        <f>SUM(AG7:AR7)</f>
        <v>1250000</v>
      </c>
      <c r="AT7" s="70">
        <f t="shared" ref="AT7:AT9" si="8">SUM(AG7*4%)</f>
        <v>50000</v>
      </c>
      <c r="AU7" s="70">
        <f t="shared" si="2"/>
        <v>0</v>
      </c>
      <c r="AV7" s="70">
        <f t="shared" si="2"/>
        <v>0</v>
      </c>
      <c r="AW7" s="70">
        <f>SUM(AJ7*4%)</f>
        <v>0</v>
      </c>
      <c r="AX7" s="70">
        <f t="shared" si="3"/>
        <v>0</v>
      </c>
      <c r="AY7" s="70">
        <f t="shared" si="3"/>
        <v>0</v>
      </c>
      <c r="AZ7" s="70">
        <f t="shared" si="3"/>
        <v>0</v>
      </c>
      <c r="BA7" s="70">
        <f t="shared" si="3"/>
        <v>0</v>
      </c>
      <c r="BB7" s="70">
        <f t="shared" si="3"/>
        <v>0</v>
      </c>
      <c r="BC7" s="70">
        <f t="shared" si="3"/>
        <v>0</v>
      </c>
      <c r="BD7" s="70">
        <f t="shared" si="3"/>
        <v>0</v>
      </c>
      <c r="BE7" s="70">
        <f t="shared" si="3"/>
        <v>0</v>
      </c>
      <c r="BF7" s="72">
        <f>SUM(AT7:BE7)</f>
        <v>50000</v>
      </c>
      <c r="BG7" s="73">
        <f>AF7-AS7-BF7</f>
        <v>125000</v>
      </c>
      <c r="BH7" s="74">
        <f>S7*D7</f>
        <v>1425000</v>
      </c>
      <c r="BI7" s="75">
        <f>BH7-AS7-BF7</f>
        <v>125000</v>
      </c>
      <c r="BJ7" s="891">
        <f>SUM(Q7/D7)</f>
        <v>1</v>
      </c>
      <c r="BK7" s="1081"/>
      <c r="BL7" s="1081"/>
      <c r="BM7" s="1083"/>
      <c r="BN7" s="1084"/>
      <c r="BO7" s="862"/>
      <c r="BP7" s="862"/>
      <c r="BQ7" s="862"/>
      <c r="BR7" s="862"/>
      <c r="BS7" s="862"/>
      <c r="BT7" s="862"/>
      <c r="BU7" s="862"/>
      <c r="BV7" s="862"/>
      <c r="BW7" s="1081">
        <f t="shared" si="4"/>
        <v>0</v>
      </c>
      <c r="BX7" s="862"/>
      <c r="BY7" s="862"/>
      <c r="BZ7" s="862"/>
      <c r="CA7" s="73">
        <f t="shared" ref="CA7" si="9">SUM(BO7:BZ7)</f>
        <v>0</v>
      </c>
      <c r="CB7" s="862"/>
      <c r="CC7" s="862"/>
      <c r="CD7" s="862"/>
      <c r="CE7" s="862"/>
      <c r="CF7" s="862"/>
      <c r="CG7" s="862"/>
      <c r="CH7" s="862"/>
      <c r="CI7" s="862"/>
      <c r="CJ7" s="1081"/>
      <c r="CK7" s="862"/>
      <c r="CL7" s="862"/>
      <c r="CM7" s="862"/>
      <c r="CN7" s="73">
        <f t="shared" si="6"/>
        <v>0</v>
      </c>
    </row>
    <row r="8" spans="1:98" s="37" customFormat="1" ht="24.75" customHeight="1" x14ac:dyDescent="0.2">
      <c r="A8" s="28">
        <v>3</v>
      </c>
      <c r="B8" s="141" t="s">
        <v>91</v>
      </c>
      <c r="C8" s="29" t="s">
        <v>25</v>
      </c>
      <c r="D8" s="552">
        <v>4</v>
      </c>
      <c r="E8" s="225">
        <v>4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1">
        <f>SUM(E8:P8)</f>
        <v>4</v>
      </c>
      <c r="R8" s="83" t="s">
        <v>2</v>
      </c>
      <c r="S8" s="142">
        <v>49900</v>
      </c>
      <c r="T8" s="628">
        <v>45000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629">
        <f t="shared" si="7"/>
        <v>199600</v>
      </c>
      <c r="AG8" s="70">
        <f t="shared" si="0"/>
        <v>180000</v>
      </c>
      <c r="AH8" s="70">
        <f t="shared" si="0"/>
        <v>0</v>
      </c>
      <c r="AI8" s="70">
        <f t="shared" si="0"/>
        <v>0</v>
      </c>
      <c r="AJ8" s="70">
        <f t="shared" si="1"/>
        <v>0</v>
      </c>
      <c r="AK8" s="70">
        <f t="shared" si="1"/>
        <v>0</v>
      </c>
      <c r="AL8" s="70">
        <f t="shared" si="1"/>
        <v>0</v>
      </c>
      <c r="AM8" s="70">
        <f t="shared" si="1"/>
        <v>0</v>
      </c>
      <c r="AN8" s="70">
        <f t="shared" si="1"/>
        <v>0</v>
      </c>
      <c r="AO8" s="70">
        <f t="shared" si="1"/>
        <v>0</v>
      </c>
      <c r="AP8" s="70">
        <f t="shared" si="1"/>
        <v>0</v>
      </c>
      <c r="AQ8" s="70">
        <f t="shared" si="1"/>
        <v>0</v>
      </c>
      <c r="AR8" s="70">
        <f t="shared" si="1"/>
        <v>0</v>
      </c>
      <c r="AS8" s="71">
        <f>SUM(AG8:AR8)</f>
        <v>180000</v>
      </c>
      <c r="AT8" s="70">
        <f t="shared" si="8"/>
        <v>7200</v>
      </c>
      <c r="AU8" s="70">
        <f t="shared" si="2"/>
        <v>0</v>
      </c>
      <c r="AV8" s="70">
        <f t="shared" si="2"/>
        <v>0</v>
      </c>
      <c r="AW8" s="70">
        <f>SUM(AJ8*4%)</f>
        <v>0</v>
      </c>
      <c r="AX8" s="70">
        <f t="shared" si="3"/>
        <v>0</v>
      </c>
      <c r="AY8" s="70">
        <f t="shared" si="3"/>
        <v>0</v>
      </c>
      <c r="AZ8" s="70">
        <f t="shared" si="3"/>
        <v>0</v>
      </c>
      <c r="BA8" s="70">
        <f t="shared" si="3"/>
        <v>0</v>
      </c>
      <c r="BB8" s="70">
        <f t="shared" si="3"/>
        <v>0</v>
      </c>
      <c r="BC8" s="70">
        <f t="shared" si="3"/>
        <v>0</v>
      </c>
      <c r="BD8" s="70">
        <f t="shared" si="3"/>
        <v>0</v>
      </c>
      <c r="BE8" s="70">
        <f t="shared" si="3"/>
        <v>0</v>
      </c>
      <c r="BF8" s="72">
        <f>SUM(AT8:BE8)</f>
        <v>7200</v>
      </c>
      <c r="BG8" s="73">
        <f>AF8-AS8-BF8</f>
        <v>12400</v>
      </c>
      <c r="BH8" s="74">
        <f>S8*D8</f>
        <v>199600</v>
      </c>
      <c r="BI8" s="75">
        <f>BH8-AS8-BF8</f>
        <v>12400</v>
      </c>
      <c r="BJ8" s="891">
        <f>SUM(Q8/D8)</f>
        <v>1</v>
      </c>
      <c r="BK8" s="1081"/>
      <c r="BL8" s="1081"/>
      <c r="BM8" s="1083"/>
      <c r="BN8" s="1084"/>
      <c r="BO8" s="862"/>
      <c r="BP8" s="862"/>
      <c r="BQ8" s="862"/>
      <c r="BR8" s="862"/>
      <c r="BS8" s="862"/>
      <c r="BT8" s="862"/>
      <c r="BU8" s="862"/>
      <c r="BV8" s="862"/>
      <c r="BW8" s="1081">
        <f t="shared" ref="BW8:BW10" si="10">SUM(AN8*12.5%)</f>
        <v>0</v>
      </c>
      <c r="BX8" s="862"/>
      <c r="BY8" s="862"/>
      <c r="BZ8" s="862"/>
      <c r="CA8" s="73">
        <f t="shared" ref="CA8:CA10" si="11">SUM(BO8:BZ8)</f>
        <v>0</v>
      </c>
      <c r="CB8" s="862"/>
      <c r="CC8" s="862"/>
      <c r="CD8" s="862"/>
      <c r="CE8" s="862"/>
      <c r="CF8" s="862"/>
      <c r="CG8" s="862"/>
      <c r="CH8" s="862"/>
      <c r="CI8" s="862"/>
      <c r="CJ8" s="1081"/>
      <c r="CK8" s="862"/>
      <c r="CL8" s="862"/>
      <c r="CM8" s="862"/>
      <c r="CN8" s="73">
        <f t="shared" ref="CN8:CN10" si="12">SUM(CB8:CM8)</f>
        <v>0</v>
      </c>
    </row>
    <row r="9" spans="1:98" s="37" customFormat="1" ht="24.75" customHeight="1" thickBot="1" x14ac:dyDescent="0.25">
      <c r="A9" s="28">
        <v>4</v>
      </c>
      <c r="B9" s="141" t="s">
        <v>92</v>
      </c>
      <c r="C9" s="29" t="s">
        <v>25</v>
      </c>
      <c r="D9" s="892">
        <v>2</v>
      </c>
      <c r="E9" s="892">
        <v>2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1">
        <f>SUM(E9:P9)</f>
        <v>2</v>
      </c>
      <c r="R9" s="83" t="s">
        <v>16</v>
      </c>
      <c r="S9" s="142">
        <v>35000</v>
      </c>
      <c r="T9" s="628">
        <v>30000</v>
      </c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629">
        <f t="shared" si="7"/>
        <v>70000</v>
      </c>
      <c r="AG9" s="70">
        <f t="shared" si="0"/>
        <v>60000</v>
      </c>
      <c r="AH9" s="70">
        <f t="shared" si="0"/>
        <v>0</v>
      </c>
      <c r="AI9" s="70">
        <f t="shared" si="0"/>
        <v>0</v>
      </c>
      <c r="AJ9" s="70">
        <f t="shared" si="1"/>
        <v>0</v>
      </c>
      <c r="AK9" s="70">
        <f t="shared" si="1"/>
        <v>0</v>
      </c>
      <c r="AL9" s="70">
        <f t="shared" si="1"/>
        <v>0</v>
      </c>
      <c r="AM9" s="70">
        <f t="shared" si="1"/>
        <v>0</v>
      </c>
      <c r="AN9" s="70">
        <f t="shared" si="1"/>
        <v>0</v>
      </c>
      <c r="AO9" s="70">
        <f t="shared" si="1"/>
        <v>0</v>
      </c>
      <c r="AP9" s="70">
        <f t="shared" si="1"/>
        <v>0</v>
      </c>
      <c r="AQ9" s="70">
        <f t="shared" si="1"/>
        <v>0</v>
      </c>
      <c r="AR9" s="70">
        <f t="shared" si="1"/>
        <v>0</v>
      </c>
      <c r="AS9" s="71">
        <f>SUM(AG9:AR9)</f>
        <v>60000</v>
      </c>
      <c r="AT9" s="70">
        <f t="shared" si="8"/>
        <v>2400</v>
      </c>
      <c r="AU9" s="70">
        <f t="shared" si="2"/>
        <v>0</v>
      </c>
      <c r="AV9" s="70">
        <f t="shared" si="2"/>
        <v>0</v>
      </c>
      <c r="AW9" s="70">
        <f>SUM(AJ9*4%)</f>
        <v>0</v>
      </c>
      <c r="AX9" s="70">
        <f t="shared" si="3"/>
        <v>0</v>
      </c>
      <c r="AY9" s="70">
        <f t="shared" si="3"/>
        <v>0</v>
      </c>
      <c r="AZ9" s="70">
        <f t="shared" si="3"/>
        <v>0</v>
      </c>
      <c r="BA9" s="70">
        <f t="shared" si="3"/>
        <v>0</v>
      </c>
      <c r="BB9" s="70">
        <f t="shared" si="3"/>
        <v>0</v>
      </c>
      <c r="BC9" s="70">
        <f t="shared" si="3"/>
        <v>0</v>
      </c>
      <c r="BD9" s="70">
        <f t="shared" si="3"/>
        <v>0</v>
      </c>
      <c r="BE9" s="70">
        <f t="shared" si="3"/>
        <v>0</v>
      </c>
      <c r="BF9" s="72">
        <f>SUM(AT9:BE9)</f>
        <v>2400</v>
      </c>
      <c r="BG9" s="73">
        <f>AF9-AS9-BF9</f>
        <v>7600</v>
      </c>
      <c r="BH9" s="74">
        <f>S9*D9</f>
        <v>70000</v>
      </c>
      <c r="BI9" s="75">
        <f>BH9-AS9-BF9</f>
        <v>7600</v>
      </c>
      <c r="BJ9" s="891">
        <f>SUM(Q9/D9)</f>
        <v>1</v>
      </c>
      <c r="BK9" s="1081"/>
      <c r="BL9" s="1081"/>
      <c r="BM9" s="1083"/>
      <c r="BN9" s="1084"/>
      <c r="BO9" s="862"/>
      <c r="BP9" s="862"/>
      <c r="BQ9" s="862"/>
      <c r="BR9" s="862"/>
      <c r="BS9" s="862"/>
      <c r="BT9" s="862"/>
      <c r="BU9" s="862"/>
      <c r="BV9" s="862"/>
      <c r="BW9" s="1081">
        <f t="shared" si="10"/>
        <v>0</v>
      </c>
      <c r="BX9" s="862"/>
      <c r="BY9" s="862"/>
      <c r="BZ9" s="862"/>
      <c r="CA9" s="73">
        <f t="shared" si="11"/>
        <v>0</v>
      </c>
      <c r="CB9" s="862"/>
      <c r="CC9" s="862"/>
      <c r="CD9" s="862"/>
      <c r="CE9" s="862"/>
      <c r="CF9" s="862"/>
      <c r="CG9" s="862"/>
      <c r="CH9" s="862"/>
      <c r="CI9" s="862"/>
      <c r="CJ9" s="1081"/>
      <c r="CK9" s="862"/>
      <c r="CL9" s="862"/>
      <c r="CM9" s="862"/>
      <c r="CN9" s="73">
        <f t="shared" si="12"/>
        <v>0</v>
      </c>
    </row>
    <row r="10" spans="1:98" s="38" customFormat="1" ht="24.75" customHeight="1" thickBot="1" x14ac:dyDescent="0.25">
      <c r="A10" s="554">
        <v>1</v>
      </c>
      <c r="B10" s="44" t="s">
        <v>4</v>
      </c>
      <c r="C10" s="44"/>
      <c r="D10" s="227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7"/>
      <c r="R10" s="77"/>
      <c r="S10" s="45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78">
        <f t="shared" ref="AF10:BF10" si="13">SUM(AF6:AF9)</f>
        <v>2209600</v>
      </c>
      <c r="AG10" s="78">
        <f>SUM(AG6:AG9)-900000</f>
        <v>1040000</v>
      </c>
      <c r="AH10" s="78">
        <f t="shared" si="13"/>
        <v>0</v>
      </c>
      <c r="AI10" s="78">
        <f t="shared" si="13"/>
        <v>0</v>
      </c>
      <c r="AJ10" s="78">
        <f t="shared" ref="AJ10:AR10" si="14">SUM(AJ6:AJ9)</f>
        <v>0</v>
      </c>
      <c r="AK10" s="78">
        <f t="shared" si="14"/>
        <v>0</v>
      </c>
      <c r="AL10" s="78">
        <f t="shared" si="14"/>
        <v>0</v>
      </c>
      <c r="AM10" s="78">
        <f t="shared" si="14"/>
        <v>0</v>
      </c>
      <c r="AN10" s="78">
        <f t="shared" si="14"/>
        <v>0</v>
      </c>
      <c r="AO10" s="78">
        <f t="shared" si="14"/>
        <v>0</v>
      </c>
      <c r="AP10" s="78">
        <f t="shared" si="14"/>
        <v>0</v>
      </c>
      <c r="AQ10" s="78">
        <f t="shared" si="14"/>
        <v>0</v>
      </c>
      <c r="AR10" s="78">
        <f t="shared" si="14"/>
        <v>0</v>
      </c>
      <c r="AS10" s="78">
        <f>SUM(AS6:AS9)-900000</f>
        <v>1040000</v>
      </c>
      <c r="AT10" s="78">
        <f t="shared" si="13"/>
        <v>77600</v>
      </c>
      <c r="AU10" s="78">
        <f t="shared" si="13"/>
        <v>0</v>
      </c>
      <c r="AV10" s="78">
        <f t="shared" si="13"/>
        <v>0</v>
      </c>
      <c r="AW10" s="78">
        <f t="shared" ref="AW10:BE10" si="15">SUM(AW6:AW9)</f>
        <v>0</v>
      </c>
      <c r="AX10" s="78">
        <f t="shared" si="15"/>
        <v>0</v>
      </c>
      <c r="AY10" s="78">
        <f t="shared" si="15"/>
        <v>0</v>
      </c>
      <c r="AZ10" s="78">
        <f t="shared" si="15"/>
        <v>0</v>
      </c>
      <c r="BA10" s="78">
        <f t="shared" si="15"/>
        <v>0</v>
      </c>
      <c r="BB10" s="78">
        <f t="shared" si="15"/>
        <v>0</v>
      </c>
      <c r="BC10" s="78">
        <f t="shared" si="15"/>
        <v>0</v>
      </c>
      <c r="BD10" s="78">
        <f t="shared" si="15"/>
        <v>0</v>
      </c>
      <c r="BE10" s="78">
        <f t="shared" si="15"/>
        <v>0</v>
      </c>
      <c r="BF10" s="78">
        <f t="shared" si="13"/>
        <v>77600</v>
      </c>
      <c r="BG10" s="79">
        <f>SUM(BG6:BG9)</f>
        <v>192000</v>
      </c>
      <c r="BH10" s="78">
        <f>SUM(BH6:BH9)</f>
        <v>2209600</v>
      </c>
      <c r="BI10" s="78">
        <f>SUM(BI6:BI9)</f>
        <v>192000</v>
      </c>
      <c r="BJ10" s="176">
        <f>SUM(BJ6:BJ9)/4</f>
        <v>1</v>
      </c>
      <c r="BK10" s="1081"/>
      <c r="BL10" s="1081"/>
      <c r="BM10" s="1083"/>
      <c r="BN10" s="1084"/>
      <c r="BO10" s="862"/>
      <c r="BP10" s="862"/>
      <c r="BQ10" s="862"/>
      <c r="BR10" s="862"/>
      <c r="BS10" s="862"/>
      <c r="BT10" s="862"/>
      <c r="BU10" s="862"/>
      <c r="BV10" s="862"/>
      <c r="BW10" s="1081">
        <f t="shared" si="10"/>
        <v>0</v>
      </c>
      <c r="BX10" s="862"/>
      <c r="BY10" s="862"/>
      <c r="BZ10" s="862"/>
      <c r="CA10" s="73">
        <f t="shared" si="11"/>
        <v>0</v>
      </c>
      <c r="CB10" s="862"/>
      <c r="CC10" s="862"/>
      <c r="CD10" s="862"/>
      <c r="CE10" s="862"/>
      <c r="CF10" s="862"/>
      <c r="CG10" s="862"/>
      <c r="CH10" s="862"/>
      <c r="CI10" s="862"/>
      <c r="CJ10" s="1081"/>
      <c r="CK10" s="862"/>
      <c r="CL10" s="862"/>
      <c r="CM10" s="862"/>
      <c r="CN10" s="73">
        <f t="shared" si="12"/>
        <v>0</v>
      </c>
    </row>
    <row r="11" spans="1:98" s="20" customFormat="1" ht="24.75" customHeight="1" x14ac:dyDescent="0.2">
      <c r="A11" s="50"/>
      <c r="D11" s="22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AE11" s="40"/>
      <c r="AS11" s="51"/>
      <c r="BF11" s="52">
        <f>SUM(AS10+BF10)</f>
        <v>1117600</v>
      </c>
      <c r="BG11" s="53">
        <f>AF10-AS10-BF10</f>
        <v>1092000</v>
      </c>
      <c r="BH11" s="54">
        <f>SUM(BI10+AS10+BF10)</f>
        <v>1309600</v>
      </c>
      <c r="BI11" s="55">
        <f>SUM(BG10)</f>
        <v>192000</v>
      </c>
      <c r="BJ11" s="40" t="s">
        <v>38</v>
      </c>
      <c r="BK11" s="40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</row>
    <row r="12" spans="1:98" s="20" customFormat="1" ht="24.75" customHeight="1" x14ac:dyDescent="0.2">
      <c r="A12" s="553"/>
      <c r="D12" s="22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T12" s="174"/>
      <c r="AE12" s="40"/>
      <c r="AS12" s="40"/>
      <c r="AT12" s="123">
        <f>SUM(AG10+AT10)</f>
        <v>1117600</v>
      </c>
      <c r="AU12" s="123">
        <f t="shared" ref="AU12:BE12" si="16">SUM(AH10+AU10)</f>
        <v>0</v>
      </c>
      <c r="AV12" s="123">
        <f t="shared" si="16"/>
        <v>0</v>
      </c>
      <c r="AW12" s="123">
        <f t="shared" si="16"/>
        <v>0</v>
      </c>
      <c r="AX12" s="123">
        <f t="shared" si="16"/>
        <v>0</v>
      </c>
      <c r="AY12" s="123">
        <f t="shared" si="16"/>
        <v>0</v>
      </c>
      <c r="AZ12" s="123">
        <f t="shared" si="16"/>
        <v>0</v>
      </c>
      <c r="BA12" s="123">
        <f t="shared" si="16"/>
        <v>0</v>
      </c>
      <c r="BB12" s="123">
        <f t="shared" si="16"/>
        <v>0</v>
      </c>
      <c r="BC12" s="123">
        <f t="shared" si="16"/>
        <v>0</v>
      </c>
      <c r="BD12" s="123">
        <f t="shared" si="16"/>
        <v>0</v>
      </c>
      <c r="BE12" s="123">
        <f t="shared" si="16"/>
        <v>0</v>
      </c>
      <c r="BF12" s="123">
        <f>SUM(AT12:BE12)</f>
        <v>1117600</v>
      </c>
      <c r="BG12" s="40"/>
      <c r="BH12" s="56"/>
      <c r="BI12" s="57">
        <f>SUM(BI10-BI11)</f>
        <v>0</v>
      </c>
      <c r="BJ12" s="40" t="s">
        <v>37</v>
      </c>
      <c r="BK12" s="40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</row>
    <row r="13" spans="1:98" s="20" customFormat="1" ht="16.5" customHeight="1" x14ac:dyDescent="0.2">
      <c r="A13" s="1730" t="s">
        <v>8</v>
      </c>
      <c r="B13" s="1731"/>
      <c r="C13" s="124" t="s">
        <v>299</v>
      </c>
      <c r="D13" s="224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7"/>
      <c r="AF13" s="23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8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8"/>
      <c r="BG13" s="138"/>
      <c r="BH13" s="135"/>
      <c r="BI13" s="139"/>
      <c r="BJ13" s="135"/>
      <c r="BK13" s="136"/>
      <c r="BL13" s="136"/>
      <c r="BM13" s="136"/>
      <c r="BN13" s="136"/>
      <c r="BO13" s="136"/>
      <c r="BP13" s="137"/>
      <c r="BQ13" s="136"/>
      <c r="BR13" s="136"/>
      <c r="BS13" s="136"/>
      <c r="BT13" s="136"/>
      <c r="BU13" s="136"/>
      <c r="BV13" s="138"/>
      <c r="BW13" s="138"/>
      <c r="BX13" s="138"/>
      <c r="BY13" s="135"/>
      <c r="BZ13" s="139"/>
      <c r="CA13" s="138"/>
      <c r="CB13" s="138"/>
      <c r="CC13" s="24"/>
      <c r="CD13" s="24"/>
      <c r="CE13" s="24"/>
      <c r="CF13" s="24"/>
      <c r="CG13" s="24"/>
      <c r="CH13" s="140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</row>
    <row r="14" spans="1:98" s="8" customFormat="1" ht="48.75" customHeight="1" x14ac:dyDescent="0.2">
      <c r="A14" s="1703" t="s">
        <v>10</v>
      </c>
      <c r="B14" s="1706" t="s">
        <v>11</v>
      </c>
      <c r="C14" s="1706" t="s">
        <v>22</v>
      </c>
      <c r="D14" s="1721" t="s">
        <v>12</v>
      </c>
      <c r="E14" s="1721"/>
      <c r="F14" s="1721"/>
      <c r="G14" s="1721"/>
      <c r="H14" s="1721"/>
      <c r="I14" s="1721"/>
      <c r="J14" s="1721"/>
      <c r="K14" s="1721"/>
      <c r="L14" s="1721"/>
      <c r="M14" s="1721"/>
      <c r="N14" s="1721"/>
      <c r="O14" s="1721"/>
      <c r="P14" s="1721"/>
      <c r="Q14" s="1721"/>
      <c r="R14" s="1706" t="s">
        <v>20</v>
      </c>
      <c r="S14" s="1717" t="s">
        <v>17</v>
      </c>
      <c r="T14" s="1718"/>
      <c r="U14" s="1718"/>
      <c r="V14" s="1718"/>
      <c r="W14" s="1718"/>
      <c r="X14" s="1718"/>
      <c r="Y14" s="1718"/>
      <c r="Z14" s="1718"/>
      <c r="AA14" s="1718"/>
      <c r="AB14" s="1718"/>
      <c r="AC14" s="1718"/>
      <c r="AD14" s="1718"/>
      <c r="AE14" s="1719"/>
      <c r="AF14" s="1720" t="s">
        <v>6</v>
      </c>
      <c r="AG14" s="1720"/>
      <c r="AH14" s="1720"/>
      <c r="AI14" s="1720"/>
      <c r="AJ14" s="1720"/>
      <c r="AK14" s="1720"/>
      <c r="AL14" s="1720"/>
      <c r="AM14" s="1720"/>
      <c r="AN14" s="1720"/>
      <c r="AO14" s="1720"/>
      <c r="AP14" s="1720"/>
      <c r="AQ14" s="1720"/>
      <c r="AR14" s="1720"/>
      <c r="AS14" s="1720"/>
      <c r="AT14" s="1722" t="s">
        <v>41</v>
      </c>
      <c r="AU14" s="1723"/>
      <c r="AV14" s="1723"/>
      <c r="AW14" s="1723"/>
      <c r="AX14" s="1723"/>
      <c r="AY14" s="1723"/>
      <c r="AZ14" s="1723"/>
      <c r="BA14" s="1723"/>
      <c r="BB14" s="1723"/>
      <c r="BC14" s="1723"/>
      <c r="BD14" s="1723"/>
      <c r="BE14" s="1723"/>
      <c r="BF14" s="1724"/>
      <c r="BG14" s="1706" t="s">
        <v>38</v>
      </c>
      <c r="BH14" s="1706" t="s">
        <v>256</v>
      </c>
      <c r="BI14" s="1709" t="s">
        <v>39</v>
      </c>
      <c r="BJ14" s="135"/>
      <c r="BK14" s="135"/>
      <c r="BL14" s="135"/>
      <c r="BM14" s="135"/>
      <c r="BN14" s="135"/>
      <c r="BO14" s="1733" t="s">
        <v>41</v>
      </c>
      <c r="BP14" s="1734"/>
      <c r="BQ14" s="1734"/>
      <c r="BR14" s="1734"/>
      <c r="BS14" s="1734"/>
      <c r="BT14" s="1734"/>
      <c r="BU14" s="1734"/>
      <c r="BV14" s="1734"/>
      <c r="BW14" s="1734"/>
      <c r="BX14" s="1734"/>
      <c r="BY14" s="1734"/>
      <c r="BZ14" s="1734"/>
      <c r="CA14" s="1734"/>
      <c r="CB14" s="1734"/>
      <c r="CC14" s="1734"/>
      <c r="CD14" s="1734"/>
      <c r="CE14" s="1734"/>
      <c r="CF14" s="1734"/>
      <c r="CG14" s="1734"/>
      <c r="CH14" s="1734"/>
      <c r="CI14" s="1734"/>
      <c r="CJ14" s="1734"/>
      <c r="CK14" s="1734"/>
      <c r="CL14" s="1734"/>
      <c r="CM14" s="1734"/>
      <c r="CN14" s="1735"/>
    </row>
    <row r="15" spans="1:98" s="8" customFormat="1" ht="48.75" customHeight="1" x14ac:dyDescent="0.2">
      <c r="A15" s="1704"/>
      <c r="B15" s="1707"/>
      <c r="C15" s="1707"/>
      <c r="D15" s="1728" t="s">
        <v>18</v>
      </c>
      <c r="E15" s="1714" t="s">
        <v>19</v>
      </c>
      <c r="F15" s="1715"/>
      <c r="G15" s="1715"/>
      <c r="H15" s="1715"/>
      <c r="I15" s="1715"/>
      <c r="J15" s="1715"/>
      <c r="K15" s="1715"/>
      <c r="L15" s="1715"/>
      <c r="M15" s="1715"/>
      <c r="N15" s="1715"/>
      <c r="O15" s="1715"/>
      <c r="P15" s="1715"/>
      <c r="Q15" s="1715"/>
      <c r="R15" s="1707"/>
      <c r="S15" s="1712" t="s">
        <v>18</v>
      </c>
      <c r="T15" s="1714" t="s">
        <v>19</v>
      </c>
      <c r="U15" s="1715"/>
      <c r="V15" s="1715"/>
      <c r="W15" s="1715"/>
      <c r="X15" s="1715"/>
      <c r="Y15" s="1715"/>
      <c r="Z15" s="1715"/>
      <c r="AA15" s="1715"/>
      <c r="AB15" s="1715"/>
      <c r="AC15" s="1715"/>
      <c r="AD15" s="1715"/>
      <c r="AE15" s="1716"/>
      <c r="AF15" s="1712" t="s">
        <v>18</v>
      </c>
      <c r="AG15" s="1714" t="s">
        <v>19</v>
      </c>
      <c r="AH15" s="1715"/>
      <c r="AI15" s="1715"/>
      <c r="AJ15" s="1715"/>
      <c r="AK15" s="1715"/>
      <c r="AL15" s="1715"/>
      <c r="AM15" s="1715"/>
      <c r="AN15" s="1715"/>
      <c r="AO15" s="1715"/>
      <c r="AP15" s="1715"/>
      <c r="AQ15" s="1715"/>
      <c r="AR15" s="1715"/>
      <c r="AS15" s="1716"/>
      <c r="AT15" s="1725"/>
      <c r="AU15" s="1726"/>
      <c r="AV15" s="1726"/>
      <c r="AW15" s="1726"/>
      <c r="AX15" s="1726"/>
      <c r="AY15" s="1726"/>
      <c r="AZ15" s="1726"/>
      <c r="BA15" s="1726"/>
      <c r="BB15" s="1726"/>
      <c r="BC15" s="1726"/>
      <c r="BD15" s="1726"/>
      <c r="BE15" s="1726"/>
      <c r="BF15" s="1727"/>
      <c r="BG15" s="1707"/>
      <c r="BH15" s="1707"/>
      <c r="BI15" s="1710"/>
      <c r="BJ15" s="135"/>
      <c r="BK15" s="1736">
        <f>SUM(BK17/60)</f>
        <v>0</v>
      </c>
      <c r="BL15" s="1736"/>
      <c r="BM15" s="1736"/>
      <c r="BN15" s="23"/>
      <c r="BO15" s="1737" t="s">
        <v>686</v>
      </c>
      <c r="BP15" s="1738"/>
      <c r="BQ15" s="1738"/>
      <c r="BR15" s="1738"/>
      <c r="BS15" s="1738"/>
      <c r="BT15" s="1738"/>
      <c r="BU15" s="1738"/>
      <c r="BV15" s="1738"/>
      <c r="BW15" s="1738"/>
      <c r="BX15" s="1738"/>
      <c r="BY15" s="1738"/>
      <c r="BZ15" s="1738"/>
      <c r="CA15" s="1739"/>
      <c r="CB15" s="1740" t="s">
        <v>687</v>
      </c>
      <c r="CC15" s="1741"/>
      <c r="CD15" s="1741"/>
      <c r="CE15" s="1741"/>
      <c r="CF15" s="1741"/>
      <c r="CG15" s="1741"/>
      <c r="CH15" s="1741"/>
      <c r="CI15" s="1741"/>
      <c r="CJ15" s="1741"/>
      <c r="CK15" s="1741"/>
      <c r="CL15" s="1741"/>
      <c r="CM15" s="1741"/>
      <c r="CN15" s="1742"/>
    </row>
    <row r="16" spans="1:98" s="6" customFormat="1" ht="28.5" customHeight="1" x14ac:dyDescent="0.2">
      <c r="A16" s="1705"/>
      <c r="B16" s="1708"/>
      <c r="C16" s="1708"/>
      <c r="D16" s="1729"/>
      <c r="E16" s="26">
        <v>1</v>
      </c>
      <c r="F16" s="26">
        <v>2</v>
      </c>
      <c r="G16" s="26">
        <v>3</v>
      </c>
      <c r="H16" s="26">
        <v>4</v>
      </c>
      <c r="I16" s="26">
        <v>5</v>
      </c>
      <c r="J16" s="26">
        <v>6</v>
      </c>
      <c r="K16" s="26">
        <v>7</v>
      </c>
      <c r="L16" s="26">
        <v>8</v>
      </c>
      <c r="M16" s="26">
        <v>9</v>
      </c>
      <c r="N16" s="26">
        <v>10</v>
      </c>
      <c r="O16" s="26">
        <v>11</v>
      </c>
      <c r="P16" s="26">
        <v>12</v>
      </c>
      <c r="Q16" s="26" t="s">
        <v>21</v>
      </c>
      <c r="R16" s="1708"/>
      <c r="S16" s="1713"/>
      <c r="T16" s="26">
        <v>1</v>
      </c>
      <c r="U16" s="26">
        <v>2</v>
      </c>
      <c r="V16" s="26">
        <v>3</v>
      </c>
      <c r="W16" s="26">
        <v>4</v>
      </c>
      <c r="X16" s="26">
        <v>5</v>
      </c>
      <c r="Y16" s="26">
        <v>6</v>
      </c>
      <c r="Z16" s="26">
        <v>7</v>
      </c>
      <c r="AA16" s="26">
        <v>8</v>
      </c>
      <c r="AB16" s="26">
        <v>9</v>
      </c>
      <c r="AC16" s="26">
        <v>10</v>
      </c>
      <c r="AD16" s="26">
        <v>11</v>
      </c>
      <c r="AE16" s="26">
        <v>12</v>
      </c>
      <c r="AF16" s="1713"/>
      <c r="AG16" s="26">
        <v>1</v>
      </c>
      <c r="AH16" s="26">
        <v>2</v>
      </c>
      <c r="AI16" s="26">
        <v>3</v>
      </c>
      <c r="AJ16" s="26">
        <v>4</v>
      </c>
      <c r="AK16" s="26">
        <v>5</v>
      </c>
      <c r="AL16" s="26">
        <v>6</v>
      </c>
      <c r="AM16" s="26">
        <v>7</v>
      </c>
      <c r="AN16" s="26">
        <v>8</v>
      </c>
      <c r="AO16" s="26">
        <v>9</v>
      </c>
      <c r="AP16" s="26">
        <v>10</v>
      </c>
      <c r="AQ16" s="26">
        <v>11</v>
      </c>
      <c r="AR16" s="26">
        <v>12</v>
      </c>
      <c r="AS16" s="26" t="s">
        <v>13</v>
      </c>
      <c r="AT16" s="173">
        <v>1</v>
      </c>
      <c r="AU16" s="173">
        <v>2</v>
      </c>
      <c r="AV16" s="173">
        <v>3</v>
      </c>
      <c r="AW16" s="173">
        <v>4</v>
      </c>
      <c r="AX16" s="173">
        <v>5</v>
      </c>
      <c r="AY16" s="173">
        <v>6</v>
      </c>
      <c r="AZ16" s="173">
        <v>7</v>
      </c>
      <c r="BA16" s="173">
        <v>8</v>
      </c>
      <c r="BB16" s="173">
        <v>9</v>
      </c>
      <c r="BC16" s="173">
        <v>10</v>
      </c>
      <c r="BD16" s="173">
        <v>11</v>
      </c>
      <c r="BE16" s="173">
        <v>12</v>
      </c>
      <c r="BF16" s="26" t="s">
        <v>13</v>
      </c>
      <c r="BG16" s="1708"/>
      <c r="BH16" s="1708"/>
      <c r="BI16" s="1711"/>
      <c r="BJ16" s="7"/>
      <c r="BK16" s="1743" t="s">
        <v>19</v>
      </c>
      <c r="BL16" s="1744"/>
      <c r="BM16" s="1745"/>
      <c r="BN16" s="621"/>
      <c r="BO16" s="173">
        <v>1</v>
      </c>
      <c r="BP16" s="173">
        <v>2</v>
      </c>
      <c r="BQ16" s="173">
        <v>3</v>
      </c>
      <c r="BR16" s="173">
        <v>4</v>
      </c>
      <c r="BS16" s="173">
        <v>5</v>
      </c>
      <c r="BT16" s="173">
        <v>6</v>
      </c>
      <c r="BU16" s="173">
        <v>7</v>
      </c>
      <c r="BV16" s="173">
        <v>8</v>
      </c>
      <c r="BW16" s="173">
        <v>9</v>
      </c>
      <c r="BX16" s="173">
        <v>10</v>
      </c>
      <c r="BY16" s="173">
        <v>11</v>
      </c>
      <c r="BZ16" s="173">
        <v>12</v>
      </c>
      <c r="CA16" s="26" t="s">
        <v>13</v>
      </c>
      <c r="CB16" s="173">
        <v>1</v>
      </c>
      <c r="CC16" s="173">
        <v>2</v>
      </c>
      <c r="CD16" s="173">
        <v>3</v>
      </c>
      <c r="CE16" s="173">
        <v>4</v>
      </c>
      <c r="CF16" s="173">
        <v>5</v>
      </c>
      <c r="CG16" s="173">
        <v>6</v>
      </c>
      <c r="CH16" s="173">
        <v>7</v>
      </c>
      <c r="CI16" s="173">
        <v>8</v>
      </c>
      <c r="CJ16" s="173">
        <v>9</v>
      </c>
      <c r="CK16" s="173">
        <v>10</v>
      </c>
      <c r="CL16" s="173">
        <v>11</v>
      </c>
      <c r="CM16" s="173">
        <v>12</v>
      </c>
      <c r="CN16" s="26" t="s">
        <v>13</v>
      </c>
    </row>
    <row r="17" spans="1:98" s="7" customFormat="1" ht="24.75" customHeight="1" x14ac:dyDescent="0.2">
      <c r="A17" s="41">
        <v>1</v>
      </c>
      <c r="B17" s="141" t="s">
        <v>89</v>
      </c>
      <c r="C17" s="29" t="s">
        <v>25</v>
      </c>
      <c r="D17" s="552">
        <v>50</v>
      </c>
      <c r="E17" s="1203">
        <v>50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>SUM(E17:P17)</f>
        <v>50</v>
      </c>
      <c r="R17" s="83" t="s">
        <v>31</v>
      </c>
      <c r="S17" s="142">
        <v>10300</v>
      </c>
      <c r="T17" s="1140">
        <v>10300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69">
        <f t="shared" ref="AF17:AF20" si="17">SUM(Q17*S17)</f>
        <v>515000</v>
      </c>
      <c r="AG17" s="1081">
        <f t="shared" ref="AG17:AI20" si="18">T17*E17</f>
        <v>515000</v>
      </c>
      <c r="AH17" s="70">
        <f t="shared" si="18"/>
        <v>0</v>
      </c>
      <c r="AI17" s="70">
        <f t="shared" si="18"/>
        <v>0</v>
      </c>
      <c r="AJ17" s="70">
        <f t="shared" ref="AJ17:AR20" si="19">W17*H17</f>
        <v>0</v>
      </c>
      <c r="AK17" s="70">
        <f t="shared" si="19"/>
        <v>0</v>
      </c>
      <c r="AL17" s="70">
        <f t="shared" si="19"/>
        <v>0</v>
      </c>
      <c r="AM17" s="70">
        <f t="shared" si="19"/>
        <v>0</v>
      </c>
      <c r="AN17" s="70">
        <f t="shared" si="19"/>
        <v>0</v>
      </c>
      <c r="AO17" s="70">
        <f t="shared" si="19"/>
        <v>0</v>
      </c>
      <c r="AP17" s="70">
        <f t="shared" si="19"/>
        <v>0</v>
      </c>
      <c r="AQ17" s="70">
        <f t="shared" si="19"/>
        <v>0</v>
      </c>
      <c r="AR17" s="70">
        <f t="shared" si="19"/>
        <v>0</v>
      </c>
      <c r="AS17" s="71">
        <f>SUM(AG17:AR17)</f>
        <v>515000</v>
      </c>
      <c r="AT17" s="70">
        <f>AG17*12%</f>
        <v>61800</v>
      </c>
      <c r="AU17" s="70">
        <f t="shared" ref="AU17:AV20" si="20">SUM(AH17*14%)</f>
        <v>0</v>
      </c>
      <c r="AV17" s="70">
        <f t="shared" si="20"/>
        <v>0</v>
      </c>
      <c r="AW17" s="70">
        <f t="shared" ref="AW17:BE20" si="21">SUM(AJ17*14%)</f>
        <v>0</v>
      </c>
      <c r="AX17" s="70">
        <f t="shared" si="21"/>
        <v>0</v>
      </c>
      <c r="AY17" s="70">
        <f t="shared" si="21"/>
        <v>0</v>
      </c>
      <c r="AZ17" s="70">
        <f t="shared" si="21"/>
        <v>0</v>
      </c>
      <c r="BA17" s="70">
        <f t="shared" si="21"/>
        <v>0</v>
      </c>
      <c r="BB17" s="70">
        <f t="shared" si="21"/>
        <v>0</v>
      </c>
      <c r="BC17" s="70">
        <f t="shared" si="21"/>
        <v>0</v>
      </c>
      <c r="BD17" s="70">
        <f t="shared" si="21"/>
        <v>0</v>
      </c>
      <c r="BE17" s="70">
        <f t="shared" si="21"/>
        <v>0</v>
      </c>
      <c r="BF17" s="72">
        <f>SUM(AT17:BE17)</f>
        <v>61800</v>
      </c>
      <c r="BG17" s="73">
        <f>AF17-AS17</f>
        <v>0</v>
      </c>
      <c r="BH17" s="74">
        <f>S17*D17</f>
        <v>515000</v>
      </c>
      <c r="BI17" s="75">
        <f>BH17-AS17</f>
        <v>0</v>
      </c>
      <c r="BJ17" s="175">
        <f>SUM(Q17/D17)</f>
        <v>1</v>
      </c>
      <c r="BK17" s="1081"/>
      <c r="BL17" s="1081"/>
      <c r="BM17" s="1083"/>
      <c r="BN17" s="1084"/>
      <c r="BO17" s="862"/>
      <c r="BP17" s="862"/>
      <c r="BQ17" s="862"/>
      <c r="BR17" s="862"/>
      <c r="BS17" s="862"/>
      <c r="BT17" s="862"/>
      <c r="BU17" s="862"/>
      <c r="BV17" s="862"/>
      <c r="BW17" s="1081">
        <f t="shared" ref="BW17:BW18" si="22">SUM(AN17*12.5%)</f>
        <v>0</v>
      </c>
      <c r="BX17" s="862"/>
      <c r="BY17" s="862"/>
      <c r="BZ17" s="862"/>
      <c r="CA17" s="73">
        <f t="shared" ref="CA17" si="23">SUM(BO17:BZ17)</f>
        <v>0</v>
      </c>
      <c r="CB17" s="862"/>
      <c r="CC17" s="862"/>
      <c r="CD17" s="862"/>
      <c r="CE17" s="862"/>
      <c r="CF17" s="862"/>
      <c r="CG17" s="862"/>
      <c r="CH17" s="862"/>
      <c r="CI17" s="862"/>
      <c r="CJ17" s="1081"/>
      <c r="CK17" s="862"/>
      <c r="CL17" s="862"/>
      <c r="CM17" s="862"/>
      <c r="CN17" s="73">
        <f t="shared" ref="CN17:CN18" si="24">SUM(CB17:CM17)</f>
        <v>0</v>
      </c>
    </row>
    <row r="18" spans="1:98" s="7" customFormat="1" ht="24.75" customHeight="1" x14ac:dyDescent="0.2">
      <c r="A18" s="41">
        <v>2</v>
      </c>
      <c r="B18" s="141" t="s">
        <v>90</v>
      </c>
      <c r="C18" s="29" t="s">
        <v>25</v>
      </c>
      <c r="D18" s="552">
        <v>50</v>
      </c>
      <c r="E18" s="1203">
        <v>50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>
        <f>SUM(E18:P18)</f>
        <v>50</v>
      </c>
      <c r="R18" s="83" t="s">
        <v>31</v>
      </c>
      <c r="S18" s="142">
        <v>28500</v>
      </c>
      <c r="T18" s="1140">
        <v>28000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69">
        <f t="shared" si="17"/>
        <v>1425000</v>
      </c>
      <c r="AG18" s="1081">
        <f t="shared" si="18"/>
        <v>1400000</v>
      </c>
      <c r="AH18" s="70">
        <f t="shared" si="18"/>
        <v>0</v>
      </c>
      <c r="AI18" s="70">
        <f t="shared" si="18"/>
        <v>0</v>
      </c>
      <c r="AJ18" s="70">
        <f t="shared" si="19"/>
        <v>0</v>
      </c>
      <c r="AK18" s="70">
        <f t="shared" si="19"/>
        <v>0</v>
      </c>
      <c r="AL18" s="70">
        <f t="shared" si="19"/>
        <v>0</v>
      </c>
      <c r="AM18" s="70">
        <f t="shared" si="19"/>
        <v>0</v>
      </c>
      <c r="AN18" s="70">
        <f t="shared" si="19"/>
        <v>0</v>
      </c>
      <c r="AO18" s="70">
        <f t="shared" si="19"/>
        <v>0</v>
      </c>
      <c r="AP18" s="70">
        <f t="shared" si="19"/>
        <v>0</v>
      </c>
      <c r="AQ18" s="70">
        <f t="shared" si="19"/>
        <v>0</v>
      </c>
      <c r="AR18" s="70">
        <f t="shared" si="19"/>
        <v>0</v>
      </c>
      <c r="AS18" s="71">
        <f>SUM(AG18:AR18)</f>
        <v>1400000</v>
      </c>
      <c r="AT18" s="70">
        <f>AG18*12%</f>
        <v>168000</v>
      </c>
      <c r="AU18" s="70">
        <f t="shared" si="20"/>
        <v>0</v>
      </c>
      <c r="AV18" s="70">
        <f t="shared" si="20"/>
        <v>0</v>
      </c>
      <c r="AW18" s="70">
        <f t="shared" si="21"/>
        <v>0</v>
      </c>
      <c r="AX18" s="70">
        <f t="shared" si="21"/>
        <v>0</v>
      </c>
      <c r="AY18" s="70">
        <f t="shared" si="21"/>
        <v>0</v>
      </c>
      <c r="AZ18" s="70">
        <f t="shared" si="21"/>
        <v>0</v>
      </c>
      <c r="BA18" s="70">
        <f t="shared" si="21"/>
        <v>0</v>
      </c>
      <c r="BB18" s="70">
        <f t="shared" si="21"/>
        <v>0</v>
      </c>
      <c r="BC18" s="70">
        <f t="shared" si="21"/>
        <v>0</v>
      </c>
      <c r="BD18" s="70">
        <f t="shared" si="21"/>
        <v>0</v>
      </c>
      <c r="BE18" s="70">
        <f t="shared" si="21"/>
        <v>0</v>
      </c>
      <c r="BF18" s="72">
        <f>SUM(AT18:BE18)</f>
        <v>168000</v>
      </c>
      <c r="BG18" s="73">
        <f>AF18-AS18</f>
        <v>25000</v>
      </c>
      <c r="BH18" s="74">
        <f>S18*D18</f>
        <v>1425000</v>
      </c>
      <c r="BI18" s="75">
        <f>BH18-AS18</f>
        <v>25000</v>
      </c>
      <c r="BJ18" s="175">
        <f>SUM(Q18/D18)</f>
        <v>1</v>
      </c>
      <c r="BK18" s="1081">
        <f>AG18-AT18</f>
        <v>1232000</v>
      </c>
      <c r="BL18" s="1081">
        <f>50*24000</f>
        <v>1200000</v>
      </c>
      <c r="BM18" s="1083">
        <f>BK18-BL18</f>
        <v>32000</v>
      </c>
      <c r="BN18" s="1084"/>
      <c r="BO18" s="862"/>
      <c r="BP18" s="862"/>
      <c r="BQ18" s="862"/>
      <c r="BR18" s="862"/>
      <c r="BS18" s="862"/>
      <c r="BT18" s="862"/>
      <c r="BU18" s="862"/>
      <c r="BV18" s="862"/>
      <c r="BW18" s="1081">
        <f t="shared" si="22"/>
        <v>0</v>
      </c>
      <c r="BX18" s="862"/>
      <c r="BY18" s="862"/>
      <c r="BZ18" s="862"/>
      <c r="CA18" s="73">
        <f t="shared" ref="CA18" si="25">SUM(BO18:BZ18)</f>
        <v>0</v>
      </c>
      <c r="CB18" s="862"/>
      <c r="CC18" s="862"/>
      <c r="CD18" s="862"/>
      <c r="CE18" s="862"/>
      <c r="CF18" s="862"/>
      <c r="CG18" s="862"/>
      <c r="CH18" s="862"/>
      <c r="CI18" s="862"/>
      <c r="CJ18" s="1081"/>
      <c r="CK18" s="862"/>
      <c r="CL18" s="862"/>
      <c r="CM18" s="862"/>
      <c r="CN18" s="73">
        <f t="shared" si="24"/>
        <v>0</v>
      </c>
    </row>
    <row r="19" spans="1:98" s="7" customFormat="1" ht="24.75" customHeight="1" x14ac:dyDescent="0.2">
      <c r="A19" s="41">
        <v>3</v>
      </c>
      <c r="B19" s="141" t="s">
        <v>91</v>
      </c>
      <c r="C19" s="29" t="s">
        <v>25</v>
      </c>
      <c r="D19" s="552">
        <v>4</v>
      </c>
      <c r="E19" s="1203">
        <v>4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1">
        <f>SUM(E19:P19)</f>
        <v>4</v>
      </c>
      <c r="R19" s="83" t="s">
        <v>2</v>
      </c>
      <c r="S19" s="142">
        <v>49900</v>
      </c>
      <c r="T19" s="1140">
        <v>49900</v>
      </c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69">
        <f t="shared" si="17"/>
        <v>199600</v>
      </c>
      <c r="AG19" s="1081">
        <f t="shared" si="18"/>
        <v>199600</v>
      </c>
      <c r="AH19" s="70">
        <f t="shared" si="18"/>
        <v>0</v>
      </c>
      <c r="AI19" s="70">
        <f t="shared" si="18"/>
        <v>0</v>
      </c>
      <c r="AJ19" s="70">
        <f t="shared" si="19"/>
        <v>0</v>
      </c>
      <c r="AK19" s="70">
        <f t="shared" si="19"/>
        <v>0</v>
      </c>
      <c r="AL19" s="70">
        <f t="shared" si="19"/>
        <v>0</v>
      </c>
      <c r="AM19" s="70">
        <f t="shared" si="19"/>
        <v>0</v>
      </c>
      <c r="AN19" s="70">
        <f t="shared" si="19"/>
        <v>0</v>
      </c>
      <c r="AO19" s="70">
        <f t="shared" si="19"/>
        <v>0</v>
      </c>
      <c r="AP19" s="70">
        <f t="shared" si="19"/>
        <v>0</v>
      </c>
      <c r="AQ19" s="70">
        <f t="shared" si="19"/>
        <v>0</v>
      </c>
      <c r="AR19" s="70">
        <f t="shared" si="19"/>
        <v>0</v>
      </c>
      <c r="AS19" s="71">
        <f>SUM(AG19:AR19)</f>
        <v>199600</v>
      </c>
      <c r="AT19" s="70"/>
      <c r="AU19" s="70">
        <f t="shared" si="20"/>
        <v>0</v>
      </c>
      <c r="AV19" s="70">
        <f t="shared" si="20"/>
        <v>0</v>
      </c>
      <c r="AW19" s="70">
        <f t="shared" si="21"/>
        <v>0</v>
      </c>
      <c r="AX19" s="70">
        <f t="shared" si="21"/>
        <v>0</v>
      </c>
      <c r="AY19" s="70">
        <f t="shared" si="21"/>
        <v>0</v>
      </c>
      <c r="AZ19" s="70">
        <f t="shared" si="21"/>
        <v>0</v>
      </c>
      <c r="BA19" s="70">
        <f t="shared" si="21"/>
        <v>0</v>
      </c>
      <c r="BB19" s="70">
        <f t="shared" si="21"/>
        <v>0</v>
      </c>
      <c r="BC19" s="70">
        <f t="shared" si="21"/>
        <v>0</v>
      </c>
      <c r="BD19" s="70">
        <f t="shared" si="21"/>
        <v>0</v>
      </c>
      <c r="BE19" s="70">
        <f t="shared" si="21"/>
        <v>0</v>
      </c>
      <c r="BF19" s="72">
        <f>SUM(AT19:BE19)</f>
        <v>0</v>
      </c>
      <c r="BG19" s="73">
        <f>AF19-AS19-BF19</f>
        <v>0</v>
      </c>
      <c r="BH19" s="74">
        <f>S19*D19</f>
        <v>199600</v>
      </c>
      <c r="BI19" s="75">
        <f>BH19-AS19-BF19</f>
        <v>0</v>
      </c>
      <c r="BJ19" s="175">
        <f>SUM(Q19/D19)</f>
        <v>1</v>
      </c>
      <c r="BK19" s="1081"/>
      <c r="BL19" s="1081"/>
      <c r="BM19" s="1083"/>
      <c r="BN19" s="1084"/>
      <c r="BO19" s="862"/>
      <c r="BP19" s="862"/>
      <c r="BQ19" s="862"/>
      <c r="BR19" s="862"/>
      <c r="BS19" s="862"/>
      <c r="BT19" s="862"/>
      <c r="BU19" s="862"/>
      <c r="BV19" s="862"/>
      <c r="BW19" s="1081">
        <f t="shared" ref="BW19:BW21" si="26">SUM(AN19*12.5%)</f>
        <v>0</v>
      </c>
      <c r="BX19" s="862"/>
      <c r="BY19" s="862"/>
      <c r="BZ19" s="862"/>
      <c r="CA19" s="73">
        <f t="shared" ref="CA19:CA21" si="27">SUM(BO19:BZ19)</f>
        <v>0</v>
      </c>
      <c r="CB19" s="862"/>
      <c r="CC19" s="862"/>
      <c r="CD19" s="862"/>
      <c r="CE19" s="862"/>
      <c r="CF19" s="862"/>
      <c r="CG19" s="862"/>
      <c r="CH19" s="862"/>
      <c r="CI19" s="862"/>
      <c r="CJ19" s="1081"/>
      <c r="CK19" s="862"/>
      <c r="CL19" s="862"/>
      <c r="CM19" s="862"/>
      <c r="CN19" s="73">
        <f t="shared" ref="CN19:CN21" si="28">SUM(CB19:CM19)</f>
        <v>0</v>
      </c>
    </row>
    <row r="20" spans="1:98" s="7" customFormat="1" ht="24.75" customHeight="1" thickBot="1" x14ac:dyDescent="0.25">
      <c r="A20" s="41">
        <v>4</v>
      </c>
      <c r="B20" s="141" t="s">
        <v>92</v>
      </c>
      <c r="C20" s="29" t="s">
        <v>25</v>
      </c>
      <c r="D20" s="226">
        <v>2</v>
      </c>
      <c r="E20" s="837">
        <v>2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1">
        <f>SUM(E20:P20)</f>
        <v>2</v>
      </c>
      <c r="R20" s="83" t="s">
        <v>16</v>
      </c>
      <c r="S20" s="142">
        <v>35000</v>
      </c>
      <c r="T20" s="1140">
        <v>35000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69">
        <f t="shared" si="17"/>
        <v>70000</v>
      </c>
      <c r="AG20" s="1081">
        <f t="shared" si="18"/>
        <v>70000</v>
      </c>
      <c r="AH20" s="70">
        <f t="shared" si="18"/>
        <v>0</v>
      </c>
      <c r="AI20" s="70">
        <f t="shared" si="18"/>
        <v>0</v>
      </c>
      <c r="AJ20" s="70">
        <f t="shared" si="19"/>
        <v>0</v>
      </c>
      <c r="AK20" s="70">
        <f t="shared" si="19"/>
        <v>0</v>
      </c>
      <c r="AL20" s="70">
        <f t="shared" si="19"/>
        <v>0</v>
      </c>
      <c r="AM20" s="70">
        <f t="shared" si="19"/>
        <v>0</v>
      </c>
      <c r="AN20" s="70">
        <f t="shared" si="19"/>
        <v>0</v>
      </c>
      <c r="AO20" s="70">
        <f t="shared" si="19"/>
        <v>0</v>
      </c>
      <c r="AP20" s="70">
        <f t="shared" si="19"/>
        <v>0</v>
      </c>
      <c r="AQ20" s="70">
        <f t="shared" si="19"/>
        <v>0</v>
      </c>
      <c r="AR20" s="70">
        <f t="shared" si="19"/>
        <v>0</v>
      </c>
      <c r="AS20" s="71">
        <f>SUM(AG20:AR20)</f>
        <v>70000</v>
      </c>
      <c r="AT20" s="70">
        <f>AG20*2%</f>
        <v>1400</v>
      </c>
      <c r="AU20" s="70">
        <f t="shared" si="20"/>
        <v>0</v>
      </c>
      <c r="AV20" s="70">
        <f t="shared" si="20"/>
        <v>0</v>
      </c>
      <c r="AW20" s="70">
        <f t="shared" si="21"/>
        <v>0</v>
      </c>
      <c r="AX20" s="70">
        <f t="shared" si="21"/>
        <v>0</v>
      </c>
      <c r="AY20" s="70">
        <f t="shared" si="21"/>
        <v>0</v>
      </c>
      <c r="AZ20" s="70">
        <f t="shared" si="21"/>
        <v>0</v>
      </c>
      <c r="BA20" s="70">
        <f t="shared" si="21"/>
        <v>0</v>
      </c>
      <c r="BB20" s="70">
        <f t="shared" si="21"/>
        <v>0</v>
      </c>
      <c r="BC20" s="70">
        <f t="shared" si="21"/>
        <v>0</v>
      </c>
      <c r="BD20" s="70">
        <f t="shared" si="21"/>
        <v>0</v>
      </c>
      <c r="BE20" s="70">
        <f t="shared" si="21"/>
        <v>0</v>
      </c>
      <c r="BF20" s="72">
        <f>SUM(AT20:BE20)</f>
        <v>1400</v>
      </c>
      <c r="BG20" s="73">
        <f>AF20-AS20</f>
        <v>0</v>
      </c>
      <c r="BH20" s="74">
        <f>S20*D20</f>
        <v>70000</v>
      </c>
      <c r="BI20" s="75">
        <f>BH20-AS20</f>
        <v>0</v>
      </c>
      <c r="BJ20" s="175">
        <f>SUM(Q20/D20)</f>
        <v>1</v>
      </c>
      <c r="BK20" s="1081"/>
      <c r="BL20" s="1081"/>
      <c r="BM20" s="1083"/>
      <c r="BN20" s="1084"/>
      <c r="BO20" s="862"/>
      <c r="BP20" s="862"/>
      <c r="BQ20" s="862"/>
      <c r="BR20" s="862"/>
      <c r="BS20" s="862"/>
      <c r="BT20" s="862"/>
      <c r="BU20" s="862"/>
      <c r="BV20" s="862"/>
      <c r="BW20" s="1081">
        <f t="shared" si="26"/>
        <v>0</v>
      </c>
      <c r="BX20" s="862"/>
      <c r="BY20" s="862"/>
      <c r="BZ20" s="862"/>
      <c r="CA20" s="73">
        <f t="shared" si="27"/>
        <v>0</v>
      </c>
      <c r="CB20" s="862"/>
      <c r="CC20" s="862"/>
      <c r="CD20" s="862"/>
      <c r="CE20" s="862"/>
      <c r="CF20" s="862"/>
      <c r="CG20" s="862"/>
      <c r="CH20" s="862"/>
      <c r="CI20" s="862"/>
      <c r="CJ20" s="1081"/>
      <c r="CK20" s="862"/>
      <c r="CL20" s="862"/>
      <c r="CM20" s="862"/>
      <c r="CN20" s="73">
        <f t="shared" si="28"/>
        <v>0</v>
      </c>
    </row>
    <row r="21" spans="1:98" s="38" customFormat="1" ht="24.75" customHeight="1" thickBot="1" x14ac:dyDescent="0.25">
      <c r="A21" s="554">
        <v>2</v>
      </c>
      <c r="B21" s="44" t="s">
        <v>4</v>
      </c>
      <c r="C21" s="44"/>
      <c r="D21" s="227"/>
      <c r="E21" s="1204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7"/>
      <c r="R21" s="77"/>
      <c r="S21" s="45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78">
        <f t="shared" ref="AF21:BI21" si="29">SUM(AF17:AF20)</f>
        <v>2209600</v>
      </c>
      <c r="AG21" s="78">
        <f>SUM(AG17:AG20)-500000</f>
        <v>1684600</v>
      </c>
      <c r="AH21" s="78">
        <f t="shared" si="29"/>
        <v>0</v>
      </c>
      <c r="AI21" s="78">
        <f t="shared" si="29"/>
        <v>0</v>
      </c>
      <c r="AJ21" s="78">
        <f t="shared" ref="AJ21:AR21" si="30">SUM(AJ17:AJ20)</f>
        <v>0</v>
      </c>
      <c r="AK21" s="78">
        <f t="shared" si="30"/>
        <v>0</v>
      </c>
      <c r="AL21" s="78">
        <f t="shared" si="30"/>
        <v>0</v>
      </c>
      <c r="AM21" s="78">
        <f t="shared" si="30"/>
        <v>0</v>
      </c>
      <c r="AN21" s="78">
        <f t="shared" si="30"/>
        <v>0</v>
      </c>
      <c r="AO21" s="78">
        <f t="shared" si="30"/>
        <v>0</v>
      </c>
      <c r="AP21" s="78">
        <f t="shared" si="30"/>
        <v>0</v>
      </c>
      <c r="AQ21" s="78">
        <f t="shared" si="30"/>
        <v>0</v>
      </c>
      <c r="AR21" s="78">
        <f t="shared" si="30"/>
        <v>0</v>
      </c>
      <c r="AS21" s="78">
        <f>SUM(AS17:AS20)-500000</f>
        <v>1684600</v>
      </c>
      <c r="AT21" s="78">
        <f>SUM(AT17:AT20)</f>
        <v>231200</v>
      </c>
      <c r="AU21" s="78">
        <f t="shared" si="29"/>
        <v>0</v>
      </c>
      <c r="AV21" s="78">
        <f t="shared" si="29"/>
        <v>0</v>
      </c>
      <c r="AW21" s="78">
        <f t="shared" ref="AW21:BE21" si="31">SUM(AW17:AW20)</f>
        <v>0</v>
      </c>
      <c r="AX21" s="78">
        <f t="shared" si="31"/>
        <v>0</v>
      </c>
      <c r="AY21" s="78">
        <f t="shared" si="31"/>
        <v>0</v>
      </c>
      <c r="AZ21" s="78">
        <f t="shared" si="31"/>
        <v>0</v>
      </c>
      <c r="BA21" s="78">
        <f t="shared" si="31"/>
        <v>0</v>
      </c>
      <c r="BB21" s="78">
        <f t="shared" si="31"/>
        <v>0</v>
      </c>
      <c r="BC21" s="78">
        <f t="shared" si="31"/>
        <v>0</v>
      </c>
      <c r="BD21" s="78">
        <f t="shared" si="31"/>
        <v>0</v>
      </c>
      <c r="BE21" s="78">
        <f t="shared" si="31"/>
        <v>0</v>
      </c>
      <c r="BF21" s="78">
        <f t="shared" si="29"/>
        <v>231200</v>
      </c>
      <c r="BG21" s="78">
        <f t="shared" si="29"/>
        <v>25000</v>
      </c>
      <c r="BH21" s="78">
        <f t="shared" si="29"/>
        <v>2209600</v>
      </c>
      <c r="BI21" s="78">
        <f t="shared" si="29"/>
        <v>25000</v>
      </c>
      <c r="BJ21" s="176">
        <f>SUM(BJ17:BJ20)/4</f>
        <v>1</v>
      </c>
      <c r="BK21" s="1081">
        <f>SUM(BK17:BK20)</f>
        <v>1232000</v>
      </c>
      <c r="BL21" s="1081">
        <f t="shared" ref="BL21:BM21" si="32">SUM(BL17:BL20)</f>
        <v>1200000</v>
      </c>
      <c r="BM21" s="1081">
        <f t="shared" si="32"/>
        <v>32000</v>
      </c>
      <c r="BN21" s="1084"/>
      <c r="BO21" s="862"/>
      <c r="BP21" s="862"/>
      <c r="BQ21" s="862"/>
      <c r="BR21" s="862"/>
      <c r="BS21" s="862"/>
      <c r="BT21" s="862"/>
      <c r="BU21" s="862"/>
      <c r="BV21" s="862"/>
      <c r="BW21" s="1081">
        <f t="shared" si="26"/>
        <v>0</v>
      </c>
      <c r="BX21" s="862"/>
      <c r="BY21" s="862"/>
      <c r="BZ21" s="862"/>
      <c r="CA21" s="73">
        <f t="shared" si="27"/>
        <v>0</v>
      </c>
      <c r="CB21" s="862"/>
      <c r="CC21" s="862"/>
      <c r="CD21" s="862"/>
      <c r="CE21" s="862"/>
      <c r="CF21" s="862"/>
      <c r="CG21" s="862"/>
      <c r="CH21" s="862"/>
      <c r="CI21" s="862"/>
      <c r="CJ21" s="1081"/>
      <c r="CK21" s="862"/>
      <c r="CL21" s="862"/>
      <c r="CM21" s="862"/>
      <c r="CN21" s="73">
        <f t="shared" si="28"/>
        <v>0</v>
      </c>
    </row>
    <row r="22" spans="1:98" s="20" customFormat="1" ht="24.75" customHeight="1" x14ac:dyDescent="0.2">
      <c r="A22" s="50"/>
      <c r="D22" s="22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AE22" s="40"/>
      <c r="AS22" s="51"/>
      <c r="BF22" s="52">
        <f>SUM(AS21+BF21)</f>
        <v>1915800</v>
      </c>
      <c r="BG22" s="53">
        <f>AF21-AS21</f>
        <v>525000</v>
      </c>
      <c r="BH22" s="54">
        <f>SUM(BI21+AS21)</f>
        <v>1709600</v>
      </c>
      <c r="BI22" s="55">
        <f>SUM(BG21)</f>
        <v>25000</v>
      </c>
      <c r="BJ22" s="40" t="s">
        <v>38</v>
      </c>
      <c r="BK22" s="40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</row>
    <row r="23" spans="1:98" s="20" customFormat="1" ht="24.75" customHeight="1" x14ac:dyDescent="0.2">
      <c r="A23" s="553"/>
      <c r="D23" s="22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AE23" s="40"/>
      <c r="AS23" s="40"/>
      <c r="AT23" s="123">
        <f>SUM(AG21+AT21)</f>
        <v>1915800</v>
      </c>
      <c r="AU23" s="123">
        <f t="shared" ref="AU23:BE23" si="33">SUM(AH21+AU21)</f>
        <v>0</v>
      </c>
      <c r="AV23" s="123">
        <f t="shared" si="33"/>
        <v>0</v>
      </c>
      <c r="AW23" s="123">
        <f t="shared" si="33"/>
        <v>0</v>
      </c>
      <c r="AX23" s="123">
        <f t="shared" si="33"/>
        <v>0</v>
      </c>
      <c r="AY23" s="123">
        <f t="shared" si="33"/>
        <v>0</v>
      </c>
      <c r="AZ23" s="123">
        <f t="shared" si="33"/>
        <v>0</v>
      </c>
      <c r="BA23" s="123">
        <f t="shared" si="33"/>
        <v>0</v>
      </c>
      <c r="BB23" s="123">
        <f t="shared" si="33"/>
        <v>0</v>
      </c>
      <c r="BC23" s="123">
        <f t="shared" si="33"/>
        <v>0</v>
      </c>
      <c r="BD23" s="123">
        <f t="shared" si="33"/>
        <v>0</v>
      </c>
      <c r="BE23" s="123">
        <f t="shared" si="33"/>
        <v>0</v>
      </c>
      <c r="BF23" s="123">
        <f>SUM(AT23:BE23)</f>
        <v>1915800</v>
      </c>
      <c r="BG23" s="40"/>
      <c r="BH23" s="56">
        <f>SUM(BH21-BH22)</f>
        <v>500000</v>
      </c>
      <c r="BI23" s="57">
        <f>SUM(BI21-BI22)</f>
        <v>0</v>
      </c>
      <c r="BJ23" s="40" t="s">
        <v>37</v>
      </c>
      <c r="BK23" s="40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</row>
    <row r="24" spans="1:98" s="20" customFormat="1" ht="16.5" customHeight="1" x14ac:dyDescent="0.2">
      <c r="A24" s="1730" t="s">
        <v>8</v>
      </c>
      <c r="B24" s="1731"/>
      <c r="C24" s="124" t="s">
        <v>300</v>
      </c>
      <c r="D24" s="224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7"/>
      <c r="AF24" s="23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8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8"/>
      <c r="BG24" s="138"/>
      <c r="BH24" s="135"/>
      <c r="BI24" s="139"/>
      <c r="BJ24" s="135"/>
      <c r="BK24" s="136"/>
      <c r="BL24" s="136"/>
      <c r="BM24" s="136"/>
      <c r="BN24" s="136"/>
      <c r="BO24" s="136"/>
      <c r="BP24" s="137"/>
      <c r="BQ24" s="136"/>
      <c r="BR24" s="136"/>
      <c r="BS24" s="136"/>
      <c r="BT24" s="136"/>
      <c r="BU24" s="136"/>
      <c r="BV24" s="138"/>
      <c r="BW24" s="138"/>
      <c r="BX24" s="138"/>
      <c r="BY24" s="135"/>
      <c r="BZ24" s="139"/>
      <c r="CA24" s="138"/>
      <c r="CB24" s="138"/>
      <c r="CC24" s="24"/>
      <c r="CD24" s="24"/>
      <c r="CE24" s="24"/>
      <c r="CF24" s="24"/>
      <c r="CG24" s="24"/>
      <c r="CH24" s="140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</row>
    <row r="25" spans="1:98" s="8" customFormat="1" ht="48.75" customHeight="1" x14ac:dyDescent="0.2">
      <c r="A25" s="1703" t="s">
        <v>10</v>
      </c>
      <c r="B25" s="1706" t="s">
        <v>11</v>
      </c>
      <c r="C25" s="1706" t="s">
        <v>22</v>
      </c>
      <c r="D25" s="1721" t="s">
        <v>12</v>
      </c>
      <c r="E25" s="1721"/>
      <c r="F25" s="1721"/>
      <c r="G25" s="1721"/>
      <c r="H25" s="1721"/>
      <c r="I25" s="1721"/>
      <c r="J25" s="1721"/>
      <c r="K25" s="1721"/>
      <c r="L25" s="1721"/>
      <c r="M25" s="1721"/>
      <c r="N25" s="1721"/>
      <c r="O25" s="1721"/>
      <c r="P25" s="1721"/>
      <c r="Q25" s="1721"/>
      <c r="R25" s="1706" t="s">
        <v>20</v>
      </c>
      <c r="S25" s="1717" t="s">
        <v>17</v>
      </c>
      <c r="T25" s="1718"/>
      <c r="U25" s="1718"/>
      <c r="V25" s="1718"/>
      <c r="W25" s="1718"/>
      <c r="X25" s="1718"/>
      <c r="Y25" s="1718"/>
      <c r="Z25" s="1718"/>
      <c r="AA25" s="1718"/>
      <c r="AB25" s="1718"/>
      <c r="AC25" s="1718"/>
      <c r="AD25" s="1718"/>
      <c r="AE25" s="1719"/>
      <c r="AF25" s="1720" t="s">
        <v>6</v>
      </c>
      <c r="AG25" s="1720"/>
      <c r="AH25" s="1720"/>
      <c r="AI25" s="1720"/>
      <c r="AJ25" s="1720"/>
      <c r="AK25" s="1720"/>
      <c r="AL25" s="1720"/>
      <c r="AM25" s="1720"/>
      <c r="AN25" s="1720"/>
      <c r="AO25" s="1720"/>
      <c r="AP25" s="1720"/>
      <c r="AQ25" s="1720"/>
      <c r="AR25" s="1720"/>
      <c r="AS25" s="1720"/>
      <c r="AT25" s="1722" t="s">
        <v>41</v>
      </c>
      <c r="AU25" s="1723"/>
      <c r="AV25" s="1723"/>
      <c r="AW25" s="1723"/>
      <c r="AX25" s="1723"/>
      <c r="AY25" s="1723"/>
      <c r="AZ25" s="1723"/>
      <c r="BA25" s="1723"/>
      <c r="BB25" s="1723"/>
      <c r="BC25" s="1723"/>
      <c r="BD25" s="1723"/>
      <c r="BE25" s="1723"/>
      <c r="BF25" s="1724"/>
      <c r="BG25" s="1706" t="s">
        <v>38</v>
      </c>
      <c r="BH25" s="1706" t="s">
        <v>256</v>
      </c>
      <c r="BI25" s="1709" t="s">
        <v>39</v>
      </c>
      <c r="BJ25" s="135"/>
      <c r="BK25" s="135"/>
      <c r="BL25" s="135"/>
      <c r="BM25" s="135"/>
      <c r="BN25" s="135"/>
      <c r="BO25" s="1733" t="s">
        <v>41</v>
      </c>
      <c r="BP25" s="1734"/>
      <c r="BQ25" s="1734"/>
      <c r="BR25" s="1734"/>
      <c r="BS25" s="1734"/>
      <c r="BT25" s="1734"/>
      <c r="BU25" s="1734"/>
      <c r="BV25" s="1734"/>
      <c r="BW25" s="1734"/>
      <c r="BX25" s="1734"/>
      <c r="BY25" s="1734"/>
      <c r="BZ25" s="1734"/>
      <c r="CA25" s="1734"/>
      <c r="CB25" s="1734"/>
      <c r="CC25" s="1734"/>
      <c r="CD25" s="1734"/>
      <c r="CE25" s="1734"/>
      <c r="CF25" s="1734"/>
      <c r="CG25" s="1734"/>
      <c r="CH25" s="1734"/>
      <c r="CI25" s="1734"/>
      <c r="CJ25" s="1734"/>
      <c r="CK25" s="1734"/>
      <c r="CL25" s="1734"/>
      <c r="CM25" s="1734"/>
      <c r="CN25" s="1735"/>
    </row>
    <row r="26" spans="1:98" s="8" customFormat="1" ht="48.75" customHeight="1" x14ac:dyDescent="0.2">
      <c r="A26" s="1704"/>
      <c r="B26" s="1707"/>
      <c r="C26" s="1707"/>
      <c r="D26" s="1728" t="s">
        <v>18</v>
      </c>
      <c r="E26" s="1714" t="s">
        <v>19</v>
      </c>
      <c r="F26" s="1715"/>
      <c r="G26" s="1715"/>
      <c r="H26" s="1715"/>
      <c r="I26" s="1715"/>
      <c r="J26" s="1715"/>
      <c r="K26" s="1715"/>
      <c r="L26" s="1715"/>
      <c r="M26" s="1715"/>
      <c r="N26" s="1715"/>
      <c r="O26" s="1715"/>
      <c r="P26" s="1715"/>
      <c r="Q26" s="1715"/>
      <c r="R26" s="1707"/>
      <c r="S26" s="1712" t="s">
        <v>18</v>
      </c>
      <c r="T26" s="1714" t="s">
        <v>19</v>
      </c>
      <c r="U26" s="1715"/>
      <c r="V26" s="1715"/>
      <c r="W26" s="1715"/>
      <c r="X26" s="1715"/>
      <c r="Y26" s="1715"/>
      <c r="Z26" s="1715"/>
      <c r="AA26" s="1715"/>
      <c r="AB26" s="1715"/>
      <c r="AC26" s="1715"/>
      <c r="AD26" s="1715"/>
      <c r="AE26" s="1716"/>
      <c r="AF26" s="1712" t="s">
        <v>18</v>
      </c>
      <c r="AG26" s="1714" t="s">
        <v>19</v>
      </c>
      <c r="AH26" s="1715"/>
      <c r="AI26" s="1715"/>
      <c r="AJ26" s="1715"/>
      <c r="AK26" s="1715"/>
      <c r="AL26" s="1715"/>
      <c r="AM26" s="1715"/>
      <c r="AN26" s="1715"/>
      <c r="AO26" s="1715"/>
      <c r="AP26" s="1715"/>
      <c r="AQ26" s="1715"/>
      <c r="AR26" s="1715"/>
      <c r="AS26" s="1716"/>
      <c r="AT26" s="1725"/>
      <c r="AU26" s="1726"/>
      <c r="AV26" s="1726"/>
      <c r="AW26" s="1726"/>
      <c r="AX26" s="1726"/>
      <c r="AY26" s="1726"/>
      <c r="AZ26" s="1726"/>
      <c r="BA26" s="1726"/>
      <c r="BB26" s="1726"/>
      <c r="BC26" s="1726"/>
      <c r="BD26" s="1726"/>
      <c r="BE26" s="1726"/>
      <c r="BF26" s="1727"/>
      <c r="BG26" s="1707"/>
      <c r="BH26" s="1707"/>
      <c r="BI26" s="1710"/>
      <c r="BJ26" s="135"/>
      <c r="BK26" s="1736">
        <f>SUM(BK28/60)</f>
        <v>0</v>
      </c>
      <c r="BL26" s="1736"/>
      <c r="BM26" s="1736"/>
      <c r="BN26" s="23"/>
      <c r="BO26" s="1737" t="s">
        <v>686</v>
      </c>
      <c r="BP26" s="1738"/>
      <c r="BQ26" s="1738"/>
      <c r="BR26" s="1738"/>
      <c r="BS26" s="1738"/>
      <c r="BT26" s="1738"/>
      <c r="BU26" s="1738"/>
      <c r="BV26" s="1738"/>
      <c r="BW26" s="1738"/>
      <c r="BX26" s="1738"/>
      <c r="BY26" s="1738"/>
      <c r="BZ26" s="1738"/>
      <c r="CA26" s="1739"/>
      <c r="CB26" s="1740" t="s">
        <v>687</v>
      </c>
      <c r="CC26" s="1741"/>
      <c r="CD26" s="1741"/>
      <c r="CE26" s="1741"/>
      <c r="CF26" s="1741"/>
      <c r="CG26" s="1741"/>
      <c r="CH26" s="1741"/>
      <c r="CI26" s="1741"/>
      <c r="CJ26" s="1741"/>
      <c r="CK26" s="1741"/>
      <c r="CL26" s="1741"/>
      <c r="CM26" s="1741"/>
      <c r="CN26" s="1742"/>
    </row>
    <row r="27" spans="1:98" s="6" customFormat="1" ht="28.5" customHeight="1" x14ac:dyDescent="0.2">
      <c r="A27" s="1705"/>
      <c r="B27" s="1708"/>
      <c r="C27" s="1708"/>
      <c r="D27" s="1729"/>
      <c r="E27" s="26">
        <v>1</v>
      </c>
      <c r="F27" s="26">
        <v>2</v>
      </c>
      <c r="G27" s="26">
        <v>3</v>
      </c>
      <c r="H27" s="26">
        <v>4</v>
      </c>
      <c r="I27" s="26">
        <v>5</v>
      </c>
      <c r="J27" s="26">
        <v>6</v>
      </c>
      <c r="K27" s="26">
        <v>7</v>
      </c>
      <c r="L27" s="26">
        <v>8</v>
      </c>
      <c r="M27" s="26">
        <v>9</v>
      </c>
      <c r="N27" s="26">
        <v>10</v>
      </c>
      <c r="O27" s="26">
        <v>11</v>
      </c>
      <c r="P27" s="26">
        <v>12</v>
      </c>
      <c r="Q27" s="26" t="s">
        <v>21</v>
      </c>
      <c r="R27" s="1708"/>
      <c r="S27" s="1713"/>
      <c r="T27" s="26">
        <v>1</v>
      </c>
      <c r="U27" s="26">
        <v>2</v>
      </c>
      <c r="V27" s="26">
        <v>3</v>
      </c>
      <c r="W27" s="26">
        <v>4</v>
      </c>
      <c r="X27" s="26">
        <v>5</v>
      </c>
      <c r="Y27" s="26">
        <v>6</v>
      </c>
      <c r="Z27" s="26">
        <v>7</v>
      </c>
      <c r="AA27" s="26">
        <v>8</v>
      </c>
      <c r="AB27" s="26">
        <v>9</v>
      </c>
      <c r="AC27" s="26">
        <v>10</v>
      </c>
      <c r="AD27" s="26">
        <v>11</v>
      </c>
      <c r="AE27" s="26">
        <v>12</v>
      </c>
      <c r="AF27" s="1713"/>
      <c r="AG27" s="26">
        <v>1</v>
      </c>
      <c r="AH27" s="26">
        <v>2</v>
      </c>
      <c r="AI27" s="26">
        <v>3</v>
      </c>
      <c r="AJ27" s="26">
        <v>4</v>
      </c>
      <c r="AK27" s="26">
        <v>5</v>
      </c>
      <c r="AL27" s="26">
        <v>6</v>
      </c>
      <c r="AM27" s="26">
        <v>7</v>
      </c>
      <c r="AN27" s="26">
        <v>8</v>
      </c>
      <c r="AO27" s="26">
        <v>9</v>
      </c>
      <c r="AP27" s="26">
        <v>10</v>
      </c>
      <c r="AQ27" s="26">
        <v>11</v>
      </c>
      <c r="AR27" s="26">
        <v>12</v>
      </c>
      <c r="AS27" s="26" t="s">
        <v>13</v>
      </c>
      <c r="AT27" s="173">
        <v>1</v>
      </c>
      <c r="AU27" s="173">
        <v>2</v>
      </c>
      <c r="AV27" s="173">
        <v>3</v>
      </c>
      <c r="AW27" s="173">
        <v>4</v>
      </c>
      <c r="AX27" s="173">
        <v>5</v>
      </c>
      <c r="AY27" s="173">
        <v>6</v>
      </c>
      <c r="AZ27" s="173">
        <v>7</v>
      </c>
      <c r="BA27" s="173">
        <v>8</v>
      </c>
      <c r="BB27" s="173">
        <v>9</v>
      </c>
      <c r="BC27" s="173">
        <v>10</v>
      </c>
      <c r="BD27" s="173">
        <v>11</v>
      </c>
      <c r="BE27" s="173">
        <v>12</v>
      </c>
      <c r="BF27" s="26" t="s">
        <v>13</v>
      </c>
      <c r="BG27" s="1708"/>
      <c r="BH27" s="1708"/>
      <c r="BI27" s="1711"/>
      <c r="BJ27" s="7"/>
      <c r="BK27" s="1743" t="s">
        <v>19</v>
      </c>
      <c r="BL27" s="1744"/>
      <c r="BM27" s="1745"/>
      <c r="BN27" s="621"/>
      <c r="BO27" s="173">
        <v>1</v>
      </c>
      <c r="BP27" s="173">
        <v>2</v>
      </c>
      <c r="BQ27" s="173">
        <v>3</v>
      </c>
      <c r="BR27" s="173">
        <v>4</v>
      </c>
      <c r="BS27" s="173">
        <v>5</v>
      </c>
      <c r="BT27" s="173">
        <v>6</v>
      </c>
      <c r="BU27" s="173">
        <v>7</v>
      </c>
      <c r="BV27" s="173">
        <v>8</v>
      </c>
      <c r="BW27" s="173">
        <v>9</v>
      </c>
      <c r="BX27" s="173">
        <v>10</v>
      </c>
      <c r="BY27" s="173">
        <v>11</v>
      </c>
      <c r="BZ27" s="173">
        <v>12</v>
      </c>
      <c r="CA27" s="26" t="s">
        <v>13</v>
      </c>
      <c r="CB27" s="173">
        <v>1</v>
      </c>
      <c r="CC27" s="173">
        <v>2</v>
      </c>
      <c r="CD27" s="173">
        <v>3</v>
      </c>
      <c r="CE27" s="173">
        <v>4</v>
      </c>
      <c r="CF27" s="173">
        <v>5</v>
      </c>
      <c r="CG27" s="173">
        <v>6</v>
      </c>
      <c r="CH27" s="173">
        <v>7</v>
      </c>
      <c r="CI27" s="173">
        <v>8</v>
      </c>
      <c r="CJ27" s="173">
        <v>9</v>
      </c>
      <c r="CK27" s="173">
        <v>10</v>
      </c>
      <c r="CL27" s="173">
        <v>11</v>
      </c>
      <c r="CM27" s="173">
        <v>12</v>
      </c>
      <c r="CN27" s="26" t="s">
        <v>13</v>
      </c>
    </row>
    <row r="28" spans="1:98" s="7" customFormat="1" ht="24.75" customHeight="1" x14ac:dyDescent="0.2">
      <c r="A28" s="41"/>
      <c r="B28" s="141" t="s">
        <v>89</v>
      </c>
      <c r="C28" s="29" t="s">
        <v>25</v>
      </c>
      <c r="D28" s="552">
        <v>30</v>
      </c>
      <c r="E28" s="1203">
        <v>30</v>
      </c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1">
        <f>SUM(E28:P28)</f>
        <v>30</v>
      </c>
      <c r="R28" s="83" t="s">
        <v>31</v>
      </c>
      <c r="S28" s="142">
        <v>10300</v>
      </c>
      <c r="T28" s="1140">
        <v>10300</v>
      </c>
      <c r="U28" s="84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69">
        <f t="shared" ref="AF28:AF30" si="34">SUM(Q28*S28)</f>
        <v>309000</v>
      </c>
      <c r="AG28" s="1081">
        <f t="shared" ref="AG28:AI30" si="35">T28*E28</f>
        <v>309000</v>
      </c>
      <c r="AH28" s="70">
        <f t="shared" si="35"/>
        <v>0</v>
      </c>
      <c r="AI28" s="70">
        <f t="shared" si="35"/>
        <v>0</v>
      </c>
      <c r="AJ28" s="70">
        <f t="shared" ref="AJ28:AR30" si="36">W28*H28</f>
        <v>0</v>
      </c>
      <c r="AK28" s="70">
        <f t="shared" si="36"/>
        <v>0</v>
      </c>
      <c r="AL28" s="70">
        <f t="shared" si="36"/>
        <v>0</v>
      </c>
      <c r="AM28" s="70">
        <f t="shared" si="36"/>
        <v>0</v>
      </c>
      <c r="AN28" s="70">
        <f t="shared" si="36"/>
        <v>0</v>
      </c>
      <c r="AO28" s="70">
        <f t="shared" si="36"/>
        <v>0</v>
      </c>
      <c r="AP28" s="70">
        <f t="shared" si="36"/>
        <v>0</v>
      </c>
      <c r="AQ28" s="70">
        <f t="shared" si="36"/>
        <v>0</v>
      </c>
      <c r="AR28" s="70">
        <f t="shared" si="36"/>
        <v>0</v>
      </c>
      <c r="AS28" s="71">
        <f>SUM(AG28:AR28)</f>
        <v>309000</v>
      </c>
      <c r="AT28" s="1081">
        <f>AG28*12%</f>
        <v>37080</v>
      </c>
      <c r="AU28" s="70">
        <f>SUM(AH28*4%)</f>
        <v>0</v>
      </c>
      <c r="AV28" s="70">
        <f t="shared" ref="AU28:AV30" si="37">SUM(AI28*14%)</f>
        <v>0</v>
      </c>
      <c r="AW28" s="70">
        <f t="shared" ref="AW28:BE30" si="38">SUM(AJ28*14%)</f>
        <v>0</v>
      </c>
      <c r="AX28" s="70">
        <f t="shared" si="38"/>
        <v>0</v>
      </c>
      <c r="AY28" s="70">
        <f t="shared" si="38"/>
        <v>0</v>
      </c>
      <c r="AZ28" s="70">
        <f t="shared" si="38"/>
        <v>0</v>
      </c>
      <c r="BA28" s="70">
        <f t="shared" si="38"/>
        <v>0</v>
      </c>
      <c r="BB28" s="70">
        <f t="shared" si="38"/>
        <v>0</v>
      </c>
      <c r="BC28" s="70">
        <f t="shared" si="38"/>
        <v>0</v>
      </c>
      <c r="BD28" s="70">
        <f t="shared" si="38"/>
        <v>0</v>
      </c>
      <c r="BE28" s="70">
        <f t="shared" si="38"/>
        <v>0</v>
      </c>
      <c r="BF28" s="72">
        <f>SUM(AT28:BE28)</f>
        <v>37080</v>
      </c>
      <c r="BG28" s="73">
        <f>AF28-AS28</f>
        <v>0</v>
      </c>
      <c r="BH28" s="74">
        <f>S28*D28</f>
        <v>309000</v>
      </c>
      <c r="BI28" s="75">
        <f>BH28-AS28</f>
        <v>0</v>
      </c>
      <c r="BJ28" s="175">
        <f>SUM(Q28/D28)</f>
        <v>1</v>
      </c>
      <c r="BK28" s="1081"/>
      <c r="BL28" s="1081"/>
      <c r="BM28" s="1083"/>
      <c r="BN28" s="1084"/>
      <c r="BO28" s="862"/>
      <c r="BP28" s="862"/>
      <c r="BQ28" s="862"/>
      <c r="BR28" s="862"/>
      <c r="BS28" s="862"/>
      <c r="BT28" s="862"/>
      <c r="BU28" s="862"/>
      <c r="BV28" s="862"/>
      <c r="BW28" s="1081">
        <f t="shared" ref="BW28:BW29" si="39">SUM(AN28*12.5%)</f>
        <v>0</v>
      </c>
      <c r="BX28" s="862"/>
      <c r="BY28" s="862"/>
      <c r="BZ28" s="862"/>
      <c r="CA28" s="73">
        <f t="shared" ref="CA28" si="40">SUM(BO28:BZ28)</f>
        <v>0</v>
      </c>
      <c r="CB28" s="862"/>
      <c r="CC28" s="862"/>
      <c r="CD28" s="862"/>
      <c r="CE28" s="862"/>
      <c r="CF28" s="862"/>
      <c r="CG28" s="862"/>
      <c r="CH28" s="862"/>
      <c r="CI28" s="862"/>
      <c r="CJ28" s="1081"/>
      <c r="CK28" s="862"/>
      <c r="CL28" s="862"/>
      <c r="CM28" s="862"/>
      <c r="CN28" s="73">
        <f t="shared" ref="CN28:CN29" si="41">SUM(CB28:CM28)</f>
        <v>0</v>
      </c>
    </row>
    <row r="29" spans="1:98" s="7" customFormat="1" ht="24.75" customHeight="1" x14ac:dyDescent="0.2">
      <c r="A29" s="41"/>
      <c r="B29" s="141" t="s">
        <v>90</v>
      </c>
      <c r="C29" s="29" t="s">
        <v>25</v>
      </c>
      <c r="D29" s="552">
        <v>30</v>
      </c>
      <c r="E29" s="1203">
        <v>30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1">
        <f>SUM(E29:P29)</f>
        <v>30</v>
      </c>
      <c r="R29" s="83" t="s">
        <v>31</v>
      </c>
      <c r="S29" s="142">
        <v>28500</v>
      </c>
      <c r="T29" s="1140">
        <v>28000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69">
        <f t="shared" si="34"/>
        <v>855000</v>
      </c>
      <c r="AG29" s="1081">
        <f>T29*E29</f>
        <v>840000</v>
      </c>
      <c r="AH29" s="70">
        <f t="shared" si="35"/>
        <v>0</v>
      </c>
      <c r="AI29" s="70">
        <f t="shared" si="35"/>
        <v>0</v>
      </c>
      <c r="AJ29" s="70">
        <f t="shared" si="36"/>
        <v>0</v>
      </c>
      <c r="AK29" s="70">
        <f t="shared" si="36"/>
        <v>0</v>
      </c>
      <c r="AL29" s="70">
        <f t="shared" si="36"/>
        <v>0</v>
      </c>
      <c r="AM29" s="70">
        <f t="shared" si="36"/>
        <v>0</v>
      </c>
      <c r="AN29" s="70">
        <f t="shared" si="36"/>
        <v>0</v>
      </c>
      <c r="AO29" s="70">
        <f t="shared" si="36"/>
        <v>0</v>
      </c>
      <c r="AP29" s="70">
        <f t="shared" si="36"/>
        <v>0</v>
      </c>
      <c r="AQ29" s="70">
        <f t="shared" si="36"/>
        <v>0</v>
      </c>
      <c r="AR29" s="70">
        <f t="shared" si="36"/>
        <v>0</v>
      </c>
      <c r="AS29" s="71">
        <f>SUM(AG29:AR29)</f>
        <v>840000</v>
      </c>
      <c r="AT29" s="1081">
        <f>AG29*12%</f>
        <v>100800</v>
      </c>
      <c r="AU29" s="70">
        <f t="shared" si="37"/>
        <v>0</v>
      </c>
      <c r="AV29" s="70">
        <f t="shared" si="37"/>
        <v>0</v>
      </c>
      <c r="AW29" s="70">
        <f t="shared" si="38"/>
        <v>0</v>
      </c>
      <c r="AX29" s="70">
        <f t="shared" si="38"/>
        <v>0</v>
      </c>
      <c r="AY29" s="70">
        <f t="shared" si="38"/>
        <v>0</v>
      </c>
      <c r="AZ29" s="70">
        <f t="shared" si="38"/>
        <v>0</v>
      </c>
      <c r="BA29" s="70">
        <f t="shared" si="38"/>
        <v>0</v>
      </c>
      <c r="BB29" s="70">
        <f t="shared" si="38"/>
        <v>0</v>
      </c>
      <c r="BC29" s="70">
        <f t="shared" si="38"/>
        <v>0</v>
      </c>
      <c r="BD29" s="70">
        <f t="shared" si="38"/>
        <v>0</v>
      </c>
      <c r="BE29" s="70">
        <f t="shared" si="38"/>
        <v>0</v>
      </c>
      <c r="BF29" s="72">
        <f>SUM(AT29:BE29)</f>
        <v>100800</v>
      </c>
      <c r="BG29" s="73">
        <f t="shared" ref="BG29:BG30" si="42">AF29-AS29</f>
        <v>15000</v>
      </c>
      <c r="BH29" s="74">
        <f>S29*D29</f>
        <v>855000</v>
      </c>
      <c r="BI29" s="75">
        <f t="shared" ref="BI29:BI30" si="43">BH29-AS29</f>
        <v>15000</v>
      </c>
      <c r="BJ29" s="175">
        <f>SUM(Q29/D29)</f>
        <v>1</v>
      </c>
      <c r="BK29" s="1081"/>
      <c r="BL29" s="1081"/>
      <c r="BM29" s="1083"/>
      <c r="BN29" s="1084"/>
      <c r="BO29" s="862"/>
      <c r="BP29" s="862"/>
      <c r="BQ29" s="862"/>
      <c r="BR29" s="862"/>
      <c r="BS29" s="862"/>
      <c r="BT29" s="862"/>
      <c r="BU29" s="862"/>
      <c r="BV29" s="862"/>
      <c r="BW29" s="1081">
        <f t="shared" si="39"/>
        <v>0</v>
      </c>
      <c r="BX29" s="862"/>
      <c r="BY29" s="862"/>
      <c r="BZ29" s="862"/>
      <c r="CA29" s="73">
        <f t="shared" ref="CA29" si="44">SUM(BO29:BZ29)</f>
        <v>0</v>
      </c>
      <c r="CB29" s="862"/>
      <c r="CC29" s="862"/>
      <c r="CD29" s="862"/>
      <c r="CE29" s="862"/>
      <c r="CF29" s="862"/>
      <c r="CG29" s="862"/>
      <c r="CH29" s="862"/>
      <c r="CI29" s="862"/>
      <c r="CJ29" s="1081"/>
      <c r="CK29" s="862"/>
      <c r="CL29" s="862"/>
      <c r="CM29" s="862"/>
      <c r="CN29" s="73">
        <f t="shared" si="41"/>
        <v>0</v>
      </c>
    </row>
    <row r="30" spans="1:98" s="7" customFormat="1" ht="24.75" customHeight="1" thickBot="1" x14ac:dyDescent="0.25">
      <c r="A30" s="41"/>
      <c r="B30" s="141" t="s">
        <v>92</v>
      </c>
      <c r="C30" s="29" t="s">
        <v>25</v>
      </c>
      <c r="D30" s="226">
        <v>2</v>
      </c>
      <c r="E30" s="1205">
        <v>2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>SUM(E30:P30)</f>
        <v>2</v>
      </c>
      <c r="R30" s="83" t="s">
        <v>16</v>
      </c>
      <c r="S30" s="142">
        <v>35000</v>
      </c>
      <c r="T30" s="1140">
        <v>35000</v>
      </c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9">
        <f t="shared" si="34"/>
        <v>70000</v>
      </c>
      <c r="AG30" s="1081">
        <f t="shared" si="35"/>
        <v>70000</v>
      </c>
      <c r="AH30" s="70">
        <f t="shared" si="35"/>
        <v>0</v>
      </c>
      <c r="AI30" s="70">
        <f t="shared" si="35"/>
        <v>0</v>
      </c>
      <c r="AJ30" s="70">
        <f t="shared" si="36"/>
        <v>0</v>
      </c>
      <c r="AK30" s="70">
        <f t="shared" si="36"/>
        <v>0</v>
      </c>
      <c r="AL30" s="70">
        <f t="shared" si="36"/>
        <v>0</v>
      </c>
      <c r="AM30" s="70">
        <f t="shared" si="36"/>
        <v>0</v>
      </c>
      <c r="AN30" s="70">
        <f t="shared" si="36"/>
        <v>0</v>
      </c>
      <c r="AO30" s="70">
        <f t="shared" si="36"/>
        <v>0</v>
      </c>
      <c r="AP30" s="70">
        <f t="shared" si="36"/>
        <v>0</v>
      </c>
      <c r="AQ30" s="70">
        <f t="shared" si="36"/>
        <v>0</v>
      </c>
      <c r="AR30" s="70">
        <f t="shared" si="36"/>
        <v>0</v>
      </c>
      <c r="AS30" s="71">
        <f>SUM(AG30:AR30)</f>
        <v>70000</v>
      </c>
      <c r="AT30" s="1081">
        <f>AG30*2%</f>
        <v>1400</v>
      </c>
      <c r="AU30" s="70">
        <f t="shared" si="37"/>
        <v>0</v>
      </c>
      <c r="AV30" s="70">
        <f t="shared" si="37"/>
        <v>0</v>
      </c>
      <c r="AW30" s="70">
        <f t="shared" si="38"/>
        <v>0</v>
      </c>
      <c r="AX30" s="70">
        <f t="shared" si="38"/>
        <v>0</v>
      </c>
      <c r="AY30" s="70">
        <f t="shared" si="38"/>
        <v>0</v>
      </c>
      <c r="AZ30" s="70">
        <f t="shared" si="38"/>
        <v>0</v>
      </c>
      <c r="BA30" s="70">
        <f t="shared" si="38"/>
        <v>0</v>
      </c>
      <c r="BB30" s="70">
        <f t="shared" si="38"/>
        <v>0</v>
      </c>
      <c r="BC30" s="70">
        <f t="shared" si="38"/>
        <v>0</v>
      </c>
      <c r="BD30" s="70">
        <f t="shared" si="38"/>
        <v>0</v>
      </c>
      <c r="BE30" s="70">
        <f t="shared" si="38"/>
        <v>0</v>
      </c>
      <c r="BF30" s="72">
        <f>SUM(AT30:BE30)</f>
        <v>1400</v>
      </c>
      <c r="BG30" s="73">
        <f t="shared" si="42"/>
        <v>0</v>
      </c>
      <c r="BH30" s="74">
        <f>S30*D30</f>
        <v>70000</v>
      </c>
      <c r="BI30" s="75">
        <f t="shared" si="43"/>
        <v>0</v>
      </c>
      <c r="BJ30" s="175">
        <f>SUM(Q30/D30)</f>
        <v>1</v>
      </c>
      <c r="BK30" s="1081"/>
      <c r="BL30" s="1081"/>
      <c r="BM30" s="1083"/>
      <c r="BN30" s="1084"/>
      <c r="BO30" s="862"/>
      <c r="BP30" s="862"/>
      <c r="BQ30" s="862"/>
      <c r="BR30" s="862"/>
      <c r="BS30" s="862"/>
      <c r="BT30" s="862"/>
      <c r="BU30" s="862"/>
      <c r="BV30" s="862"/>
      <c r="BW30" s="1081">
        <f t="shared" ref="BW30:BW31" si="45">SUM(AN30*12.5%)</f>
        <v>0</v>
      </c>
      <c r="BX30" s="862"/>
      <c r="BY30" s="862"/>
      <c r="BZ30" s="862"/>
      <c r="CA30" s="73">
        <f t="shared" ref="CA30:CA31" si="46">SUM(BO30:BZ30)</f>
        <v>0</v>
      </c>
      <c r="CB30" s="862"/>
      <c r="CC30" s="862"/>
      <c r="CD30" s="862"/>
      <c r="CE30" s="862"/>
      <c r="CF30" s="862"/>
      <c r="CG30" s="862"/>
      <c r="CH30" s="862"/>
      <c r="CI30" s="862"/>
      <c r="CJ30" s="1081"/>
      <c r="CK30" s="862"/>
      <c r="CL30" s="862"/>
      <c r="CM30" s="862"/>
      <c r="CN30" s="73">
        <f t="shared" ref="CN30:CN31" si="47">SUM(CB30:CM30)</f>
        <v>0</v>
      </c>
    </row>
    <row r="31" spans="1:98" s="38" customFormat="1" ht="24.75" customHeight="1" thickBot="1" x14ac:dyDescent="0.25">
      <c r="A31" s="554">
        <v>3</v>
      </c>
      <c r="B31" s="44" t="s">
        <v>4</v>
      </c>
      <c r="C31" s="44"/>
      <c r="D31" s="227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7"/>
      <c r="R31" s="77"/>
      <c r="S31" s="45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78">
        <f t="shared" ref="AF31:BI31" si="48">SUM(AF28:AF30)</f>
        <v>1234000</v>
      </c>
      <c r="AG31" s="78">
        <f>SUM(AG28:AG30)-100000</f>
        <v>1119000</v>
      </c>
      <c r="AH31" s="78">
        <f t="shared" si="48"/>
        <v>0</v>
      </c>
      <c r="AI31" s="78">
        <f t="shared" si="48"/>
        <v>0</v>
      </c>
      <c r="AJ31" s="78">
        <f t="shared" si="48"/>
        <v>0</v>
      </c>
      <c r="AK31" s="78">
        <f t="shared" si="48"/>
        <v>0</v>
      </c>
      <c r="AL31" s="78">
        <f t="shared" si="48"/>
        <v>0</v>
      </c>
      <c r="AM31" s="78">
        <f t="shared" si="48"/>
        <v>0</v>
      </c>
      <c r="AN31" s="78">
        <f t="shared" si="48"/>
        <v>0</v>
      </c>
      <c r="AO31" s="78">
        <f t="shared" si="48"/>
        <v>0</v>
      </c>
      <c r="AP31" s="78">
        <f t="shared" si="48"/>
        <v>0</v>
      </c>
      <c r="AQ31" s="78">
        <f t="shared" si="48"/>
        <v>0</v>
      </c>
      <c r="AR31" s="78">
        <f t="shared" si="48"/>
        <v>0</v>
      </c>
      <c r="AS31" s="78">
        <f>SUM(AS28:AS30)-100000</f>
        <v>1119000</v>
      </c>
      <c r="AT31" s="78">
        <f t="shared" si="48"/>
        <v>139280</v>
      </c>
      <c r="AU31" s="78">
        <f t="shared" si="48"/>
        <v>0</v>
      </c>
      <c r="AV31" s="78">
        <f t="shared" si="48"/>
        <v>0</v>
      </c>
      <c r="AW31" s="78">
        <f t="shared" si="48"/>
        <v>0</v>
      </c>
      <c r="AX31" s="78">
        <f t="shared" si="48"/>
        <v>0</v>
      </c>
      <c r="AY31" s="78">
        <f t="shared" si="48"/>
        <v>0</v>
      </c>
      <c r="AZ31" s="78">
        <f t="shared" si="48"/>
        <v>0</v>
      </c>
      <c r="BA31" s="78">
        <f t="shared" si="48"/>
        <v>0</v>
      </c>
      <c r="BB31" s="78">
        <f t="shared" si="48"/>
        <v>0</v>
      </c>
      <c r="BC31" s="78">
        <f t="shared" si="48"/>
        <v>0</v>
      </c>
      <c r="BD31" s="78">
        <f t="shared" si="48"/>
        <v>0</v>
      </c>
      <c r="BE31" s="78">
        <f t="shared" si="48"/>
        <v>0</v>
      </c>
      <c r="BF31" s="78">
        <f t="shared" si="48"/>
        <v>139280</v>
      </c>
      <c r="BG31" s="78">
        <f t="shared" si="48"/>
        <v>15000</v>
      </c>
      <c r="BH31" s="78">
        <f t="shared" si="48"/>
        <v>1234000</v>
      </c>
      <c r="BI31" s="78">
        <f t="shared" si="48"/>
        <v>15000</v>
      </c>
      <c r="BJ31" s="176">
        <f>SUM(BJ28:BJ30)/3</f>
        <v>1</v>
      </c>
      <c r="BK31" s="1081"/>
      <c r="BL31" s="1081"/>
      <c r="BM31" s="1083"/>
      <c r="BN31" s="1084"/>
      <c r="BO31" s="862"/>
      <c r="BP31" s="862"/>
      <c r="BQ31" s="862"/>
      <c r="BR31" s="862"/>
      <c r="BS31" s="862"/>
      <c r="BT31" s="862"/>
      <c r="BU31" s="862"/>
      <c r="BV31" s="862"/>
      <c r="BW31" s="1081">
        <f t="shared" si="45"/>
        <v>0</v>
      </c>
      <c r="BX31" s="862"/>
      <c r="BY31" s="862"/>
      <c r="BZ31" s="862"/>
      <c r="CA31" s="73">
        <f t="shared" si="46"/>
        <v>0</v>
      </c>
      <c r="CB31" s="862"/>
      <c r="CC31" s="862"/>
      <c r="CD31" s="862"/>
      <c r="CE31" s="862"/>
      <c r="CF31" s="862"/>
      <c r="CG31" s="862"/>
      <c r="CH31" s="862"/>
      <c r="CI31" s="862"/>
      <c r="CJ31" s="1081"/>
      <c r="CK31" s="862"/>
      <c r="CL31" s="862"/>
      <c r="CM31" s="862"/>
      <c r="CN31" s="73">
        <f t="shared" si="47"/>
        <v>0</v>
      </c>
    </row>
    <row r="32" spans="1:98" s="20" customFormat="1" ht="24.75" customHeight="1" x14ac:dyDescent="0.2">
      <c r="A32" s="50"/>
      <c r="D32" s="22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AE32" s="40"/>
      <c r="AS32" s="51"/>
      <c r="BF32" s="52">
        <f>SUM(AS31+BF31)</f>
        <v>1258280</v>
      </c>
      <c r="BG32" s="53">
        <f>AF31-AS31</f>
        <v>115000</v>
      </c>
      <c r="BH32" s="54">
        <f>SUM(BI31+AS31)</f>
        <v>1134000</v>
      </c>
      <c r="BI32" s="55">
        <f>SUM(BG31)</f>
        <v>15000</v>
      </c>
      <c r="BJ32" s="40" t="s">
        <v>38</v>
      </c>
      <c r="BK32" s="40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</row>
    <row r="33" spans="1:98" s="20" customFormat="1" ht="24.75" customHeight="1" x14ac:dyDescent="0.2">
      <c r="A33" s="553"/>
      <c r="D33" s="22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AE33" s="40"/>
      <c r="AS33" s="40"/>
      <c r="AT33" s="123">
        <f>SUM(AG31+AT31)</f>
        <v>1258280</v>
      </c>
      <c r="AU33" s="123">
        <f t="shared" ref="AU33:BE33" si="49">SUM(AH31+AU31)</f>
        <v>0</v>
      </c>
      <c r="AV33" s="123">
        <f t="shared" si="49"/>
        <v>0</v>
      </c>
      <c r="AW33" s="123">
        <f t="shared" si="49"/>
        <v>0</v>
      </c>
      <c r="AX33" s="123">
        <f t="shared" si="49"/>
        <v>0</v>
      </c>
      <c r="AY33" s="123">
        <f t="shared" si="49"/>
        <v>0</v>
      </c>
      <c r="AZ33" s="123">
        <f t="shared" si="49"/>
        <v>0</v>
      </c>
      <c r="BA33" s="123">
        <f t="shared" si="49"/>
        <v>0</v>
      </c>
      <c r="BB33" s="123">
        <f t="shared" si="49"/>
        <v>0</v>
      </c>
      <c r="BC33" s="123">
        <f t="shared" si="49"/>
        <v>0</v>
      </c>
      <c r="BD33" s="123">
        <f t="shared" si="49"/>
        <v>0</v>
      </c>
      <c r="BE33" s="123">
        <f t="shared" si="49"/>
        <v>0</v>
      </c>
      <c r="BF33" s="123">
        <f>SUM(AT33:BE33)</f>
        <v>1258280</v>
      </c>
      <c r="BG33" s="40"/>
      <c r="BH33" s="56">
        <f>SUM(BH31-BH32)</f>
        <v>100000</v>
      </c>
      <c r="BI33" s="57">
        <f>SUM(BI31-BI32)</f>
        <v>0</v>
      </c>
      <c r="BJ33" s="40" t="s">
        <v>37</v>
      </c>
      <c r="BK33" s="40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</row>
    <row r="34" spans="1:98" s="20" customFormat="1" ht="16.5" customHeight="1" x14ac:dyDescent="0.2">
      <c r="A34" s="1730" t="s">
        <v>8</v>
      </c>
      <c r="B34" s="1731"/>
      <c r="C34" s="124" t="s">
        <v>301</v>
      </c>
      <c r="D34" s="224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7"/>
      <c r="AF34" s="23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8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8"/>
      <c r="BG34" s="138"/>
      <c r="BH34" s="135"/>
      <c r="BI34" s="139"/>
      <c r="BJ34" s="135"/>
      <c r="BK34" s="136"/>
      <c r="BL34" s="136"/>
      <c r="BM34" s="136"/>
      <c r="BN34" s="136"/>
      <c r="BO34" s="136"/>
      <c r="BP34" s="137"/>
      <c r="BQ34" s="136"/>
      <c r="BR34" s="136"/>
      <c r="BS34" s="136"/>
      <c r="BT34" s="136"/>
      <c r="BU34" s="136"/>
      <c r="BV34" s="138"/>
      <c r="BW34" s="138"/>
      <c r="BX34" s="138"/>
      <c r="BY34" s="135"/>
      <c r="BZ34" s="139"/>
      <c r="CA34" s="138"/>
      <c r="CB34" s="138"/>
      <c r="CC34" s="24"/>
      <c r="CD34" s="24"/>
      <c r="CE34" s="24"/>
      <c r="CF34" s="24"/>
      <c r="CG34" s="24"/>
      <c r="CH34" s="140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</row>
    <row r="35" spans="1:98" s="8" customFormat="1" ht="48.75" customHeight="1" x14ac:dyDescent="0.2">
      <c r="A35" s="1703" t="s">
        <v>10</v>
      </c>
      <c r="B35" s="1706" t="s">
        <v>11</v>
      </c>
      <c r="C35" s="1706" t="s">
        <v>22</v>
      </c>
      <c r="D35" s="1721" t="s">
        <v>12</v>
      </c>
      <c r="E35" s="1721"/>
      <c r="F35" s="1721"/>
      <c r="G35" s="1721"/>
      <c r="H35" s="1721"/>
      <c r="I35" s="1721"/>
      <c r="J35" s="1721"/>
      <c r="K35" s="1721"/>
      <c r="L35" s="1721"/>
      <c r="M35" s="1721"/>
      <c r="N35" s="1721"/>
      <c r="O35" s="1721"/>
      <c r="P35" s="1721"/>
      <c r="Q35" s="1721"/>
      <c r="R35" s="1706" t="s">
        <v>20</v>
      </c>
      <c r="S35" s="1717" t="s">
        <v>17</v>
      </c>
      <c r="T35" s="1718"/>
      <c r="U35" s="1718"/>
      <c r="V35" s="1718"/>
      <c r="W35" s="1718"/>
      <c r="X35" s="1718"/>
      <c r="Y35" s="1718"/>
      <c r="Z35" s="1718"/>
      <c r="AA35" s="1718"/>
      <c r="AB35" s="1718"/>
      <c r="AC35" s="1718"/>
      <c r="AD35" s="1718"/>
      <c r="AE35" s="1719"/>
      <c r="AF35" s="1720" t="s">
        <v>6</v>
      </c>
      <c r="AG35" s="1720"/>
      <c r="AH35" s="1720"/>
      <c r="AI35" s="1720"/>
      <c r="AJ35" s="1720"/>
      <c r="AK35" s="1720"/>
      <c r="AL35" s="1720"/>
      <c r="AM35" s="1720"/>
      <c r="AN35" s="1720"/>
      <c r="AO35" s="1720"/>
      <c r="AP35" s="1720"/>
      <c r="AQ35" s="1720"/>
      <c r="AR35" s="1720"/>
      <c r="AS35" s="1720"/>
      <c r="AT35" s="1722" t="s">
        <v>41</v>
      </c>
      <c r="AU35" s="1723"/>
      <c r="AV35" s="1723"/>
      <c r="AW35" s="1723"/>
      <c r="AX35" s="1723"/>
      <c r="AY35" s="1723"/>
      <c r="AZ35" s="1723"/>
      <c r="BA35" s="1723"/>
      <c r="BB35" s="1723"/>
      <c r="BC35" s="1723"/>
      <c r="BD35" s="1723"/>
      <c r="BE35" s="1723"/>
      <c r="BF35" s="1724"/>
      <c r="BG35" s="1706" t="s">
        <v>38</v>
      </c>
      <c r="BH35" s="1706" t="s">
        <v>256</v>
      </c>
      <c r="BI35" s="1709" t="s">
        <v>39</v>
      </c>
      <c r="BJ35" s="135"/>
      <c r="BK35" s="135"/>
      <c r="BL35" s="135"/>
      <c r="BM35" s="135"/>
      <c r="BN35" s="135"/>
      <c r="BO35" s="1733" t="s">
        <v>41</v>
      </c>
      <c r="BP35" s="1734"/>
      <c r="BQ35" s="1734"/>
      <c r="BR35" s="1734"/>
      <c r="BS35" s="1734"/>
      <c r="BT35" s="1734"/>
      <c r="BU35" s="1734"/>
      <c r="BV35" s="1734"/>
      <c r="BW35" s="1734"/>
      <c r="BX35" s="1734"/>
      <c r="BY35" s="1734"/>
      <c r="BZ35" s="1734"/>
      <c r="CA35" s="1734"/>
      <c r="CB35" s="1734"/>
      <c r="CC35" s="1734"/>
      <c r="CD35" s="1734"/>
      <c r="CE35" s="1734"/>
      <c r="CF35" s="1734"/>
      <c r="CG35" s="1734"/>
      <c r="CH35" s="1734"/>
      <c r="CI35" s="1734"/>
      <c r="CJ35" s="1734"/>
      <c r="CK35" s="1734"/>
      <c r="CL35" s="1734"/>
      <c r="CM35" s="1734"/>
      <c r="CN35" s="1735"/>
    </row>
    <row r="36" spans="1:98" s="8" customFormat="1" ht="48.75" customHeight="1" x14ac:dyDescent="0.2">
      <c r="A36" s="1704"/>
      <c r="B36" s="1707"/>
      <c r="C36" s="1707"/>
      <c r="D36" s="1728" t="s">
        <v>18</v>
      </c>
      <c r="E36" s="1714" t="s">
        <v>19</v>
      </c>
      <c r="F36" s="1715"/>
      <c r="G36" s="1715"/>
      <c r="H36" s="1715"/>
      <c r="I36" s="1715"/>
      <c r="J36" s="1715"/>
      <c r="K36" s="1715"/>
      <c r="L36" s="1715"/>
      <c r="M36" s="1715"/>
      <c r="N36" s="1715"/>
      <c r="O36" s="1715"/>
      <c r="P36" s="1715"/>
      <c r="Q36" s="1715"/>
      <c r="R36" s="1707"/>
      <c r="S36" s="1712" t="s">
        <v>18</v>
      </c>
      <c r="T36" s="1714" t="s">
        <v>19</v>
      </c>
      <c r="U36" s="1715"/>
      <c r="V36" s="1715"/>
      <c r="W36" s="1715"/>
      <c r="X36" s="1715"/>
      <c r="Y36" s="1715"/>
      <c r="Z36" s="1715"/>
      <c r="AA36" s="1715"/>
      <c r="AB36" s="1715"/>
      <c r="AC36" s="1715"/>
      <c r="AD36" s="1715"/>
      <c r="AE36" s="1716"/>
      <c r="AF36" s="1712" t="s">
        <v>18</v>
      </c>
      <c r="AG36" s="1714" t="s">
        <v>19</v>
      </c>
      <c r="AH36" s="1715"/>
      <c r="AI36" s="1715"/>
      <c r="AJ36" s="1715"/>
      <c r="AK36" s="1715"/>
      <c r="AL36" s="1715"/>
      <c r="AM36" s="1715"/>
      <c r="AN36" s="1715"/>
      <c r="AO36" s="1715"/>
      <c r="AP36" s="1715"/>
      <c r="AQ36" s="1715"/>
      <c r="AR36" s="1715"/>
      <c r="AS36" s="1716"/>
      <c r="AT36" s="1725"/>
      <c r="AU36" s="1726"/>
      <c r="AV36" s="1726"/>
      <c r="AW36" s="1726"/>
      <c r="AX36" s="1726"/>
      <c r="AY36" s="1726"/>
      <c r="AZ36" s="1726"/>
      <c r="BA36" s="1726"/>
      <c r="BB36" s="1726"/>
      <c r="BC36" s="1726"/>
      <c r="BD36" s="1726"/>
      <c r="BE36" s="1726"/>
      <c r="BF36" s="1727"/>
      <c r="BG36" s="1707"/>
      <c r="BH36" s="1707"/>
      <c r="BI36" s="1710"/>
      <c r="BJ36" s="135"/>
      <c r="BK36" s="1736">
        <f>SUM(BK38/60)</f>
        <v>4532</v>
      </c>
      <c r="BL36" s="1736"/>
      <c r="BM36" s="1736"/>
      <c r="BN36" s="23"/>
      <c r="BO36" s="1737" t="s">
        <v>686</v>
      </c>
      <c r="BP36" s="1738"/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9"/>
      <c r="CB36" s="1740" t="s">
        <v>687</v>
      </c>
      <c r="CC36" s="1741"/>
      <c r="CD36" s="1741"/>
      <c r="CE36" s="1741"/>
      <c r="CF36" s="1741"/>
      <c r="CG36" s="1741"/>
      <c r="CH36" s="1741"/>
      <c r="CI36" s="1741"/>
      <c r="CJ36" s="1741"/>
      <c r="CK36" s="1741"/>
      <c r="CL36" s="1741"/>
      <c r="CM36" s="1741"/>
      <c r="CN36" s="1742"/>
    </row>
    <row r="37" spans="1:98" s="6" customFormat="1" ht="28.5" customHeight="1" x14ac:dyDescent="0.2">
      <c r="A37" s="1705"/>
      <c r="B37" s="1708"/>
      <c r="C37" s="1708"/>
      <c r="D37" s="1729"/>
      <c r="E37" s="26">
        <v>1</v>
      </c>
      <c r="F37" s="26">
        <v>2</v>
      </c>
      <c r="G37" s="26">
        <v>3</v>
      </c>
      <c r="H37" s="26">
        <v>4</v>
      </c>
      <c r="I37" s="26">
        <v>5</v>
      </c>
      <c r="J37" s="26">
        <v>6</v>
      </c>
      <c r="K37" s="26">
        <v>7</v>
      </c>
      <c r="L37" s="26">
        <v>8</v>
      </c>
      <c r="M37" s="26">
        <v>9</v>
      </c>
      <c r="N37" s="26">
        <v>10</v>
      </c>
      <c r="O37" s="26">
        <v>11</v>
      </c>
      <c r="P37" s="26">
        <v>12</v>
      </c>
      <c r="Q37" s="26" t="s">
        <v>21</v>
      </c>
      <c r="R37" s="1708"/>
      <c r="S37" s="1713"/>
      <c r="T37" s="26">
        <v>1</v>
      </c>
      <c r="U37" s="26">
        <v>2</v>
      </c>
      <c r="V37" s="26">
        <v>3</v>
      </c>
      <c r="W37" s="26">
        <v>4</v>
      </c>
      <c r="X37" s="26">
        <v>5</v>
      </c>
      <c r="Y37" s="26">
        <v>6</v>
      </c>
      <c r="Z37" s="26">
        <v>7</v>
      </c>
      <c r="AA37" s="26">
        <v>8</v>
      </c>
      <c r="AB37" s="26">
        <v>9</v>
      </c>
      <c r="AC37" s="26">
        <v>10</v>
      </c>
      <c r="AD37" s="26">
        <v>11</v>
      </c>
      <c r="AE37" s="26">
        <v>12</v>
      </c>
      <c r="AF37" s="1713"/>
      <c r="AG37" s="26">
        <v>1</v>
      </c>
      <c r="AH37" s="26">
        <v>2</v>
      </c>
      <c r="AI37" s="26">
        <v>3</v>
      </c>
      <c r="AJ37" s="26">
        <v>4</v>
      </c>
      <c r="AK37" s="26">
        <v>5</v>
      </c>
      <c r="AL37" s="26">
        <v>6</v>
      </c>
      <c r="AM37" s="26">
        <v>7</v>
      </c>
      <c r="AN37" s="26">
        <v>8</v>
      </c>
      <c r="AO37" s="26">
        <v>9</v>
      </c>
      <c r="AP37" s="26">
        <v>10</v>
      </c>
      <c r="AQ37" s="26">
        <v>11</v>
      </c>
      <c r="AR37" s="26">
        <v>12</v>
      </c>
      <c r="AS37" s="26" t="s">
        <v>13</v>
      </c>
      <c r="AT37" s="173">
        <v>1</v>
      </c>
      <c r="AU37" s="173">
        <v>2</v>
      </c>
      <c r="AV37" s="173">
        <v>3</v>
      </c>
      <c r="AW37" s="173">
        <v>4</v>
      </c>
      <c r="AX37" s="173">
        <v>5</v>
      </c>
      <c r="AY37" s="173">
        <v>6</v>
      </c>
      <c r="AZ37" s="173">
        <v>7</v>
      </c>
      <c r="BA37" s="173">
        <v>8</v>
      </c>
      <c r="BB37" s="173">
        <v>9</v>
      </c>
      <c r="BC37" s="173">
        <v>10</v>
      </c>
      <c r="BD37" s="173">
        <v>11</v>
      </c>
      <c r="BE37" s="173">
        <v>12</v>
      </c>
      <c r="BF37" s="26" t="s">
        <v>13</v>
      </c>
      <c r="BG37" s="1708"/>
      <c r="BH37" s="1708"/>
      <c r="BI37" s="1711"/>
      <c r="BJ37" s="7"/>
      <c r="BK37" s="1743" t="s">
        <v>19</v>
      </c>
      <c r="BL37" s="1744"/>
      <c r="BM37" s="1745"/>
      <c r="BN37" s="621"/>
      <c r="BO37" s="173">
        <v>1</v>
      </c>
      <c r="BP37" s="173">
        <v>2</v>
      </c>
      <c r="BQ37" s="173">
        <v>3</v>
      </c>
      <c r="BR37" s="173">
        <v>4</v>
      </c>
      <c r="BS37" s="173">
        <v>5</v>
      </c>
      <c r="BT37" s="173">
        <v>6</v>
      </c>
      <c r="BU37" s="173">
        <v>7</v>
      </c>
      <c r="BV37" s="173">
        <v>8</v>
      </c>
      <c r="BW37" s="173">
        <v>9</v>
      </c>
      <c r="BX37" s="173">
        <v>10</v>
      </c>
      <c r="BY37" s="173">
        <v>11</v>
      </c>
      <c r="BZ37" s="173">
        <v>12</v>
      </c>
      <c r="CA37" s="26" t="s">
        <v>13</v>
      </c>
      <c r="CB37" s="173">
        <v>1</v>
      </c>
      <c r="CC37" s="173">
        <v>2</v>
      </c>
      <c r="CD37" s="173">
        <v>3</v>
      </c>
      <c r="CE37" s="173">
        <v>4</v>
      </c>
      <c r="CF37" s="173">
        <v>5</v>
      </c>
      <c r="CG37" s="173">
        <v>6</v>
      </c>
      <c r="CH37" s="173">
        <v>7</v>
      </c>
      <c r="CI37" s="173">
        <v>8</v>
      </c>
      <c r="CJ37" s="173">
        <v>9</v>
      </c>
      <c r="CK37" s="173">
        <v>10</v>
      </c>
      <c r="CL37" s="173">
        <v>11</v>
      </c>
      <c r="CM37" s="173">
        <v>12</v>
      </c>
      <c r="CN37" s="26" t="s">
        <v>13</v>
      </c>
    </row>
    <row r="38" spans="1:98" s="7" customFormat="1" ht="24.75" customHeight="1" x14ac:dyDescent="0.2">
      <c r="A38" s="41"/>
      <c r="B38" s="141" t="s">
        <v>89</v>
      </c>
      <c r="C38" s="29" t="s">
        <v>25</v>
      </c>
      <c r="D38" s="552">
        <v>30</v>
      </c>
      <c r="E38" s="1401">
        <v>30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1">
        <f>SUM(E38:P38)</f>
        <v>30</v>
      </c>
      <c r="R38" s="83" t="s">
        <v>31</v>
      </c>
      <c r="S38" s="142">
        <v>10300</v>
      </c>
      <c r="T38" s="1140">
        <v>10300</v>
      </c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69">
        <f t="shared" ref="AF38:AF40" si="50">SUM(Q38*S38)</f>
        <v>309000</v>
      </c>
      <c r="AG38" s="1329">
        <f t="shared" ref="AG38:AI40" si="51">T38*E38</f>
        <v>309000</v>
      </c>
      <c r="AH38" s="70">
        <f t="shared" si="51"/>
        <v>0</v>
      </c>
      <c r="AI38" s="70">
        <f t="shared" si="51"/>
        <v>0</v>
      </c>
      <c r="AJ38" s="70">
        <f t="shared" ref="AJ38:AR40" si="52">W38*H38</f>
        <v>0</v>
      </c>
      <c r="AK38" s="70">
        <f t="shared" si="52"/>
        <v>0</v>
      </c>
      <c r="AL38" s="70">
        <f t="shared" si="52"/>
        <v>0</v>
      </c>
      <c r="AM38" s="70">
        <f t="shared" si="52"/>
        <v>0</v>
      </c>
      <c r="AN38" s="70">
        <f t="shared" si="52"/>
        <v>0</v>
      </c>
      <c r="AO38" s="70">
        <f t="shared" si="52"/>
        <v>0</v>
      </c>
      <c r="AP38" s="70">
        <f t="shared" si="52"/>
        <v>0</v>
      </c>
      <c r="AQ38" s="70">
        <f t="shared" si="52"/>
        <v>0</v>
      </c>
      <c r="AR38" s="70">
        <f t="shared" si="52"/>
        <v>0</v>
      </c>
      <c r="AS38" s="71">
        <f>SUM(AG38:AR38)</f>
        <v>309000</v>
      </c>
      <c r="AT38" s="70">
        <f>SUM(AG38*12%)</f>
        <v>37080</v>
      </c>
      <c r="AU38" s="70">
        <f t="shared" ref="AU38:AV40" si="53">SUM(AH38*14%)</f>
        <v>0</v>
      </c>
      <c r="AV38" s="70">
        <f t="shared" si="53"/>
        <v>0</v>
      </c>
      <c r="AW38" s="70">
        <f t="shared" ref="AW38:BE40" si="54">SUM(AJ38*14%)</f>
        <v>0</v>
      </c>
      <c r="AX38" s="70">
        <f t="shared" si="54"/>
        <v>0</v>
      </c>
      <c r="AY38" s="70">
        <f t="shared" si="54"/>
        <v>0</v>
      </c>
      <c r="AZ38" s="70">
        <f t="shared" si="54"/>
        <v>0</v>
      </c>
      <c r="BA38" s="70">
        <f t="shared" si="54"/>
        <v>0</v>
      </c>
      <c r="BB38" s="70">
        <f t="shared" si="54"/>
        <v>0</v>
      </c>
      <c r="BC38" s="70">
        <f t="shared" si="54"/>
        <v>0</v>
      </c>
      <c r="BD38" s="70">
        <f t="shared" si="54"/>
        <v>0</v>
      </c>
      <c r="BE38" s="70">
        <f t="shared" si="54"/>
        <v>0</v>
      </c>
      <c r="BF38" s="72">
        <f>SUM(AT38:BE38)</f>
        <v>37080</v>
      </c>
      <c r="BG38" s="73">
        <f>AF38-AS38</f>
        <v>0</v>
      </c>
      <c r="BH38" s="74">
        <f>S38*D38</f>
        <v>309000</v>
      </c>
      <c r="BI38" s="75">
        <f>BH38-AS38</f>
        <v>0</v>
      </c>
      <c r="BJ38" s="175">
        <f>SUM(Q38/D38)</f>
        <v>1</v>
      </c>
      <c r="BK38" s="1081">
        <f>AG38-AT38</f>
        <v>271920</v>
      </c>
      <c r="BL38" s="1081">
        <f>30*9000</f>
        <v>270000</v>
      </c>
      <c r="BM38" s="1083">
        <f>BK38-BL38</f>
        <v>1920</v>
      </c>
      <c r="BN38" s="1084"/>
      <c r="BO38" s="862"/>
      <c r="BP38" s="862"/>
      <c r="BQ38" s="862"/>
      <c r="BR38" s="862"/>
      <c r="BS38" s="862"/>
      <c r="BT38" s="862"/>
      <c r="BU38" s="862"/>
      <c r="BV38" s="862"/>
      <c r="BW38" s="1081">
        <f t="shared" ref="BW38:BW39" si="55">SUM(AN38*12.5%)</f>
        <v>0</v>
      </c>
      <c r="BX38" s="862"/>
      <c r="BY38" s="862"/>
      <c r="BZ38" s="862"/>
      <c r="CA38" s="73">
        <f t="shared" ref="CA38" si="56">SUM(BO38:BZ38)</f>
        <v>0</v>
      </c>
      <c r="CB38" s="862"/>
      <c r="CC38" s="862"/>
      <c r="CD38" s="862"/>
      <c r="CE38" s="862"/>
      <c r="CF38" s="862"/>
      <c r="CG38" s="862"/>
      <c r="CH38" s="862"/>
      <c r="CI38" s="862"/>
      <c r="CJ38" s="1081"/>
      <c r="CK38" s="862"/>
      <c r="CL38" s="862"/>
      <c r="CM38" s="862"/>
      <c r="CN38" s="73">
        <f t="shared" ref="CN38:CN39" si="57">SUM(CB38:CM38)</f>
        <v>0</v>
      </c>
    </row>
    <row r="39" spans="1:98" s="7" customFormat="1" ht="24.75" customHeight="1" x14ac:dyDescent="0.2">
      <c r="A39" s="41"/>
      <c r="B39" s="141" t="s">
        <v>90</v>
      </c>
      <c r="C39" s="29" t="s">
        <v>25</v>
      </c>
      <c r="D39" s="552">
        <v>30</v>
      </c>
      <c r="E39" s="1401">
        <v>30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1">
        <f>SUM(E39:P39)</f>
        <v>30</v>
      </c>
      <c r="R39" s="83" t="s">
        <v>31</v>
      </c>
      <c r="S39" s="142">
        <v>28500</v>
      </c>
      <c r="T39" s="1140">
        <v>28000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69">
        <f t="shared" si="50"/>
        <v>855000</v>
      </c>
      <c r="AG39" s="1329">
        <f t="shared" si="51"/>
        <v>840000</v>
      </c>
      <c r="AH39" s="70">
        <f t="shared" si="51"/>
        <v>0</v>
      </c>
      <c r="AI39" s="70">
        <f t="shared" si="51"/>
        <v>0</v>
      </c>
      <c r="AJ39" s="70">
        <f t="shared" si="52"/>
        <v>0</v>
      </c>
      <c r="AK39" s="70">
        <f t="shared" si="52"/>
        <v>0</v>
      </c>
      <c r="AL39" s="70">
        <f t="shared" si="52"/>
        <v>0</v>
      </c>
      <c r="AM39" s="70">
        <f t="shared" si="52"/>
        <v>0</v>
      </c>
      <c r="AN39" s="70">
        <f t="shared" si="52"/>
        <v>0</v>
      </c>
      <c r="AO39" s="70">
        <f t="shared" si="52"/>
        <v>0</v>
      </c>
      <c r="AP39" s="70">
        <f t="shared" si="52"/>
        <v>0</v>
      </c>
      <c r="AQ39" s="70">
        <f t="shared" si="52"/>
        <v>0</v>
      </c>
      <c r="AR39" s="70">
        <f t="shared" si="52"/>
        <v>0</v>
      </c>
      <c r="AS39" s="71">
        <f>SUM(AG39:AR39)</f>
        <v>840000</v>
      </c>
      <c r="AT39" s="70">
        <f>SUM(AG39*12%)</f>
        <v>100800</v>
      </c>
      <c r="AU39" s="70">
        <f t="shared" si="53"/>
        <v>0</v>
      </c>
      <c r="AV39" s="70">
        <f t="shared" si="53"/>
        <v>0</v>
      </c>
      <c r="AW39" s="70">
        <f t="shared" si="54"/>
        <v>0</v>
      </c>
      <c r="AX39" s="70">
        <f t="shared" si="54"/>
        <v>0</v>
      </c>
      <c r="AY39" s="70">
        <f t="shared" si="54"/>
        <v>0</v>
      </c>
      <c r="AZ39" s="70">
        <f t="shared" si="54"/>
        <v>0</v>
      </c>
      <c r="BA39" s="70">
        <f t="shared" si="54"/>
        <v>0</v>
      </c>
      <c r="BB39" s="70">
        <f t="shared" si="54"/>
        <v>0</v>
      </c>
      <c r="BC39" s="70">
        <f t="shared" si="54"/>
        <v>0</v>
      </c>
      <c r="BD39" s="70">
        <f t="shared" si="54"/>
        <v>0</v>
      </c>
      <c r="BE39" s="70">
        <f t="shared" si="54"/>
        <v>0</v>
      </c>
      <c r="BF39" s="72">
        <f>SUM(AT39:BE39)</f>
        <v>100800</v>
      </c>
      <c r="BG39" s="73">
        <f>AF39-AS39</f>
        <v>15000</v>
      </c>
      <c r="BH39" s="74">
        <f>S39*D39</f>
        <v>855000</v>
      </c>
      <c r="BI39" s="75">
        <f>BH39-AS39</f>
        <v>15000</v>
      </c>
      <c r="BJ39" s="175">
        <f>SUM(Q39/D39)</f>
        <v>1</v>
      </c>
      <c r="BK39" s="1081">
        <f>AG39-AT39</f>
        <v>739200</v>
      </c>
      <c r="BL39" s="1081">
        <f>30*24000</f>
        <v>720000</v>
      </c>
      <c r="BM39" s="1083">
        <f t="shared" ref="BM39:BM40" si="58">BK39-BL39</f>
        <v>19200</v>
      </c>
      <c r="BN39" s="1084"/>
      <c r="BO39" s="862"/>
      <c r="BP39" s="862"/>
      <c r="BQ39" s="862"/>
      <c r="BR39" s="862"/>
      <c r="BS39" s="862"/>
      <c r="BT39" s="862"/>
      <c r="BU39" s="862"/>
      <c r="BV39" s="862"/>
      <c r="BW39" s="1081">
        <f t="shared" si="55"/>
        <v>0</v>
      </c>
      <c r="BX39" s="862"/>
      <c r="BY39" s="862"/>
      <c r="BZ39" s="862"/>
      <c r="CA39" s="73">
        <f t="shared" ref="CA39" si="59">SUM(BO39:BZ39)</f>
        <v>0</v>
      </c>
      <c r="CB39" s="862"/>
      <c r="CC39" s="862"/>
      <c r="CD39" s="862"/>
      <c r="CE39" s="862"/>
      <c r="CF39" s="862"/>
      <c r="CG39" s="862"/>
      <c r="CH39" s="862"/>
      <c r="CI39" s="862"/>
      <c r="CJ39" s="1081"/>
      <c r="CK39" s="862"/>
      <c r="CL39" s="862"/>
      <c r="CM39" s="862"/>
      <c r="CN39" s="73">
        <f t="shared" si="57"/>
        <v>0</v>
      </c>
    </row>
    <row r="40" spans="1:98" s="7" customFormat="1" ht="24.75" customHeight="1" thickBot="1" x14ac:dyDescent="0.25">
      <c r="A40" s="41"/>
      <c r="B40" s="141" t="s">
        <v>92</v>
      </c>
      <c r="C40" s="29" t="s">
        <v>25</v>
      </c>
      <c r="D40" s="226">
        <v>2</v>
      </c>
      <c r="E40" s="1205">
        <v>2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1">
        <f>SUM(E40:P40)</f>
        <v>2</v>
      </c>
      <c r="R40" s="83" t="s">
        <v>16</v>
      </c>
      <c r="S40" s="142">
        <v>35000</v>
      </c>
      <c r="T40" s="1140">
        <v>35000</v>
      </c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69">
        <f t="shared" si="50"/>
        <v>70000</v>
      </c>
      <c r="AG40" s="1329">
        <f t="shared" si="51"/>
        <v>70000</v>
      </c>
      <c r="AH40" s="70">
        <f t="shared" si="51"/>
        <v>0</v>
      </c>
      <c r="AI40" s="70">
        <f t="shared" si="51"/>
        <v>0</v>
      </c>
      <c r="AJ40" s="70">
        <f t="shared" si="52"/>
        <v>0</v>
      </c>
      <c r="AK40" s="70">
        <f t="shared" si="52"/>
        <v>0</v>
      </c>
      <c r="AL40" s="70">
        <f t="shared" si="52"/>
        <v>0</v>
      </c>
      <c r="AM40" s="70">
        <f t="shared" si="52"/>
        <v>0</v>
      </c>
      <c r="AN40" s="70">
        <f t="shared" si="52"/>
        <v>0</v>
      </c>
      <c r="AO40" s="70">
        <f t="shared" si="52"/>
        <v>0</v>
      </c>
      <c r="AP40" s="70">
        <f t="shared" si="52"/>
        <v>0</v>
      </c>
      <c r="AQ40" s="70">
        <f t="shared" si="52"/>
        <v>0</v>
      </c>
      <c r="AR40" s="70">
        <f t="shared" si="52"/>
        <v>0</v>
      </c>
      <c r="AS40" s="71">
        <f>SUM(AG40:AR40)</f>
        <v>70000</v>
      </c>
      <c r="AT40" s="70">
        <f>SUM(AG40*2%)</f>
        <v>1400</v>
      </c>
      <c r="AU40" s="70">
        <f t="shared" si="53"/>
        <v>0</v>
      </c>
      <c r="AV40" s="70">
        <f t="shared" si="53"/>
        <v>0</v>
      </c>
      <c r="AW40" s="70">
        <f t="shared" si="54"/>
        <v>0</v>
      </c>
      <c r="AX40" s="70">
        <f t="shared" si="54"/>
        <v>0</v>
      </c>
      <c r="AY40" s="70">
        <f t="shared" si="54"/>
        <v>0</v>
      </c>
      <c r="AZ40" s="70">
        <f t="shared" si="54"/>
        <v>0</v>
      </c>
      <c r="BA40" s="70">
        <f t="shared" si="54"/>
        <v>0</v>
      </c>
      <c r="BB40" s="70">
        <f t="shared" si="54"/>
        <v>0</v>
      </c>
      <c r="BC40" s="70">
        <f t="shared" si="54"/>
        <v>0</v>
      </c>
      <c r="BD40" s="70">
        <f t="shared" si="54"/>
        <v>0</v>
      </c>
      <c r="BE40" s="70">
        <f t="shared" si="54"/>
        <v>0</v>
      </c>
      <c r="BF40" s="72">
        <f>SUM(AT40:BE40)</f>
        <v>1400</v>
      </c>
      <c r="BG40" s="73">
        <f>AF40-AS40</f>
        <v>0</v>
      </c>
      <c r="BH40" s="74">
        <f>S40*D40</f>
        <v>70000</v>
      </c>
      <c r="BI40" s="75">
        <f>BH40-AS40</f>
        <v>0</v>
      </c>
      <c r="BJ40" s="175">
        <f>SUM(Q40/D40)</f>
        <v>1</v>
      </c>
      <c r="BK40" s="1081">
        <f>AG40-AT40</f>
        <v>68600</v>
      </c>
      <c r="BL40" s="1081">
        <f>2*30000</f>
        <v>60000</v>
      </c>
      <c r="BM40" s="1083">
        <f t="shared" si="58"/>
        <v>8600</v>
      </c>
      <c r="BN40" s="1084"/>
      <c r="BO40" s="862"/>
      <c r="BP40" s="862"/>
      <c r="BQ40" s="862"/>
      <c r="BR40" s="862"/>
      <c r="BS40" s="862"/>
      <c r="BT40" s="862"/>
      <c r="BU40" s="862"/>
      <c r="BV40" s="862"/>
      <c r="BW40" s="1081">
        <f t="shared" ref="BW40:BW41" si="60">SUM(AN40*12.5%)</f>
        <v>0</v>
      </c>
      <c r="BX40" s="862"/>
      <c r="BY40" s="862"/>
      <c r="BZ40" s="862"/>
      <c r="CA40" s="73">
        <f t="shared" ref="CA40:CA41" si="61">SUM(BO40:BZ40)</f>
        <v>0</v>
      </c>
      <c r="CB40" s="862"/>
      <c r="CC40" s="862"/>
      <c r="CD40" s="862"/>
      <c r="CE40" s="862"/>
      <c r="CF40" s="862"/>
      <c r="CG40" s="862"/>
      <c r="CH40" s="862"/>
      <c r="CI40" s="862"/>
      <c r="CJ40" s="1081"/>
      <c r="CK40" s="862"/>
      <c r="CL40" s="862"/>
      <c r="CM40" s="862"/>
      <c r="CN40" s="73">
        <f t="shared" ref="CN40:CN41" si="62">SUM(CB40:CM40)</f>
        <v>0</v>
      </c>
    </row>
    <row r="41" spans="1:98" s="38" customFormat="1" ht="24.75" customHeight="1" thickBot="1" x14ac:dyDescent="0.25">
      <c r="A41" s="554">
        <v>4</v>
      </c>
      <c r="B41" s="44" t="s">
        <v>4</v>
      </c>
      <c r="C41" s="44"/>
      <c r="D41" s="227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7"/>
      <c r="R41" s="77"/>
      <c r="S41" s="45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78">
        <f t="shared" ref="AF41:BF41" si="63">SUM(AF38:AF40)</f>
        <v>1234000</v>
      </c>
      <c r="AG41" s="78">
        <f>SUM(AG38:AG40)-100000</f>
        <v>1119000</v>
      </c>
      <c r="AH41" s="78">
        <f t="shared" si="63"/>
        <v>0</v>
      </c>
      <c r="AI41" s="78">
        <f t="shared" si="63"/>
        <v>0</v>
      </c>
      <c r="AJ41" s="78">
        <f t="shared" ref="AJ41:AR41" si="64">SUM(AJ38:AJ40)</f>
        <v>0</v>
      </c>
      <c r="AK41" s="78">
        <f t="shared" si="64"/>
        <v>0</v>
      </c>
      <c r="AL41" s="78">
        <f t="shared" si="64"/>
        <v>0</v>
      </c>
      <c r="AM41" s="78">
        <f t="shared" si="64"/>
        <v>0</v>
      </c>
      <c r="AN41" s="78">
        <f t="shared" si="64"/>
        <v>0</v>
      </c>
      <c r="AO41" s="78">
        <f t="shared" si="64"/>
        <v>0</v>
      </c>
      <c r="AP41" s="78">
        <f t="shared" si="64"/>
        <v>0</v>
      </c>
      <c r="AQ41" s="78">
        <f t="shared" si="64"/>
        <v>0</v>
      </c>
      <c r="AR41" s="78">
        <f t="shared" si="64"/>
        <v>0</v>
      </c>
      <c r="AS41" s="78">
        <f>SUM(AS38:AS40)-100000</f>
        <v>1119000</v>
      </c>
      <c r="AT41" s="78">
        <f>SUM(AT38:AT40)</f>
        <v>139280</v>
      </c>
      <c r="AU41" s="78">
        <f t="shared" si="63"/>
        <v>0</v>
      </c>
      <c r="AV41" s="78">
        <f t="shared" si="63"/>
        <v>0</v>
      </c>
      <c r="AW41" s="78">
        <f t="shared" ref="AW41:BE41" si="65">SUM(AW38:AW40)</f>
        <v>0</v>
      </c>
      <c r="AX41" s="78">
        <f t="shared" si="65"/>
        <v>0</v>
      </c>
      <c r="AY41" s="78">
        <f t="shared" si="65"/>
        <v>0</v>
      </c>
      <c r="AZ41" s="78">
        <f t="shared" si="65"/>
        <v>0</v>
      </c>
      <c r="BA41" s="78">
        <f t="shared" si="65"/>
        <v>0</v>
      </c>
      <c r="BB41" s="78">
        <f t="shared" si="65"/>
        <v>0</v>
      </c>
      <c r="BC41" s="78">
        <f t="shared" si="65"/>
        <v>0</v>
      </c>
      <c r="BD41" s="78">
        <f t="shared" si="65"/>
        <v>0</v>
      </c>
      <c r="BE41" s="78">
        <f t="shared" si="65"/>
        <v>0</v>
      </c>
      <c r="BF41" s="78">
        <f t="shared" si="63"/>
        <v>139280</v>
      </c>
      <c r="BG41" s="79">
        <f>SUM(BG38:BG40)</f>
        <v>15000</v>
      </c>
      <c r="BH41" s="78">
        <f>SUM(BH38:BH40)</f>
        <v>1234000</v>
      </c>
      <c r="BI41" s="78">
        <f>SUM(BI38:BI40)</f>
        <v>15000</v>
      </c>
      <c r="BJ41" s="176">
        <f>SUM(BJ38:BJ40)/3</f>
        <v>1</v>
      </c>
      <c r="BK41" s="1081">
        <f>SUM(BK38:BK40)</f>
        <v>1079720</v>
      </c>
      <c r="BL41" s="1081">
        <f>SUM(BL38:BL40)</f>
        <v>1050000</v>
      </c>
      <c r="BM41" s="1083">
        <f>SUM(BM38:BM40)</f>
        <v>29720</v>
      </c>
      <c r="BN41" s="1084"/>
      <c r="BO41" s="862"/>
      <c r="BP41" s="862"/>
      <c r="BQ41" s="862"/>
      <c r="BR41" s="862"/>
      <c r="BS41" s="862"/>
      <c r="BT41" s="862"/>
      <c r="BU41" s="862"/>
      <c r="BV41" s="862"/>
      <c r="BW41" s="1081">
        <f t="shared" si="60"/>
        <v>0</v>
      </c>
      <c r="BX41" s="862"/>
      <c r="BY41" s="862"/>
      <c r="BZ41" s="862"/>
      <c r="CA41" s="73">
        <f t="shared" si="61"/>
        <v>0</v>
      </c>
      <c r="CB41" s="862"/>
      <c r="CC41" s="862"/>
      <c r="CD41" s="862"/>
      <c r="CE41" s="862"/>
      <c r="CF41" s="862"/>
      <c r="CG41" s="862"/>
      <c r="CH41" s="862"/>
      <c r="CI41" s="862"/>
      <c r="CJ41" s="1081"/>
      <c r="CK41" s="862"/>
      <c r="CL41" s="862"/>
      <c r="CM41" s="862"/>
      <c r="CN41" s="73">
        <f t="shared" si="62"/>
        <v>0</v>
      </c>
    </row>
    <row r="42" spans="1:98" s="20" customFormat="1" ht="24.75" customHeight="1" x14ac:dyDescent="0.2">
      <c r="A42" s="50"/>
      <c r="D42" s="22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AE42" s="40"/>
      <c r="AS42" s="51"/>
      <c r="BF42" s="52">
        <f>SUM(AS41+BF41)</f>
        <v>1258280</v>
      </c>
      <c r="BG42" s="53">
        <f>AF41-AS41</f>
        <v>115000</v>
      </c>
      <c r="BH42" s="54">
        <f>SUM(BI41+AS41)</f>
        <v>1134000</v>
      </c>
      <c r="BI42" s="55">
        <f>SUM(BG41)</f>
        <v>15000</v>
      </c>
      <c r="BJ42" s="40" t="s">
        <v>38</v>
      </c>
      <c r="BK42" s="40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</row>
    <row r="43" spans="1:98" s="20" customFormat="1" ht="24.75" customHeight="1" x14ac:dyDescent="0.2">
      <c r="A43" s="553"/>
      <c r="D43" s="22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AE43" s="40"/>
      <c r="AS43" s="40"/>
      <c r="AT43" s="123">
        <f>SUM(AG41+AT41)</f>
        <v>1258280</v>
      </c>
      <c r="AU43" s="123">
        <f t="shared" ref="AU43:BE43" si="66">SUM(AH41+AU41)</f>
        <v>0</v>
      </c>
      <c r="AV43" s="123">
        <f t="shared" si="66"/>
        <v>0</v>
      </c>
      <c r="AW43" s="123">
        <f t="shared" si="66"/>
        <v>0</v>
      </c>
      <c r="AX43" s="123">
        <f t="shared" si="66"/>
        <v>0</v>
      </c>
      <c r="AY43" s="123">
        <f t="shared" si="66"/>
        <v>0</v>
      </c>
      <c r="AZ43" s="123">
        <f t="shared" si="66"/>
        <v>0</v>
      </c>
      <c r="BA43" s="123">
        <f t="shared" si="66"/>
        <v>0</v>
      </c>
      <c r="BB43" s="123">
        <f t="shared" si="66"/>
        <v>0</v>
      </c>
      <c r="BC43" s="123">
        <f t="shared" si="66"/>
        <v>0</v>
      </c>
      <c r="BD43" s="123">
        <f t="shared" si="66"/>
        <v>0</v>
      </c>
      <c r="BE43" s="123">
        <f t="shared" si="66"/>
        <v>0</v>
      </c>
      <c r="BF43" s="123">
        <f>SUM(AT43:BE43)</f>
        <v>1258280</v>
      </c>
      <c r="BG43" s="40"/>
      <c r="BH43" s="56"/>
      <c r="BI43" s="57">
        <f>SUM(BI41-BI42)</f>
        <v>0</v>
      </c>
      <c r="BJ43" s="40" t="s">
        <v>37</v>
      </c>
      <c r="BK43" s="40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</row>
    <row r="44" spans="1:98" s="20" customFormat="1" ht="16.5" customHeight="1" x14ac:dyDescent="0.2">
      <c r="A44" s="1730" t="s">
        <v>8</v>
      </c>
      <c r="B44" s="1731"/>
      <c r="C44" s="124" t="s">
        <v>93</v>
      </c>
      <c r="D44" s="224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7"/>
      <c r="AF44" s="23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8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8"/>
      <c r="BG44" s="138"/>
      <c r="BH44" s="135"/>
      <c r="BI44" s="139"/>
      <c r="BJ44" s="135"/>
      <c r="BK44" s="136"/>
      <c r="BL44" s="136"/>
      <c r="BM44" s="136"/>
      <c r="BN44" s="136"/>
      <c r="BO44" s="136"/>
      <c r="BP44" s="137"/>
      <c r="BQ44" s="136"/>
      <c r="BR44" s="136"/>
      <c r="BS44" s="136"/>
      <c r="BT44" s="136"/>
      <c r="BU44" s="136"/>
      <c r="BV44" s="138"/>
      <c r="BW44" s="138"/>
      <c r="BX44" s="138"/>
      <c r="BY44" s="135"/>
      <c r="BZ44" s="139"/>
      <c r="CA44" s="138"/>
      <c r="CB44" s="138"/>
      <c r="CC44" s="24"/>
      <c r="CD44" s="24"/>
      <c r="CE44" s="24"/>
      <c r="CF44" s="24"/>
      <c r="CG44" s="24"/>
      <c r="CH44" s="140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</row>
    <row r="45" spans="1:98" s="8" customFormat="1" ht="48.75" customHeight="1" x14ac:dyDescent="0.2">
      <c r="A45" s="1703" t="s">
        <v>10</v>
      </c>
      <c r="B45" s="1706" t="s">
        <v>11</v>
      </c>
      <c r="C45" s="1706" t="s">
        <v>22</v>
      </c>
      <c r="D45" s="1721" t="s">
        <v>12</v>
      </c>
      <c r="E45" s="1721"/>
      <c r="F45" s="1721"/>
      <c r="G45" s="1721"/>
      <c r="H45" s="1721"/>
      <c r="I45" s="1721"/>
      <c r="J45" s="1721"/>
      <c r="K45" s="1721"/>
      <c r="L45" s="1721"/>
      <c r="M45" s="1721"/>
      <c r="N45" s="1721"/>
      <c r="O45" s="1721"/>
      <c r="P45" s="1721"/>
      <c r="Q45" s="1721"/>
      <c r="R45" s="1706" t="s">
        <v>20</v>
      </c>
      <c r="S45" s="1717" t="s">
        <v>17</v>
      </c>
      <c r="T45" s="1718"/>
      <c r="U45" s="1718"/>
      <c r="V45" s="1718"/>
      <c r="W45" s="1718"/>
      <c r="X45" s="1718"/>
      <c r="Y45" s="1718"/>
      <c r="Z45" s="1718"/>
      <c r="AA45" s="1718"/>
      <c r="AB45" s="1718"/>
      <c r="AC45" s="1718"/>
      <c r="AD45" s="1718"/>
      <c r="AE45" s="1719"/>
      <c r="AF45" s="1720" t="s">
        <v>6</v>
      </c>
      <c r="AG45" s="1720"/>
      <c r="AH45" s="1720"/>
      <c r="AI45" s="1720"/>
      <c r="AJ45" s="1720"/>
      <c r="AK45" s="1720"/>
      <c r="AL45" s="1720"/>
      <c r="AM45" s="1720"/>
      <c r="AN45" s="1720"/>
      <c r="AO45" s="1720"/>
      <c r="AP45" s="1720"/>
      <c r="AQ45" s="1720"/>
      <c r="AR45" s="1720"/>
      <c r="AS45" s="1720"/>
      <c r="AT45" s="1722" t="s">
        <v>41</v>
      </c>
      <c r="AU45" s="1723"/>
      <c r="AV45" s="1723"/>
      <c r="AW45" s="1723"/>
      <c r="AX45" s="1723"/>
      <c r="AY45" s="1723"/>
      <c r="AZ45" s="1723"/>
      <c r="BA45" s="1723"/>
      <c r="BB45" s="1723"/>
      <c r="BC45" s="1723"/>
      <c r="BD45" s="1723"/>
      <c r="BE45" s="1723"/>
      <c r="BF45" s="1724"/>
      <c r="BG45" s="1706" t="s">
        <v>38</v>
      </c>
      <c r="BH45" s="1706" t="s">
        <v>256</v>
      </c>
      <c r="BI45" s="1709" t="s">
        <v>39</v>
      </c>
      <c r="BJ45" s="135"/>
      <c r="BK45" s="135"/>
      <c r="BL45" s="135"/>
      <c r="BM45" s="135"/>
      <c r="BN45" s="135"/>
      <c r="BO45" s="1733" t="s">
        <v>41</v>
      </c>
      <c r="BP45" s="1734"/>
      <c r="BQ45" s="1734"/>
      <c r="BR45" s="1734"/>
      <c r="BS45" s="1734"/>
      <c r="BT45" s="1734"/>
      <c r="BU45" s="1734"/>
      <c r="BV45" s="1734"/>
      <c r="BW45" s="1734"/>
      <c r="BX45" s="1734"/>
      <c r="BY45" s="1734"/>
      <c r="BZ45" s="1734"/>
      <c r="CA45" s="1734"/>
      <c r="CB45" s="1734"/>
      <c r="CC45" s="1734"/>
      <c r="CD45" s="1734"/>
      <c r="CE45" s="1734"/>
      <c r="CF45" s="1734"/>
      <c r="CG45" s="1734"/>
      <c r="CH45" s="1734"/>
      <c r="CI45" s="1734"/>
      <c r="CJ45" s="1734"/>
      <c r="CK45" s="1734"/>
      <c r="CL45" s="1734"/>
      <c r="CM45" s="1734"/>
      <c r="CN45" s="1735"/>
    </row>
    <row r="46" spans="1:98" s="8" customFormat="1" ht="48.75" customHeight="1" x14ac:dyDescent="0.2">
      <c r="A46" s="1704"/>
      <c r="B46" s="1707"/>
      <c r="C46" s="1707"/>
      <c r="D46" s="1728" t="s">
        <v>18</v>
      </c>
      <c r="E46" s="1714" t="s">
        <v>19</v>
      </c>
      <c r="F46" s="1715"/>
      <c r="G46" s="1715"/>
      <c r="H46" s="1715"/>
      <c r="I46" s="1715"/>
      <c r="J46" s="1715"/>
      <c r="K46" s="1715"/>
      <c r="L46" s="1715"/>
      <c r="M46" s="1715"/>
      <c r="N46" s="1715"/>
      <c r="O46" s="1715"/>
      <c r="P46" s="1715"/>
      <c r="Q46" s="1715"/>
      <c r="R46" s="1707"/>
      <c r="S46" s="1712" t="s">
        <v>18</v>
      </c>
      <c r="T46" s="1714" t="s">
        <v>19</v>
      </c>
      <c r="U46" s="1715"/>
      <c r="V46" s="1715"/>
      <c r="W46" s="1715"/>
      <c r="X46" s="1715"/>
      <c r="Y46" s="1715"/>
      <c r="Z46" s="1715"/>
      <c r="AA46" s="1715"/>
      <c r="AB46" s="1715"/>
      <c r="AC46" s="1715"/>
      <c r="AD46" s="1715"/>
      <c r="AE46" s="1716"/>
      <c r="AF46" s="1712" t="s">
        <v>18</v>
      </c>
      <c r="AG46" s="1714" t="s">
        <v>19</v>
      </c>
      <c r="AH46" s="1715"/>
      <c r="AI46" s="1715"/>
      <c r="AJ46" s="1715"/>
      <c r="AK46" s="1715"/>
      <c r="AL46" s="1715"/>
      <c r="AM46" s="1715"/>
      <c r="AN46" s="1715"/>
      <c r="AO46" s="1715"/>
      <c r="AP46" s="1715"/>
      <c r="AQ46" s="1715"/>
      <c r="AR46" s="1715"/>
      <c r="AS46" s="1716"/>
      <c r="AT46" s="1725"/>
      <c r="AU46" s="1726"/>
      <c r="AV46" s="1726"/>
      <c r="AW46" s="1726"/>
      <c r="AX46" s="1726"/>
      <c r="AY46" s="1726"/>
      <c r="AZ46" s="1726"/>
      <c r="BA46" s="1726"/>
      <c r="BB46" s="1726"/>
      <c r="BC46" s="1726"/>
      <c r="BD46" s="1726"/>
      <c r="BE46" s="1726"/>
      <c r="BF46" s="1727"/>
      <c r="BG46" s="1707"/>
      <c r="BH46" s="1707"/>
      <c r="BI46" s="1710"/>
      <c r="BJ46" s="135"/>
      <c r="BK46" s="1736">
        <f>SUM(BK48/60)</f>
        <v>0</v>
      </c>
      <c r="BL46" s="1736"/>
      <c r="BM46" s="1736"/>
      <c r="BN46" s="23"/>
      <c r="BO46" s="1737" t="s">
        <v>686</v>
      </c>
      <c r="BP46" s="1738"/>
      <c r="BQ46" s="1738"/>
      <c r="BR46" s="1738"/>
      <c r="BS46" s="1738"/>
      <c r="BT46" s="1738"/>
      <c r="BU46" s="1738"/>
      <c r="BV46" s="1738"/>
      <c r="BW46" s="1738"/>
      <c r="BX46" s="1738"/>
      <c r="BY46" s="1738"/>
      <c r="BZ46" s="1738"/>
      <c r="CA46" s="1739"/>
      <c r="CB46" s="1740" t="s">
        <v>687</v>
      </c>
      <c r="CC46" s="1741"/>
      <c r="CD46" s="1741"/>
      <c r="CE46" s="1741"/>
      <c r="CF46" s="1741"/>
      <c r="CG46" s="1741"/>
      <c r="CH46" s="1741"/>
      <c r="CI46" s="1741"/>
      <c r="CJ46" s="1741"/>
      <c r="CK46" s="1741"/>
      <c r="CL46" s="1741"/>
      <c r="CM46" s="1741"/>
      <c r="CN46" s="1742"/>
    </row>
    <row r="47" spans="1:98" s="6" customFormat="1" ht="28.5" customHeight="1" x14ac:dyDescent="0.2">
      <c r="A47" s="1705"/>
      <c r="B47" s="1708"/>
      <c r="C47" s="1708"/>
      <c r="D47" s="1729"/>
      <c r="E47" s="26">
        <v>1</v>
      </c>
      <c r="F47" s="26">
        <v>2</v>
      </c>
      <c r="G47" s="26">
        <v>3</v>
      </c>
      <c r="H47" s="26">
        <v>4</v>
      </c>
      <c r="I47" s="26">
        <v>5</v>
      </c>
      <c r="J47" s="26">
        <v>6</v>
      </c>
      <c r="K47" s="26">
        <v>7</v>
      </c>
      <c r="L47" s="26">
        <v>8</v>
      </c>
      <c r="M47" s="26">
        <v>9</v>
      </c>
      <c r="N47" s="26">
        <v>10</v>
      </c>
      <c r="O47" s="26">
        <v>11</v>
      </c>
      <c r="P47" s="26">
        <v>12</v>
      </c>
      <c r="Q47" s="26" t="s">
        <v>21</v>
      </c>
      <c r="R47" s="1708"/>
      <c r="S47" s="1713"/>
      <c r="T47" s="26">
        <v>1</v>
      </c>
      <c r="U47" s="26">
        <v>2</v>
      </c>
      <c r="V47" s="26">
        <v>3</v>
      </c>
      <c r="W47" s="26">
        <v>4</v>
      </c>
      <c r="X47" s="26">
        <v>5</v>
      </c>
      <c r="Y47" s="26">
        <v>6</v>
      </c>
      <c r="Z47" s="26">
        <v>7</v>
      </c>
      <c r="AA47" s="26">
        <v>8</v>
      </c>
      <c r="AB47" s="26">
        <v>9</v>
      </c>
      <c r="AC47" s="26">
        <v>10</v>
      </c>
      <c r="AD47" s="26">
        <v>11</v>
      </c>
      <c r="AE47" s="26">
        <v>12</v>
      </c>
      <c r="AF47" s="1713"/>
      <c r="AG47" s="26">
        <v>1</v>
      </c>
      <c r="AH47" s="26">
        <v>2</v>
      </c>
      <c r="AI47" s="26">
        <v>3</v>
      </c>
      <c r="AJ47" s="26">
        <v>4</v>
      </c>
      <c r="AK47" s="26">
        <v>5</v>
      </c>
      <c r="AL47" s="26">
        <v>6</v>
      </c>
      <c r="AM47" s="26">
        <v>7</v>
      </c>
      <c r="AN47" s="26">
        <v>8</v>
      </c>
      <c r="AO47" s="26">
        <v>9</v>
      </c>
      <c r="AP47" s="26">
        <v>10</v>
      </c>
      <c r="AQ47" s="26">
        <v>11</v>
      </c>
      <c r="AR47" s="26">
        <v>12</v>
      </c>
      <c r="AS47" s="26" t="s">
        <v>13</v>
      </c>
      <c r="AT47" s="173">
        <v>1</v>
      </c>
      <c r="AU47" s="173">
        <v>2</v>
      </c>
      <c r="AV47" s="173">
        <v>3</v>
      </c>
      <c r="AW47" s="173">
        <v>4</v>
      </c>
      <c r="AX47" s="173">
        <v>5</v>
      </c>
      <c r="AY47" s="173">
        <v>6</v>
      </c>
      <c r="AZ47" s="173">
        <v>7</v>
      </c>
      <c r="BA47" s="173">
        <v>8</v>
      </c>
      <c r="BB47" s="173">
        <v>9</v>
      </c>
      <c r="BC47" s="173">
        <v>10</v>
      </c>
      <c r="BD47" s="173">
        <v>11</v>
      </c>
      <c r="BE47" s="173">
        <v>12</v>
      </c>
      <c r="BF47" s="26" t="s">
        <v>13</v>
      </c>
      <c r="BG47" s="1708"/>
      <c r="BH47" s="1708"/>
      <c r="BI47" s="1711"/>
      <c r="BJ47" s="7"/>
      <c r="BK47" s="1743" t="s">
        <v>19</v>
      </c>
      <c r="BL47" s="1744"/>
      <c r="BM47" s="1745"/>
      <c r="BN47" s="621"/>
      <c r="BO47" s="173">
        <v>1</v>
      </c>
      <c r="BP47" s="173">
        <v>2</v>
      </c>
      <c r="BQ47" s="173">
        <v>3</v>
      </c>
      <c r="BR47" s="173">
        <v>4</v>
      </c>
      <c r="BS47" s="173">
        <v>5</v>
      </c>
      <c r="BT47" s="173">
        <v>6</v>
      </c>
      <c r="BU47" s="173">
        <v>7</v>
      </c>
      <c r="BV47" s="173">
        <v>8</v>
      </c>
      <c r="BW47" s="173">
        <v>9</v>
      </c>
      <c r="BX47" s="173">
        <v>10</v>
      </c>
      <c r="BY47" s="173">
        <v>11</v>
      </c>
      <c r="BZ47" s="173">
        <v>12</v>
      </c>
      <c r="CA47" s="26" t="s">
        <v>13</v>
      </c>
      <c r="CB47" s="173">
        <v>1</v>
      </c>
      <c r="CC47" s="173">
        <v>2</v>
      </c>
      <c r="CD47" s="173">
        <v>3</v>
      </c>
      <c r="CE47" s="173">
        <v>4</v>
      </c>
      <c r="CF47" s="173">
        <v>5</v>
      </c>
      <c r="CG47" s="173">
        <v>6</v>
      </c>
      <c r="CH47" s="173">
        <v>7</v>
      </c>
      <c r="CI47" s="173">
        <v>8</v>
      </c>
      <c r="CJ47" s="173">
        <v>9</v>
      </c>
      <c r="CK47" s="173">
        <v>10</v>
      </c>
      <c r="CL47" s="173">
        <v>11</v>
      </c>
      <c r="CM47" s="173">
        <v>12</v>
      </c>
      <c r="CN47" s="26" t="s">
        <v>13</v>
      </c>
    </row>
    <row r="48" spans="1:98" s="37" customFormat="1" ht="24.75" customHeight="1" x14ac:dyDescent="0.2">
      <c r="A48" s="28"/>
      <c r="B48" s="141" t="s">
        <v>89</v>
      </c>
      <c r="C48" s="29" t="s">
        <v>25</v>
      </c>
      <c r="D48" s="552">
        <v>50</v>
      </c>
      <c r="E48" s="893">
        <v>50</v>
      </c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1">
        <f>SUM(E48:P48)</f>
        <v>50</v>
      </c>
      <c r="R48" s="83" t="s">
        <v>31</v>
      </c>
      <c r="S48" s="142">
        <v>10300</v>
      </c>
      <c r="T48" s="628">
        <v>9000</v>
      </c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629">
        <f t="shared" ref="AF48:AF51" si="67">SUM(Q48*S48)</f>
        <v>515000</v>
      </c>
      <c r="AG48" s="70">
        <f t="shared" ref="AG48:AI51" si="68">T48*E48</f>
        <v>450000</v>
      </c>
      <c r="AH48" s="70">
        <f t="shared" si="68"/>
        <v>0</v>
      </c>
      <c r="AI48" s="70">
        <f t="shared" si="68"/>
        <v>0</v>
      </c>
      <c r="AJ48" s="70">
        <f t="shared" ref="AJ48:AR51" si="69">W48*H48</f>
        <v>0</v>
      </c>
      <c r="AK48" s="70">
        <f t="shared" si="69"/>
        <v>0</v>
      </c>
      <c r="AL48" s="70">
        <f t="shared" si="69"/>
        <v>0</v>
      </c>
      <c r="AM48" s="70">
        <f t="shared" si="69"/>
        <v>0</v>
      </c>
      <c r="AN48" s="70">
        <f t="shared" si="69"/>
        <v>0</v>
      </c>
      <c r="AO48" s="70">
        <f t="shared" si="69"/>
        <v>0</v>
      </c>
      <c r="AP48" s="70">
        <f t="shared" si="69"/>
        <v>0</v>
      </c>
      <c r="AQ48" s="70">
        <f t="shared" si="69"/>
        <v>0</v>
      </c>
      <c r="AR48" s="70">
        <f t="shared" si="69"/>
        <v>0</v>
      </c>
      <c r="AS48" s="71">
        <f>SUM(AG48:AR48)</f>
        <v>450000</v>
      </c>
      <c r="AT48" s="70">
        <f>SUM(AG48*4%)</f>
        <v>18000</v>
      </c>
      <c r="AU48" s="70">
        <f t="shared" ref="AU48:AV51" si="70">SUM(AH48*14%)</f>
        <v>0</v>
      </c>
      <c r="AV48" s="70">
        <f t="shared" si="70"/>
        <v>0</v>
      </c>
      <c r="AW48" s="70">
        <f t="shared" ref="AW48:BE51" si="71">SUM(AJ48*14%)</f>
        <v>0</v>
      </c>
      <c r="AX48" s="70">
        <f t="shared" si="71"/>
        <v>0</v>
      </c>
      <c r="AY48" s="70">
        <f t="shared" si="71"/>
        <v>0</v>
      </c>
      <c r="AZ48" s="70">
        <f t="shared" si="71"/>
        <v>0</v>
      </c>
      <c r="BA48" s="70">
        <f t="shared" si="71"/>
        <v>0</v>
      </c>
      <c r="BB48" s="70">
        <f t="shared" si="71"/>
        <v>0</v>
      </c>
      <c r="BC48" s="70">
        <f t="shared" si="71"/>
        <v>0</v>
      </c>
      <c r="BD48" s="70">
        <f t="shared" si="71"/>
        <v>0</v>
      </c>
      <c r="BE48" s="70">
        <f t="shared" si="71"/>
        <v>0</v>
      </c>
      <c r="BF48" s="72">
        <f>SUM(AT48:BE48)</f>
        <v>18000</v>
      </c>
      <c r="BG48" s="73">
        <f>AF48-AS48-BF48</f>
        <v>47000</v>
      </c>
      <c r="BH48" s="74">
        <f>S48*D48</f>
        <v>515000</v>
      </c>
      <c r="BI48" s="75">
        <f>BH48-AS48-BF48</f>
        <v>47000</v>
      </c>
      <c r="BJ48" s="891">
        <f>SUM(Q48/D48)</f>
        <v>1</v>
      </c>
      <c r="BK48" s="1081"/>
      <c r="BL48" s="1081"/>
      <c r="BM48" s="1083"/>
      <c r="BN48" s="1084"/>
      <c r="BO48" s="862"/>
      <c r="BP48" s="862"/>
      <c r="BQ48" s="862"/>
      <c r="BR48" s="862"/>
      <c r="BS48" s="862"/>
      <c r="BT48" s="862"/>
      <c r="BU48" s="862"/>
      <c r="BV48" s="862"/>
      <c r="BW48" s="1081">
        <f t="shared" ref="BW48:BW49" si="72">SUM(AN48*12.5%)</f>
        <v>0</v>
      </c>
      <c r="BX48" s="862"/>
      <c r="BY48" s="862"/>
      <c r="BZ48" s="862"/>
      <c r="CA48" s="73">
        <f t="shared" ref="CA48" si="73">SUM(BO48:BZ48)</f>
        <v>0</v>
      </c>
      <c r="CB48" s="862"/>
      <c r="CC48" s="862"/>
      <c r="CD48" s="862"/>
      <c r="CE48" s="862"/>
      <c r="CF48" s="862"/>
      <c r="CG48" s="862"/>
      <c r="CH48" s="862"/>
      <c r="CI48" s="862"/>
      <c r="CJ48" s="1081"/>
      <c r="CK48" s="862"/>
      <c r="CL48" s="862"/>
      <c r="CM48" s="862"/>
      <c r="CN48" s="73">
        <f t="shared" ref="CN48:CN49" si="74">SUM(CB48:CM48)</f>
        <v>0</v>
      </c>
    </row>
    <row r="49" spans="1:98" s="37" customFormat="1" ht="24.75" customHeight="1" x14ac:dyDescent="0.2">
      <c r="A49" s="28"/>
      <c r="B49" s="141" t="s">
        <v>90</v>
      </c>
      <c r="C49" s="29" t="s">
        <v>25</v>
      </c>
      <c r="D49" s="552">
        <v>50</v>
      </c>
      <c r="E49" s="893">
        <v>50</v>
      </c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1">
        <f>SUM(E49:P49)</f>
        <v>50</v>
      </c>
      <c r="R49" s="83" t="s">
        <v>31</v>
      </c>
      <c r="S49" s="142">
        <v>28500</v>
      </c>
      <c r="T49" s="628">
        <v>25000</v>
      </c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629">
        <f t="shared" si="67"/>
        <v>1425000</v>
      </c>
      <c r="AG49" s="70">
        <f t="shared" si="68"/>
        <v>1250000</v>
      </c>
      <c r="AH49" s="70">
        <f t="shared" si="68"/>
        <v>0</v>
      </c>
      <c r="AI49" s="70">
        <f t="shared" si="68"/>
        <v>0</v>
      </c>
      <c r="AJ49" s="70">
        <f t="shared" si="69"/>
        <v>0</v>
      </c>
      <c r="AK49" s="70">
        <f t="shared" si="69"/>
        <v>0</v>
      </c>
      <c r="AL49" s="70">
        <f t="shared" si="69"/>
        <v>0</v>
      </c>
      <c r="AM49" s="70">
        <f t="shared" si="69"/>
        <v>0</v>
      </c>
      <c r="AN49" s="70">
        <f t="shared" si="69"/>
        <v>0</v>
      </c>
      <c r="AO49" s="70">
        <f t="shared" si="69"/>
        <v>0</v>
      </c>
      <c r="AP49" s="70">
        <f t="shared" si="69"/>
        <v>0</v>
      </c>
      <c r="AQ49" s="70">
        <f t="shared" si="69"/>
        <v>0</v>
      </c>
      <c r="AR49" s="70">
        <f t="shared" si="69"/>
        <v>0</v>
      </c>
      <c r="AS49" s="71">
        <f>SUM(AG49:AR49)</f>
        <v>1250000</v>
      </c>
      <c r="AT49" s="70">
        <f t="shared" ref="AT49:AT51" si="75">SUM(AG49*4%)</f>
        <v>50000</v>
      </c>
      <c r="AU49" s="70">
        <f t="shared" si="70"/>
        <v>0</v>
      </c>
      <c r="AV49" s="70">
        <f t="shared" si="70"/>
        <v>0</v>
      </c>
      <c r="AW49" s="70">
        <f t="shared" si="71"/>
        <v>0</v>
      </c>
      <c r="AX49" s="70">
        <f t="shared" si="71"/>
        <v>0</v>
      </c>
      <c r="AY49" s="70">
        <f t="shared" si="71"/>
        <v>0</v>
      </c>
      <c r="AZ49" s="70">
        <f t="shared" si="71"/>
        <v>0</v>
      </c>
      <c r="BA49" s="70">
        <f t="shared" si="71"/>
        <v>0</v>
      </c>
      <c r="BB49" s="70">
        <f t="shared" si="71"/>
        <v>0</v>
      </c>
      <c r="BC49" s="70">
        <f t="shared" si="71"/>
        <v>0</v>
      </c>
      <c r="BD49" s="70">
        <f t="shared" si="71"/>
        <v>0</v>
      </c>
      <c r="BE49" s="70">
        <f t="shared" si="71"/>
        <v>0</v>
      </c>
      <c r="BF49" s="72">
        <f>SUM(AT49:BE49)</f>
        <v>50000</v>
      </c>
      <c r="BG49" s="73">
        <f>AF49-AS49-BF49</f>
        <v>125000</v>
      </c>
      <c r="BH49" s="74">
        <f>S49*D49</f>
        <v>1425000</v>
      </c>
      <c r="BI49" s="75">
        <f>BH49-AS49-BF49</f>
        <v>125000</v>
      </c>
      <c r="BJ49" s="891">
        <f>SUM(Q49/D49)</f>
        <v>1</v>
      </c>
      <c r="BK49" s="1081"/>
      <c r="BL49" s="1081"/>
      <c r="BM49" s="1083"/>
      <c r="BN49" s="1084"/>
      <c r="BO49" s="862"/>
      <c r="BP49" s="862"/>
      <c r="BQ49" s="862"/>
      <c r="BR49" s="862"/>
      <c r="BS49" s="862"/>
      <c r="BT49" s="862"/>
      <c r="BU49" s="862"/>
      <c r="BV49" s="862"/>
      <c r="BW49" s="1081">
        <f t="shared" si="72"/>
        <v>0</v>
      </c>
      <c r="BX49" s="862"/>
      <c r="BY49" s="862"/>
      <c r="BZ49" s="862"/>
      <c r="CA49" s="73">
        <f t="shared" ref="CA49" si="76">SUM(BO49:BZ49)</f>
        <v>0</v>
      </c>
      <c r="CB49" s="862"/>
      <c r="CC49" s="862"/>
      <c r="CD49" s="862"/>
      <c r="CE49" s="862"/>
      <c r="CF49" s="862"/>
      <c r="CG49" s="862"/>
      <c r="CH49" s="862"/>
      <c r="CI49" s="862"/>
      <c r="CJ49" s="1081"/>
      <c r="CK49" s="862"/>
      <c r="CL49" s="862"/>
      <c r="CM49" s="862"/>
      <c r="CN49" s="73">
        <f t="shared" si="74"/>
        <v>0</v>
      </c>
    </row>
    <row r="50" spans="1:98" s="37" customFormat="1" ht="24.75" customHeight="1" x14ac:dyDescent="0.2">
      <c r="A50" s="28"/>
      <c r="B50" s="141" t="s">
        <v>109</v>
      </c>
      <c r="C50" s="29" t="s">
        <v>25</v>
      </c>
      <c r="D50" s="552">
        <v>4</v>
      </c>
      <c r="E50" s="893">
        <v>4</v>
      </c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1">
        <f>SUM(E50:P50)</f>
        <v>4</v>
      </c>
      <c r="R50" s="83" t="s">
        <v>31</v>
      </c>
      <c r="S50" s="142">
        <v>49900</v>
      </c>
      <c r="T50" s="628">
        <v>45000</v>
      </c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629">
        <f t="shared" si="67"/>
        <v>199600</v>
      </c>
      <c r="AG50" s="70">
        <f t="shared" si="68"/>
        <v>180000</v>
      </c>
      <c r="AH50" s="70">
        <f t="shared" si="68"/>
        <v>0</v>
      </c>
      <c r="AI50" s="70">
        <f t="shared" si="68"/>
        <v>0</v>
      </c>
      <c r="AJ50" s="70">
        <f t="shared" si="69"/>
        <v>0</v>
      </c>
      <c r="AK50" s="70">
        <f t="shared" si="69"/>
        <v>0</v>
      </c>
      <c r="AL50" s="70">
        <f t="shared" si="69"/>
        <v>0</v>
      </c>
      <c r="AM50" s="70">
        <f t="shared" si="69"/>
        <v>0</v>
      </c>
      <c r="AN50" s="70">
        <f t="shared" si="69"/>
        <v>0</v>
      </c>
      <c r="AO50" s="70">
        <f t="shared" si="69"/>
        <v>0</v>
      </c>
      <c r="AP50" s="70">
        <f t="shared" si="69"/>
        <v>0</v>
      </c>
      <c r="AQ50" s="70">
        <f t="shared" si="69"/>
        <v>0</v>
      </c>
      <c r="AR50" s="70">
        <f t="shared" si="69"/>
        <v>0</v>
      </c>
      <c r="AS50" s="71">
        <f>SUM(AG50:AR50)</f>
        <v>180000</v>
      </c>
      <c r="AT50" s="70">
        <f t="shared" si="75"/>
        <v>7200</v>
      </c>
      <c r="AU50" s="70">
        <f t="shared" si="70"/>
        <v>0</v>
      </c>
      <c r="AV50" s="70">
        <f t="shared" si="70"/>
        <v>0</v>
      </c>
      <c r="AW50" s="70">
        <f t="shared" si="71"/>
        <v>0</v>
      </c>
      <c r="AX50" s="70">
        <f t="shared" si="71"/>
        <v>0</v>
      </c>
      <c r="AY50" s="70">
        <f t="shared" si="71"/>
        <v>0</v>
      </c>
      <c r="AZ50" s="70">
        <f t="shared" si="71"/>
        <v>0</v>
      </c>
      <c r="BA50" s="70">
        <f t="shared" si="71"/>
        <v>0</v>
      </c>
      <c r="BB50" s="70">
        <f t="shared" si="71"/>
        <v>0</v>
      </c>
      <c r="BC50" s="70">
        <f t="shared" si="71"/>
        <v>0</v>
      </c>
      <c r="BD50" s="70">
        <f t="shared" si="71"/>
        <v>0</v>
      </c>
      <c r="BE50" s="70">
        <f t="shared" si="71"/>
        <v>0</v>
      </c>
      <c r="BF50" s="72">
        <f>SUM(AT50:BE50)</f>
        <v>7200</v>
      </c>
      <c r="BG50" s="73">
        <f>AF50-AS50-BF50</f>
        <v>12400</v>
      </c>
      <c r="BH50" s="74">
        <f>S50*D50</f>
        <v>199600</v>
      </c>
      <c r="BI50" s="75">
        <f>BH50-AS50-BF50</f>
        <v>12400</v>
      </c>
      <c r="BJ50" s="891">
        <f>SUM(Q50/D50)</f>
        <v>1</v>
      </c>
      <c r="BK50" s="1081"/>
      <c r="BL50" s="1081"/>
      <c r="BM50" s="1083"/>
      <c r="BN50" s="1084"/>
      <c r="BO50" s="862"/>
      <c r="BP50" s="862"/>
      <c r="BQ50" s="862"/>
      <c r="BR50" s="862"/>
      <c r="BS50" s="862"/>
      <c r="BT50" s="862"/>
      <c r="BU50" s="862"/>
      <c r="BV50" s="862"/>
      <c r="BW50" s="1081">
        <f t="shared" ref="BW50:BW52" si="77">SUM(AN50*12.5%)</f>
        <v>0</v>
      </c>
      <c r="BX50" s="862"/>
      <c r="BY50" s="862"/>
      <c r="BZ50" s="862"/>
      <c r="CA50" s="73">
        <f t="shared" ref="CA50:CA52" si="78">SUM(BO50:BZ50)</f>
        <v>0</v>
      </c>
      <c r="CB50" s="862"/>
      <c r="CC50" s="862"/>
      <c r="CD50" s="862"/>
      <c r="CE50" s="862"/>
      <c r="CF50" s="862"/>
      <c r="CG50" s="862"/>
      <c r="CH50" s="862"/>
      <c r="CI50" s="862"/>
      <c r="CJ50" s="1081"/>
      <c r="CK50" s="862"/>
      <c r="CL50" s="862"/>
      <c r="CM50" s="862"/>
      <c r="CN50" s="73">
        <f t="shared" ref="CN50:CN52" si="79">SUM(CB50:CM50)</f>
        <v>0</v>
      </c>
    </row>
    <row r="51" spans="1:98" s="37" customFormat="1" ht="24.75" customHeight="1" thickBot="1" x14ac:dyDescent="0.25">
      <c r="A51" s="28"/>
      <c r="B51" s="141" t="s">
        <v>92</v>
      </c>
      <c r="C51" s="29" t="s">
        <v>25</v>
      </c>
      <c r="D51" s="892">
        <v>2</v>
      </c>
      <c r="E51" s="893">
        <v>2</v>
      </c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1">
        <f>SUM(E51:P51)</f>
        <v>2</v>
      </c>
      <c r="R51" s="83" t="s">
        <v>16</v>
      </c>
      <c r="S51" s="142">
        <v>35000</v>
      </c>
      <c r="T51" s="628">
        <v>30000</v>
      </c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629">
        <f t="shared" si="67"/>
        <v>70000</v>
      </c>
      <c r="AG51" s="70">
        <f t="shared" si="68"/>
        <v>60000</v>
      </c>
      <c r="AH51" s="70">
        <f t="shared" si="68"/>
        <v>0</v>
      </c>
      <c r="AI51" s="70">
        <f t="shared" si="68"/>
        <v>0</v>
      </c>
      <c r="AJ51" s="70">
        <f t="shared" si="69"/>
        <v>0</v>
      </c>
      <c r="AK51" s="70">
        <f t="shared" si="69"/>
        <v>0</v>
      </c>
      <c r="AL51" s="70">
        <f t="shared" si="69"/>
        <v>0</v>
      </c>
      <c r="AM51" s="70">
        <f t="shared" si="69"/>
        <v>0</v>
      </c>
      <c r="AN51" s="70">
        <f t="shared" si="69"/>
        <v>0</v>
      </c>
      <c r="AO51" s="70">
        <f t="shared" si="69"/>
        <v>0</v>
      </c>
      <c r="AP51" s="70">
        <f t="shared" si="69"/>
        <v>0</v>
      </c>
      <c r="AQ51" s="70">
        <f t="shared" si="69"/>
        <v>0</v>
      </c>
      <c r="AR51" s="70">
        <f t="shared" si="69"/>
        <v>0</v>
      </c>
      <c r="AS51" s="71">
        <f>SUM(AG51:AR51)</f>
        <v>60000</v>
      </c>
      <c r="AT51" s="70">
        <f t="shared" si="75"/>
        <v>2400</v>
      </c>
      <c r="AU51" s="70">
        <f t="shared" si="70"/>
        <v>0</v>
      </c>
      <c r="AV51" s="70">
        <f t="shared" si="70"/>
        <v>0</v>
      </c>
      <c r="AW51" s="70">
        <f t="shared" si="71"/>
        <v>0</v>
      </c>
      <c r="AX51" s="70">
        <f t="shared" si="71"/>
        <v>0</v>
      </c>
      <c r="AY51" s="70">
        <f t="shared" si="71"/>
        <v>0</v>
      </c>
      <c r="AZ51" s="70">
        <f t="shared" si="71"/>
        <v>0</v>
      </c>
      <c r="BA51" s="70">
        <f t="shared" si="71"/>
        <v>0</v>
      </c>
      <c r="BB51" s="70">
        <f t="shared" si="71"/>
        <v>0</v>
      </c>
      <c r="BC51" s="70">
        <f t="shared" si="71"/>
        <v>0</v>
      </c>
      <c r="BD51" s="70">
        <f t="shared" si="71"/>
        <v>0</v>
      </c>
      <c r="BE51" s="70">
        <f t="shared" si="71"/>
        <v>0</v>
      </c>
      <c r="BF51" s="72">
        <f>SUM(AT51:BE51)</f>
        <v>2400</v>
      </c>
      <c r="BG51" s="73">
        <f>AF51-AS51-BF51</f>
        <v>7600</v>
      </c>
      <c r="BH51" s="74">
        <f>S51*D51</f>
        <v>70000</v>
      </c>
      <c r="BI51" s="75">
        <f>BH51-AS51-BF51</f>
        <v>7600</v>
      </c>
      <c r="BJ51" s="891">
        <f>SUM(Q51/D51)</f>
        <v>1</v>
      </c>
      <c r="BK51" s="1081"/>
      <c r="BL51" s="1081"/>
      <c r="BM51" s="1083"/>
      <c r="BN51" s="1084"/>
      <c r="BO51" s="862"/>
      <c r="BP51" s="862"/>
      <c r="BQ51" s="862"/>
      <c r="BR51" s="862"/>
      <c r="BS51" s="862"/>
      <c r="BT51" s="862"/>
      <c r="BU51" s="862"/>
      <c r="BV51" s="862"/>
      <c r="BW51" s="1081">
        <f t="shared" si="77"/>
        <v>0</v>
      </c>
      <c r="BX51" s="862"/>
      <c r="BY51" s="862"/>
      <c r="BZ51" s="862"/>
      <c r="CA51" s="73">
        <f t="shared" si="78"/>
        <v>0</v>
      </c>
      <c r="CB51" s="862"/>
      <c r="CC51" s="862"/>
      <c r="CD51" s="862"/>
      <c r="CE51" s="862"/>
      <c r="CF51" s="862"/>
      <c r="CG51" s="862"/>
      <c r="CH51" s="862"/>
      <c r="CI51" s="862"/>
      <c r="CJ51" s="1081"/>
      <c r="CK51" s="862"/>
      <c r="CL51" s="862"/>
      <c r="CM51" s="862"/>
      <c r="CN51" s="73">
        <f t="shared" si="79"/>
        <v>0</v>
      </c>
    </row>
    <row r="52" spans="1:98" s="38" customFormat="1" ht="24.75" customHeight="1" thickBot="1" x14ac:dyDescent="0.25">
      <c r="A52" s="554">
        <v>5</v>
      </c>
      <c r="B52" s="44" t="s">
        <v>4</v>
      </c>
      <c r="C52" s="44"/>
      <c r="D52" s="227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77"/>
      <c r="S52" s="45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78">
        <f t="shared" ref="AF52:BF52" si="80">SUM(AF48:AF51)</f>
        <v>2209600</v>
      </c>
      <c r="AG52" s="78">
        <f>SUM(AG48:AG51)-200000</f>
        <v>1740000</v>
      </c>
      <c r="AH52" s="78">
        <f t="shared" si="80"/>
        <v>0</v>
      </c>
      <c r="AI52" s="78">
        <f t="shared" si="80"/>
        <v>0</v>
      </c>
      <c r="AJ52" s="78">
        <f t="shared" ref="AJ52:AR52" si="81">SUM(AJ48:AJ51)</f>
        <v>0</v>
      </c>
      <c r="AK52" s="78">
        <f t="shared" si="81"/>
        <v>0</v>
      </c>
      <c r="AL52" s="78">
        <f t="shared" si="81"/>
        <v>0</v>
      </c>
      <c r="AM52" s="78">
        <f t="shared" si="81"/>
        <v>0</v>
      </c>
      <c r="AN52" s="78">
        <f t="shared" si="81"/>
        <v>0</v>
      </c>
      <c r="AO52" s="78">
        <f t="shared" si="81"/>
        <v>0</v>
      </c>
      <c r="AP52" s="78">
        <f t="shared" si="81"/>
        <v>0</v>
      </c>
      <c r="AQ52" s="78">
        <f t="shared" si="81"/>
        <v>0</v>
      </c>
      <c r="AR52" s="78">
        <f t="shared" si="81"/>
        <v>0</v>
      </c>
      <c r="AS52" s="78">
        <f>SUM(AS48:AS51)-200000</f>
        <v>1740000</v>
      </c>
      <c r="AT52" s="78">
        <f t="shared" si="80"/>
        <v>77600</v>
      </c>
      <c r="AU52" s="78">
        <f t="shared" si="80"/>
        <v>0</v>
      </c>
      <c r="AV52" s="78">
        <f t="shared" si="80"/>
        <v>0</v>
      </c>
      <c r="AW52" s="78">
        <f t="shared" ref="AW52:BE52" si="82">SUM(AW48:AW51)</f>
        <v>0</v>
      </c>
      <c r="AX52" s="78">
        <f t="shared" si="82"/>
        <v>0</v>
      </c>
      <c r="AY52" s="78">
        <f t="shared" si="82"/>
        <v>0</v>
      </c>
      <c r="AZ52" s="78">
        <f t="shared" si="82"/>
        <v>0</v>
      </c>
      <c r="BA52" s="78">
        <f t="shared" si="82"/>
        <v>0</v>
      </c>
      <c r="BB52" s="78">
        <f t="shared" si="82"/>
        <v>0</v>
      </c>
      <c r="BC52" s="78">
        <f t="shared" si="82"/>
        <v>0</v>
      </c>
      <c r="BD52" s="78">
        <f t="shared" si="82"/>
        <v>0</v>
      </c>
      <c r="BE52" s="78">
        <f t="shared" si="82"/>
        <v>0</v>
      </c>
      <c r="BF52" s="78">
        <f t="shared" si="80"/>
        <v>77600</v>
      </c>
      <c r="BG52" s="79">
        <f>SUM(BG48:BG51)</f>
        <v>192000</v>
      </c>
      <c r="BH52" s="78">
        <f>SUM(BH48:BH51)</f>
        <v>2209600</v>
      </c>
      <c r="BI52" s="78">
        <f>SUM(BI48:BI51)</f>
        <v>192000</v>
      </c>
      <c r="BJ52" s="176">
        <f>SUM(BJ48:BJ51)/4</f>
        <v>1</v>
      </c>
      <c r="BK52" s="1081"/>
      <c r="BL52" s="1081"/>
      <c r="BM52" s="1083"/>
      <c r="BN52" s="1084"/>
      <c r="BO52" s="862"/>
      <c r="BP52" s="862"/>
      <c r="BQ52" s="862"/>
      <c r="BR52" s="862"/>
      <c r="BS52" s="862"/>
      <c r="BT52" s="862"/>
      <c r="BU52" s="862"/>
      <c r="BV52" s="862"/>
      <c r="BW52" s="1081">
        <f t="shared" si="77"/>
        <v>0</v>
      </c>
      <c r="BX52" s="862"/>
      <c r="BY52" s="862"/>
      <c r="BZ52" s="862"/>
      <c r="CA52" s="73">
        <f t="shared" si="78"/>
        <v>0</v>
      </c>
      <c r="CB52" s="862"/>
      <c r="CC52" s="862"/>
      <c r="CD52" s="862"/>
      <c r="CE52" s="862"/>
      <c r="CF52" s="862"/>
      <c r="CG52" s="862"/>
      <c r="CH52" s="862"/>
      <c r="CI52" s="862"/>
      <c r="CJ52" s="1081"/>
      <c r="CK52" s="862"/>
      <c r="CL52" s="862"/>
      <c r="CM52" s="862"/>
      <c r="CN52" s="73">
        <f t="shared" si="79"/>
        <v>0</v>
      </c>
    </row>
    <row r="53" spans="1:98" s="20" customFormat="1" ht="24.75" customHeight="1" x14ac:dyDescent="0.2">
      <c r="A53" s="50"/>
      <c r="D53" s="22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AE53" s="40"/>
      <c r="AS53" s="51"/>
      <c r="BF53" s="52">
        <f>SUM(AS52+BF52)</f>
        <v>1817600</v>
      </c>
      <c r="BG53" s="53">
        <f>AF52-AS52-BF52</f>
        <v>392000</v>
      </c>
      <c r="BH53" s="54">
        <f>SUM(BI52+AS52+BF52)</f>
        <v>2009600</v>
      </c>
      <c r="BI53" s="55">
        <f>SUM(BG52)</f>
        <v>192000</v>
      </c>
      <c r="BJ53" s="40" t="s">
        <v>38</v>
      </c>
      <c r="BK53" s="40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</row>
    <row r="54" spans="1:98" s="20" customFormat="1" ht="24.75" customHeight="1" x14ac:dyDescent="0.2">
      <c r="A54" s="553"/>
      <c r="D54" s="22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AE54" s="40"/>
      <c r="AS54" s="40"/>
      <c r="AT54" s="123">
        <f>SUM(AG52+AT52)</f>
        <v>1817600</v>
      </c>
      <c r="AU54" s="123">
        <f t="shared" ref="AU54:BE54" si="83">SUM(AH52+AU52)</f>
        <v>0</v>
      </c>
      <c r="AV54" s="123">
        <f t="shared" si="83"/>
        <v>0</v>
      </c>
      <c r="AW54" s="123">
        <f t="shared" si="83"/>
        <v>0</v>
      </c>
      <c r="AX54" s="123">
        <f t="shared" si="83"/>
        <v>0</v>
      </c>
      <c r="AY54" s="123">
        <f t="shared" si="83"/>
        <v>0</v>
      </c>
      <c r="AZ54" s="123">
        <f t="shared" si="83"/>
        <v>0</v>
      </c>
      <c r="BA54" s="123">
        <f t="shared" si="83"/>
        <v>0</v>
      </c>
      <c r="BB54" s="123">
        <f t="shared" si="83"/>
        <v>0</v>
      </c>
      <c r="BC54" s="123">
        <f t="shared" si="83"/>
        <v>0</v>
      </c>
      <c r="BD54" s="123">
        <f t="shared" si="83"/>
        <v>0</v>
      </c>
      <c r="BE54" s="123">
        <f t="shared" si="83"/>
        <v>0</v>
      </c>
      <c r="BF54" s="123">
        <f>SUM(AT54:BE54)</f>
        <v>1817600</v>
      </c>
      <c r="BG54" s="57"/>
      <c r="BH54" s="56"/>
      <c r="BI54" s="57">
        <f>SUM(BI52-BI53)</f>
        <v>0</v>
      </c>
      <c r="BJ54" s="40" t="s">
        <v>37</v>
      </c>
      <c r="BK54" s="40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</row>
    <row r="55" spans="1:98" s="20" customFormat="1" ht="16.5" customHeight="1" x14ac:dyDescent="0.2">
      <c r="A55" s="1730" t="s">
        <v>8</v>
      </c>
      <c r="B55" s="1731"/>
      <c r="C55" s="124" t="s">
        <v>302</v>
      </c>
      <c r="D55" s="224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7"/>
      <c r="AF55" s="23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8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8"/>
      <c r="BG55" s="138"/>
      <c r="BH55" s="135"/>
      <c r="BI55" s="139"/>
      <c r="BJ55" s="135"/>
      <c r="BK55" s="136"/>
      <c r="BL55" s="136"/>
      <c r="BM55" s="136"/>
      <c r="BN55" s="136"/>
      <c r="BO55" s="136"/>
      <c r="BP55" s="137"/>
      <c r="BQ55" s="136"/>
      <c r="BR55" s="136"/>
      <c r="BS55" s="136"/>
      <c r="BT55" s="136"/>
      <c r="BU55" s="136"/>
      <c r="BV55" s="138"/>
      <c r="BW55" s="138"/>
      <c r="BX55" s="138"/>
      <c r="BY55" s="135"/>
      <c r="BZ55" s="139"/>
      <c r="CA55" s="138"/>
      <c r="CB55" s="138"/>
      <c r="CC55" s="24"/>
      <c r="CD55" s="24"/>
      <c r="CE55" s="24"/>
      <c r="CF55" s="24"/>
      <c r="CG55" s="24"/>
      <c r="CH55" s="140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</row>
    <row r="56" spans="1:98" s="8" customFormat="1" ht="48.75" customHeight="1" x14ac:dyDescent="0.2">
      <c r="A56" s="1703" t="s">
        <v>10</v>
      </c>
      <c r="B56" s="1706" t="s">
        <v>11</v>
      </c>
      <c r="C56" s="1706" t="s">
        <v>22</v>
      </c>
      <c r="D56" s="1721" t="s">
        <v>12</v>
      </c>
      <c r="E56" s="1721"/>
      <c r="F56" s="1721"/>
      <c r="G56" s="1721"/>
      <c r="H56" s="1721"/>
      <c r="I56" s="1721"/>
      <c r="J56" s="1721"/>
      <c r="K56" s="1721"/>
      <c r="L56" s="1721"/>
      <c r="M56" s="1721"/>
      <c r="N56" s="1721"/>
      <c r="O56" s="1721"/>
      <c r="P56" s="1721"/>
      <c r="Q56" s="1721"/>
      <c r="R56" s="1706" t="s">
        <v>20</v>
      </c>
      <c r="S56" s="1717" t="s">
        <v>17</v>
      </c>
      <c r="T56" s="1718"/>
      <c r="U56" s="1718"/>
      <c r="V56" s="1718"/>
      <c r="W56" s="1718"/>
      <c r="X56" s="1718"/>
      <c r="Y56" s="1718"/>
      <c r="Z56" s="1718"/>
      <c r="AA56" s="1718"/>
      <c r="AB56" s="1718"/>
      <c r="AC56" s="1718"/>
      <c r="AD56" s="1718"/>
      <c r="AE56" s="1719"/>
      <c r="AF56" s="1720" t="s">
        <v>6</v>
      </c>
      <c r="AG56" s="1720"/>
      <c r="AH56" s="1720"/>
      <c r="AI56" s="1720"/>
      <c r="AJ56" s="1720"/>
      <c r="AK56" s="1720"/>
      <c r="AL56" s="1720"/>
      <c r="AM56" s="1720"/>
      <c r="AN56" s="1720"/>
      <c r="AO56" s="1720"/>
      <c r="AP56" s="1720"/>
      <c r="AQ56" s="1720"/>
      <c r="AR56" s="1720"/>
      <c r="AS56" s="1720"/>
      <c r="AT56" s="1722" t="s">
        <v>41</v>
      </c>
      <c r="AU56" s="1723"/>
      <c r="AV56" s="1723"/>
      <c r="AW56" s="1723"/>
      <c r="AX56" s="1723"/>
      <c r="AY56" s="1723"/>
      <c r="AZ56" s="1723"/>
      <c r="BA56" s="1723"/>
      <c r="BB56" s="1723"/>
      <c r="BC56" s="1723"/>
      <c r="BD56" s="1723"/>
      <c r="BE56" s="1723"/>
      <c r="BF56" s="1724"/>
      <c r="BG56" s="1706" t="s">
        <v>38</v>
      </c>
      <c r="BH56" s="1706" t="s">
        <v>256</v>
      </c>
      <c r="BI56" s="1709" t="s">
        <v>39</v>
      </c>
      <c r="BJ56" s="135"/>
      <c r="BK56" s="135"/>
      <c r="BL56" s="135"/>
      <c r="BM56" s="135"/>
      <c r="BN56" s="135"/>
      <c r="BO56" s="1733" t="s">
        <v>41</v>
      </c>
      <c r="BP56" s="1734"/>
      <c r="BQ56" s="1734"/>
      <c r="BR56" s="1734"/>
      <c r="BS56" s="1734"/>
      <c r="BT56" s="1734"/>
      <c r="BU56" s="1734"/>
      <c r="BV56" s="1734"/>
      <c r="BW56" s="1734"/>
      <c r="BX56" s="1734"/>
      <c r="BY56" s="1734"/>
      <c r="BZ56" s="1734"/>
      <c r="CA56" s="1734"/>
      <c r="CB56" s="1734"/>
      <c r="CC56" s="1734"/>
      <c r="CD56" s="1734"/>
      <c r="CE56" s="1734"/>
      <c r="CF56" s="1734"/>
      <c r="CG56" s="1734"/>
      <c r="CH56" s="1734"/>
      <c r="CI56" s="1734"/>
      <c r="CJ56" s="1734"/>
      <c r="CK56" s="1734"/>
      <c r="CL56" s="1734"/>
      <c r="CM56" s="1734"/>
      <c r="CN56" s="1735"/>
    </row>
    <row r="57" spans="1:98" s="8" customFormat="1" ht="48.75" customHeight="1" x14ac:dyDescent="0.2">
      <c r="A57" s="1704"/>
      <c r="B57" s="1707"/>
      <c r="C57" s="1707"/>
      <c r="D57" s="1728" t="s">
        <v>18</v>
      </c>
      <c r="E57" s="1714" t="s">
        <v>19</v>
      </c>
      <c r="F57" s="1715"/>
      <c r="G57" s="1715"/>
      <c r="H57" s="1715"/>
      <c r="I57" s="1715"/>
      <c r="J57" s="1715"/>
      <c r="K57" s="1715"/>
      <c r="L57" s="1715"/>
      <c r="M57" s="1715"/>
      <c r="N57" s="1715"/>
      <c r="O57" s="1715"/>
      <c r="P57" s="1715"/>
      <c r="Q57" s="1715"/>
      <c r="R57" s="1707"/>
      <c r="S57" s="1712" t="s">
        <v>18</v>
      </c>
      <c r="T57" s="1714" t="s">
        <v>19</v>
      </c>
      <c r="U57" s="1715"/>
      <c r="V57" s="1715"/>
      <c r="W57" s="1715"/>
      <c r="X57" s="1715"/>
      <c r="Y57" s="1715"/>
      <c r="Z57" s="1715"/>
      <c r="AA57" s="1715"/>
      <c r="AB57" s="1715"/>
      <c r="AC57" s="1715"/>
      <c r="AD57" s="1715"/>
      <c r="AE57" s="1716"/>
      <c r="AF57" s="1712" t="s">
        <v>18</v>
      </c>
      <c r="AG57" s="1714" t="s">
        <v>19</v>
      </c>
      <c r="AH57" s="1715"/>
      <c r="AI57" s="1715"/>
      <c r="AJ57" s="1715"/>
      <c r="AK57" s="1715"/>
      <c r="AL57" s="1715"/>
      <c r="AM57" s="1715"/>
      <c r="AN57" s="1715"/>
      <c r="AO57" s="1715"/>
      <c r="AP57" s="1715"/>
      <c r="AQ57" s="1715"/>
      <c r="AR57" s="1715"/>
      <c r="AS57" s="1716"/>
      <c r="AT57" s="1725"/>
      <c r="AU57" s="1726"/>
      <c r="AV57" s="1726"/>
      <c r="AW57" s="1726"/>
      <c r="AX57" s="1726"/>
      <c r="AY57" s="1726"/>
      <c r="AZ57" s="1726"/>
      <c r="BA57" s="1726"/>
      <c r="BB57" s="1726"/>
      <c r="BC57" s="1726"/>
      <c r="BD57" s="1726"/>
      <c r="BE57" s="1726"/>
      <c r="BF57" s="1727"/>
      <c r="BG57" s="1707"/>
      <c r="BH57" s="1707"/>
      <c r="BI57" s="1710"/>
      <c r="BJ57" s="135"/>
      <c r="BK57" s="1736">
        <f>SUM(BK59/60)</f>
        <v>7553.333333333333</v>
      </c>
      <c r="BL57" s="1736"/>
      <c r="BM57" s="1736"/>
      <c r="BN57" s="23"/>
      <c r="BO57" s="1737" t="s">
        <v>686</v>
      </c>
      <c r="BP57" s="1738"/>
      <c r="BQ57" s="1738"/>
      <c r="BR57" s="1738"/>
      <c r="BS57" s="1738"/>
      <c r="BT57" s="1738"/>
      <c r="BU57" s="1738"/>
      <c r="BV57" s="1738"/>
      <c r="BW57" s="1738"/>
      <c r="BX57" s="1738"/>
      <c r="BY57" s="1738"/>
      <c r="BZ57" s="1738"/>
      <c r="CA57" s="1739"/>
      <c r="CB57" s="1740" t="s">
        <v>687</v>
      </c>
      <c r="CC57" s="1741"/>
      <c r="CD57" s="1741"/>
      <c r="CE57" s="1741"/>
      <c r="CF57" s="1741"/>
      <c r="CG57" s="1741"/>
      <c r="CH57" s="1741"/>
      <c r="CI57" s="1741"/>
      <c r="CJ57" s="1741"/>
      <c r="CK57" s="1741"/>
      <c r="CL57" s="1741"/>
      <c r="CM57" s="1741"/>
      <c r="CN57" s="1742"/>
    </row>
    <row r="58" spans="1:98" s="6" customFormat="1" ht="28.5" customHeight="1" x14ac:dyDescent="0.2">
      <c r="A58" s="1705"/>
      <c r="B58" s="1708"/>
      <c r="C58" s="1708"/>
      <c r="D58" s="1729"/>
      <c r="E58" s="26">
        <v>1</v>
      </c>
      <c r="F58" s="26">
        <v>2</v>
      </c>
      <c r="G58" s="26">
        <v>3</v>
      </c>
      <c r="H58" s="26">
        <v>4</v>
      </c>
      <c r="I58" s="26">
        <v>5</v>
      </c>
      <c r="J58" s="26">
        <v>6</v>
      </c>
      <c r="K58" s="26">
        <v>7</v>
      </c>
      <c r="L58" s="26">
        <v>8</v>
      </c>
      <c r="M58" s="26">
        <v>9</v>
      </c>
      <c r="N58" s="26">
        <v>10</v>
      </c>
      <c r="O58" s="26">
        <v>11</v>
      </c>
      <c r="P58" s="26">
        <v>12</v>
      </c>
      <c r="Q58" s="26" t="s">
        <v>21</v>
      </c>
      <c r="R58" s="1708"/>
      <c r="S58" s="1713"/>
      <c r="T58" s="26">
        <v>1</v>
      </c>
      <c r="U58" s="26">
        <v>2</v>
      </c>
      <c r="V58" s="26">
        <v>3</v>
      </c>
      <c r="W58" s="26">
        <v>4</v>
      </c>
      <c r="X58" s="26">
        <v>5</v>
      </c>
      <c r="Y58" s="26">
        <v>6</v>
      </c>
      <c r="Z58" s="26">
        <v>7</v>
      </c>
      <c r="AA58" s="26">
        <v>8</v>
      </c>
      <c r="AB58" s="26">
        <v>9</v>
      </c>
      <c r="AC58" s="26">
        <v>10</v>
      </c>
      <c r="AD58" s="26">
        <v>11</v>
      </c>
      <c r="AE58" s="26">
        <v>12</v>
      </c>
      <c r="AF58" s="1713"/>
      <c r="AG58" s="26">
        <v>1</v>
      </c>
      <c r="AH58" s="26">
        <v>2</v>
      </c>
      <c r="AI58" s="26">
        <v>3</v>
      </c>
      <c r="AJ58" s="26">
        <v>4</v>
      </c>
      <c r="AK58" s="26">
        <v>5</v>
      </c>
      <c r="AL58" s="26">
        <v>6</v>
      </c>
      <c r="AM58" s="26">
        <v>7</v>
      </c>
      <c r="AN58" s="26">
        <v>8</v>
      </c>
      <c r="AO58" s="26">
        <v>9</v>
      </c>
      <c r="AP58" s="26">
        <v>10</v>
      </c>
      <c r="AQ58" s="26">
        <v>11</v>
      </c>
      <c r="AR58" s="26">
        <v>12</v>
      </c>
      <c r="AS58" s="26" t="s">
        <v>13</v>
      </c>
      <c r="AT58" s="173">
        <v>1</v>
      </c>
      <c r="AU58" s="173">
        <v>2</v>
      </c>
      <c r="AV58" s="173">
        <v>3</v>
      </c>
      <c r="AW58" s="173">
        <v>4</v>
      </c>
      <c r="AX58" s="173">
        <v>5</v>
      </c>
      <c r="AY58" s="173">
        <v>6</v>
      </c>
      <c r="AZ58" s="173">
        <v>7</v>
      </c>
      <c r="BA58" s="173">
        <v>8</v>
      </c>
      <c r="BB58" s="173">
        <v>9</v>
      </c>
      <c r="BC58" s="173">
        <v>10</v>
      </c>
      <c r="BD58" s="173">
        <v>11</v>
      </c>
      <c r="BE58" s="173">
        <v>12</v>
      </c>
      <c r="BF58" s="26" t="s">
        <v>13</v>
      </c>
      <c r="BG58" s="1708"/>
      <c r="BH58" s="1708"/>
      <c r="BI58" s="1711"/>
      <c r="BJ58" s="7"/>
      <c r="BK58" s="1743" t="s">
        <v>19</v>
      </c>
      <c r="BL58" s="1744"/>
      <c r="BM58" s="1745"/>
      <c r="BN58" s="621"/>
      <c r="BO58" s="173">
        <v>1</v>
      </c>
      <c r="BP58" s="173">
        <v>2</v>
      </c>
      <c r="BQ58" s="173">
        <v>3</v>
      </c>
      <c r="BR58" s="173">
        <v>4</v>
      </c>
      <c r="BS58" s="173">
        <v>5</v>
      </c>
      <c r="BT58" s="173">
        <v>6</v>
      </c>
      <c r="BU58" s="173">
        <v>7</v>
      </c>
      <c r="BV58" s="173">
        <v>8</v>
      </c>
      <c r="BW58" s="173">
        <v>9</v>
      </c>
      <c r="BX58" s="173">
        <v>10</v>
      </c>
      <c r="BY58" s="173">
        <v>11</v>
      </c>
      <c r="BZ58" s="173">
        <v>12</v>
      </c>
      <c r="CA58" s="26" t="s">
        <v>13</v>
      </c>
      <c r="CB58" s="173">
        <v>1</v>
      </c>
      <c r="CC58" s="173">
        <v>2</v>
      </c>
      <c r="CD58" s="173">
        <v>3</v>
      </c>
      <c r="CE58" s="173">
        <v>4</v>
      </c>
      <c r="CF58" s="173">
        <v>5</v>
      </c>
      <c r="CG58" s="173">
        <v>6</v>
      </c>
      <c r="CH58" s="173">
        <v>7</v>
      </c>
      <c r="CI58" s="173">
        <v>8</v>
      </c>
      <c r="CJ58" s="173">
        <v>9</v>
      </c>
      <c r="CK58" s="173">
        <v>10</v>
      </c>
      <c r="CL58" s="173">
        <v>11</v>
      </c>
      <c r="CM58" s="173">
        <v>12</v>
      </c>
      <c r="CN58" s="26" t="s">
        <v>13</v>
      </c>
    </row>
    <row r="59" spans="1:98" s="1150" customFormat="1" ht="24.75" customHeight="1" x14ac:dyDescent="0.2">
      <c r="A59" s="1132"/>
      <c r="B59" s="1415" t="s">
        <v>89</v>
      </c>
      <c r="C59" s="1134" t="s">
        <v>25</v>
      </c>
      <c r="D59" s="1203">
        <v>50</v>
      </c>
      <c r="E59" s="1419">
        <v>50</v>
      </c>
      <c r="F59" s="1136"/>
      <c r="G59" s="1136"/>
      <c r="H59" s="1136"/>
      <c r="I59" s="1136"/>
      <c r="J59" s="1136"/>
      <c r="K59" s="1136"/>
      <c r="L59" s="1136"/>
      <c r="M59" s="1136"/>
      <c r="N59" s="1136"/>
      <c r="O59" s="1136"/>
      <c r="P59" s="1136"/>
      <c r="Q59" s="1137">
        <f>SUM(E59:P59)</f>
        <v>50</v>
      </c>
      <c r="R59" s="1416" t="s">
        <v>31</v>
      </c>
      <c r="S59" s="1417">
        <v>10300</v>
      </c>
      <c r="T59" s="1153">
        <v>10300</v>
      </c>
      <c r="U59" s="1141"/>
      <c r="V59" s="1141"/>
      <c r="W59" s="1141"/>
      <c r="X59" s="1141"/>
      <c r="Y59" s="1141"/>
      <c r="Z59" s="1141"/>
      <c r="AA59" s="1141"/>
      <c r="AB59" s="1141"/>
      <c r="AC59" s="1141"/>
      <c r="AD59" s="1141"/>
      <c r="AE59" s="1141"/>
      <c r="AF59" s="1142">
        <f t="shared" ref="AF59:AF62" si="84">SUM(Q59*S59)</f>
        <v>515000</v>
      </c>
      <c r="AG59" s="1081">
        <f t="shared" ref="AG59:AI62" si="85">T59*E59</f>
        <v>515000</v>
      </c>
      <c r="AH59" s="1128">
        <f t="shared" si="85"/>
        <v>0</v>
      </c>
      <c r="AI59" s="1128">
        <f t="shared" si="85"/>
        <v>0</v>
      </c>
      <c r="AJ59" s="1128">
        <f t="shared" ref="AJ59:AR62" si="86">W59*H59</f>
        <v>0</v>
      </c>
      <c r="AK59" s="1128">
        <f t="shared" si="86"/>
        <v>0</v>
      </c>
      <c r="AL59" s="1128">
        <f t="shared" si="86"/>
        <v>0</v>
      </c>
      <c r="AM59" s="1128">
        <f t="shared" si="86"/>
        <v>0</v>
      </c>
      <c r="AN59" s="1128">
        <f t="shared" si="86"/>
        <v>0</v>
      </c>
      <c r="AO59" s="1128">
        <f t="shared" si="86"/>
        <v>0</v>
      </c>
      <c r="AP59" s="1128">
        <f t="shared" si="86"/>
        <v>0</v>
      </c>
      <c r="AQ59" s="1128">
        <f t="shared" si="86"/>
        <v>0</v>
      </c>
      <c r="AR59" s="1128">
        <f t="shared" si="86"/>
        <v>0</v>
      </c>
      <c r="AS59" s="1143">
        <f>SUM(AG59:AR59)</f>
        <v>515000</v>
      </c>
      <c r="AT59" s="1128">
        <f>SUM(AG59*12%)</f>
        <v>61800</v>
      </c>
      <c r="AU59" s="1128">
        <f t="shared" ref="AU59:AV60" si="87">SUM(AH59*14%)</f>
        <v>0</v>
      </c>
      <c r="AV59" s="1128">
        <f t="shared" si="87"/>
        <v>0</v>
      </c>
      <c r="AW59" s="1128">
        <f t="shared" ref="AW59:BE62" si="88">SUM(AJ59*14%)</f>
        <v>0</v>
      </c>
      <c r="AX59" s="1128">
        <f t="shared" si="88"/>
        <v>0</v>
      </c>
      <c r="AY59" s="1128">
        <f t="shared" si="88"/>
        <v>0</v>
      </c>
      <c r="AZ59" s="1128">
        <f t="shared" si="88"/>
        <v>0</v>
      </c>
      <c r="BA59" s="1128">
        <f t="shared" si="88"/>
        <v>0</v>
      </c>
      <c r="BB59" s="1128">
        <f t="shared" si="88"/>
        <v>0</v>
      </c>
      <c r="BC59" s="1128">
        <f t="shared" si="88"/>
        <v>0</v>
      </c>
      <c r="BD59" s="1128">
        <f t="shared" si="88"/>
        <v>0</v>
      </c>
      <c r="BE59" s="1128">
        <f t="shared" si="88"/>
        <v>0</v>
      </c>
      <c r="BF59" s="1144">
        <f>SUM(AT59:BE59)</f>
        <v>61800</v>
      </c>
      <c r="BG59" s="1144">
        <f>AF59-AS59</f>
        <v>0</v>
      </c>
      <c r="BH59" s="1145">
        <f>S59*D59</f>
        <v>515000</v>
      </c>
      <c r="BI59" s="1146">
        <f>BH59-AS59</f>
        <v>0</v>
      </c>
      <c r="BJ59" s="1418">
        <f>SUM(Q59/D59)</f>
        <v>1</v>
      </c>
      <c r="BK59" s="1128">
        <f>AG59-AT59</f>
        <v>453200</v>
      </c>
      <c r="BL59" s="1128">
        <f>50*9000</f>
        <v>450000</v>
      </c>
      <c r="BM59" s="1148">
        <f>BK59-BL59</f>
        <v>3200</v>
      </c>
      <c r="BN59" s="1149"/>
      <c r="BO59" s="1128"/>
      <c r="BP59" s="1128"/>
      <c r="BQ59" s="1128"/>
      <c r="BR59" s="1128"/>
      <c r="BS59" s="1128"/>
      <c r="BT59" s="1128"/>
      <c r="BU59" s="1128"/>
      <c r="BV59" s="1128"/>
      <c r="BW59" s="1128">
        <f t="shared" ref="BW59:BW60" si="89">SUM(AN59*12.5%)</f>
        <v>0</v>
      </c>
      <c r="BX59" s="1128"/>
      <c r="BY59" s="1128"/>
      <c r="BZ59" s="1128"/>
      <c r="CA59" s="1144">
        <f t="shared" ref="CA59" si="90">SUM(BO59:BZ59)</f>
        <v>0</v>
      </c>
      <c r="CB59" s="1128"/>
      <c r="CC59" s="1128"/>
      <c r="CD59" s="1128"/>
      <c r="CE59" s="1128"/>
      <c r="CF59" s="1128"/>
      <c r="CG59" s="1128"/>
      <c r="CH59" s="1128"/>
      <c r="CI59" s="1128"/>
      <c r="CJ59" s="1128"/>
      <c r="CK59" s="1128"/>
      <c r="CL59" s="1128"/>
      <c r="CM59" s="1128"/>
      <c r="CN59" s="1144">
        <f t="shared" ref="CN59:CN60" si="91">SUM(CB59:CM59)</f>
        <v>0</v>
      </c>
    </row>
    <row r="60" spans="1:98" s="1150" customFormat="1" ht="24.75" customHeight="1" x14ac:dyDescent="0.2">
      <c r="A60" s="1132"/>
      <c r="B60" s="1415" t="s">
        <v>90</v>
      </c>
      <c r="C60" s="1134" t="s">
        <v>25</v>
      </c>
      <c r="D60" s="1203">
        <v>50</v>
      </c>
      <c r="E60" s="1419">
        <v>50</v>
      </c>
      <c r="F60" s="1136"/>
      <c r="G60" s="1136"/>
      <c r="H60" s="1136"/>
      <c r="I60" s="1136"/>
      <c r="J60" s="1136"/>
      <c r="K60" s="1136"/>
      <c r="L60" s="1136"/>
      <c r="M60" s="1136"/>
      <c r="N60" s="1136"/>
      <c r="O60" s="1136"/>
      <c r="P60" s="1136"/>
      <c r="Q60" s="1137">
        <f>SUM(E60:P60)</f>
        <v>50</v>
      </c>
      <c r="R60" s="1416" t="s">
        <v>31</v>
      </c>
      <c r="S60" s="1417">
        <v>28500</v>
      </c>
      <c r="T60" s="1153">
        <v>28000</v>
      </c>
      <c r="U60" s="1141"/>
      <c r="V60" s="1141"/>
      <c r="W60" s="1141"/>
      <c r="X60" s="1141"/>
      <c r="Y60" s="1141"/>
      <c r="Z60" s="1141"/>
      <c r="AA60" s="1141"/>
      <c r="AB60" s="1141"/>
      <c r="AC60" s="1141"/>
      <c r="AD60" s="1141"/>
      <c r="AE60" s="1141"/>
      <c r="AF60" s="1142">
        <f t="shared" si="84"/>
        <v>1425000</v>
      </c>
      <c r="AG60" s="1081">
        <f t="shared" si="85"/>
        <v>1400000</v>
      </c>
      <c r="AH60" s="1128">
        <f t="shared" si="85"/>
        <v>0</v>
      </c>
      <c r="AI60" s="1128">
        <f t="shared" si="85"/>
        <v>0</v>
      </c>
      <c r="AJ60" s="1128">
        <f t="shared" si="86"/>
        <v>0</v>
      </c>
      <c r="AK60" s="1128">
        <f t="shared" si="86"/>
        <v>0</v>
      </c>
      <c r="AL60" s="1128">
        <f t="shared" si="86"/>
        <v>0</v>
      </c>
      <c r="AM60" s="1128">
        <f t="shared" si="86"/>
        <v>0</v>
      </c>
      <c r="AN60" s="1128">
        <f t="shared" si="86"/>
        <v>0</v>
      </c>
      <c r="AO60" s="1128">
        <f t="shared" si="86"/>
        <v>0</v>
      </c>
      <c r="AP60" s="1128">
        <f t="shared" si="86"/>
        <v>0</v>
      </c>
      <c r="AQ60" s="1128">
        <f t="shared" si="86"/>
        <v>0</v>
      </c>
      <c r="AR60" s="1128">
        <f t="shared" si="86"/>
        <v>0</v>
      </c>
      <c r="AS60" s="1143">
        <f>SUM(AG60:AR60)</f>
        <v>1400000</v>
      </c>
      <c r="AT60" s="1128">
        <f>SUM(AG60*12%)</f>
        <v>168000</v>
      </c>
      <c r="AU60" s="1128">
        <f t="shared" si="87"/>
        <v>0</v>
      </c>
      <c r="AV60" s="1128">
        <f t="shared" si="87"/>
        <v>0</v>
      </c>
      <c r="AW60" s="1128">
        <f t="shared" si="88"/>
        <v>0</v>
      </c>
      <c r="AX60" s="1128">
        <f t="shared" si="88"/>
        <v>0</v>
      </c>
      <c r="AY60" s="1128">
        <f t="shared" si="88"/>
        <v>0</v>
      </c>
      <c r="AZ60" s="1128">
        <f t="shared" si="88"/>
        <v>0</v>
      </c>
      <c r="BA60" s="1128">
        <f t="shared" si="88"/>
        <v>0</v>
      </c>
      <c r="BB60" s="1128">
        <f t="shared" si="88"/>
        <v>0</v>
      </c>
      <c r="BC60" s="1128">
        <f t="shared" si="88"/>
        <v>0</v>
      </c>
      <c r="BD60" s="1128">
        <f t="shared" si="88"/>
        <v>0</v>
      </c>
      <c r="BE60" s="1128">
        <f t="shared" si="88"/>
        <v>0</v>
      </c>
      <c r="BF60" s="1144">
        <f>SUM(AT60:BE60)</f>
        <v>168000</v>
      </c>
      <c r="BG60" s="1144">
        <f>AF62-AS62</f>
        <v>0</v>
      </c>
      <c r="BH60" s="1145">
        <f>S60*D60</f>
        <v>1425000</v>
      </c>
      <c r="BI60" s="1146">
        <f>BH60-AS60</f>
        <v>25000</v>
      </c>
      <c r="BJ60" s="1418">
        <f>SUM(Q60/D60)</f>
        <v>1</v>
      </c>
      <c r="BK60" s="1128">
        <f t="shared" ref="BK60:BK62" si="92">AG60-AT60</f>
        <v>1232000</v>
      </c>
      <c r="BL60" s="1128">
        <f>50*24500</f>
        <v>1225000</v>
      </c>
      <c r="BM60" s="1148">
        <f t="shared" ref="BM60:BM62" si="93">BK60-BL60</f>
        <v>7000</v>
      </c>
      <c r="BN60" s="1149"/>
      <c r="BO60" s="1128"/>
      <c r="BP60" s="1128"/>
      <c r="BQ60" s="1128"/>
      <c r="BR60" s="1128"/>
      <c r="BS60" s="1128"/>
      <c r="BT60" s="1128"/>
      <c r="BU60" s="1128"/>
      <c r="BV60" s="1128"/>
      <c r="BW60" s="1128">
        <f t="shared" si="89"/>
        <v>0</v>
      </c>
      <c r="BX60" s="1128"/>
      <c r="BY60" s="1128"/>
      <c r="BZ60" s="1128"/>
      <c r="CA60" s="1144">
        <f t="shared" ref="CA60" si="94">SUM(BO60:BZ60)</f>
        <v>0</v>
      </c>
      <c r="CB60" s="1128"/>
      <c r="CC60" s="1128"/>
      <c r="CD60" s="1128"/>
      <c r="CE60" s="1128"/>
      <c r="CF60" s="1128"/>
      <c r="CG60" s="1128"/>
      <c r="CH60" s="1128"/>
      <c r="CI60" s="1128"/>
      <c r="CJ60" s="1128"/>
      <c r="CK60" s="1128"/>
      <c r="CL60" s="1128"/>
      <c r="CM60" s="1128"/>
      <c r="CN60" s="1144">
        <f t="shared" si="91"/>
        <v>0</v>
      </c>
    </row>
    <row r="61" spans="1:98" s="1150" customFormat="1" ht="24.75" customHeight="1" x14ac:dyDescent="0.2">
      <c r="A61" s="1132"/>
      <c r="B61" s="1415" t="s">
        <v>109</v>
      </c>
      <c r="C61" s="1134" t="s">
        <v>25</v>
      </c>
      <c r="D61" s="1203">
        <v>4</v>
      </c>
      <c r="E61" s="1419">
        <v>4</v>
      </c>
      <c r="F61" s="1136"/>
      <c r="G61" s="1136"/>
      <c r="H61" s="1136"/>
      <c r="I61" s="1136"/>
      <c r="J61" s="1136"/>
      <c r="K61" s="1136"/>
      <c r="L61" s="1136"/>
      <c r="M61" s="1136"/>
      <c r="N61" s="1136"/>
      <c r="O61" s="1136"/>
      <c r="P61" s="1136"/>
      <c r="Q61" s="1137">
        <f>SUM(E61:P61)</f>
        <v>4</v>
      </c>
      <c r="R61" s="1416" t="s">
        <v>31</v>
      </c>
      <c r="S61" s="1417">
        <v>49900</v>
      </c>
      <c r="T61" s="1153">
        <v>49900</v>
      </c>
      <c r="U61" s="1141"/>
      <c r="V61" s="1141"/>
      <c r="W61" s="1141"/>
      <c r="X61" s="1141"/>
      <c r="Y61" s="1141"/>
      <c r="Z61" s="1141"/>
      <c r="AA61" s="1141"/>
      <c r="AB61" s="1141"/>
      <c r="AC61" s="1141"/>
      <c r="AD61" s="1141"/>
      <c r="AE61" s="1141"/>
      <c r="AF61" s="1142">
        <f t="shared" si="84"/>
        <v>199600</v>
      </c>
      <c r="AG61" s="1081">
        <f t="shared" si="85"/>
        <v>199600</v>
      </c>
      <c r="AH61" s="1128">
        <f t="shared" si="85"/>
        <v>0</v>
      </c>
      <c r="AI61" s="1128">
        <f t="shared" si="85"/>
        <v>0</v>
      </c>
      <c r="AJ61" s="1128">
        <f t="shared" si="86"/>
        <v>0</v>
      </c>
      <c r="AK61" s="1128">
        <f t="shared" si="86"/>
        <v>0</v>
      </c>
      <c r="AL61" s="1128">
        <f t="shared" si="86"/>
        <v>0</v>
      </c>
      <c r="AM61" s="1128">
        <f t="shared" si="86"/>
        <v>0</v>
      </c>
      <c r="AN61" s="1128">
        <f t="shared" si="86"/>
        <v>0</v>
      </c>
      <c r="AO61" s="1128">
        <f t="shared" si="86"/>
        <v>0</v>
      </c>
      <c r="AP61" s="1128">
        <f t="shared" si="86"/>
        <v>0</v>
      </c>
      <c r="AQ61" s="1128">
        <f t="shared" si="86"/>
        <v>0</v>
      </c>
      <c r="AR61" s="1128">
        <f t="shared" si="86"/>
        <v>0</v>
      </c>
      <c r="AS61" s="1143">
        <f>SUM(AG61:AR61)</f>
        <v>199600</v>
      </c>
      <c r="AT61" s="1128">
        <f>SUM(AG61*12%)</f>
        <v>23952</v>
      </c>
      <c r="AU61" s="1128">
        <f>SUM(AH61*14%)</f>
        <v>0</v>
      </c>
      <c r="AV61" s="1128">
        <f>SUM(AI61*14%)</f>
        <v>0</v>
      </c>
      <c r="AW61" s="1128">
        <f t="shared" si="88"/>
        <v>0</v>
      </c>
      <c r="AX61" s="1128">
        <f t="shared" si="88"/>
        <v>0</v>
      </c>
      <c r="AY61" s="1128">
        <f t="shared" si="88"/>
        <v>0</v>
      </c>
      <c r="AZ61" s="1128">
        <f t="shared" si="88"/>
        <v>0</v>
      </c>
      <c r="BA61" s="1128">
        <f t="shared" si="88"/>
        <v>0</v>
      </c>
      <c r="BB61" s="1128">
        <f t="shared" si="88"/>
        <v>0</v>
      </c>
      <c r="BC61" s="1128">
        <f t="shared" si="88"/>
        <v>0</v>
      </c>
      <c r="BD61" s="1128">
        <f t="shared" si="88"/>
        <v>0</v>
      </c>
      <c r="BE61" s="1128">
        <f t="shared" si="88"/>
        <v>0</v>
      </c>
      <c r="BF61" s="1144">
        <f>SUM(AT61:BE61)</f>
        <v>23952</v>
      </c>
      <c r="BG61" s="1144">
        <f>AF61-AS61</f>
        <v>0</v>
      </c>
      <c r="BH61" s="1145">
        <f>S61*D61</f>
        <v>199600</v>
      </c>
      <c r="BI61" s="1146">
        <f>BH61-AS61</f>
        <v>0</v>
      </c>
      <c r="BJ61" s="1418">
        <f>SUM(Q61/D61)</f>
        <v>1</v>
      </c>
      <c r="BK61" s="1128">
        <f>AG61-AT61</f>
        <v>175648</v>
      </c>
      <c r="BL61" s="1128">
        <f>BK61</f>
        <v>175648</v>
      </c>
      <c r="BM61" s="1148">
        <f t="shared" si="93"/>
        <v>0</v>
      </c>
      <c r="BN61" s="1149"/>
      <c r="BO61" s="1128"/>
      <c r="BP61" s="1128"/>
      <c r="BQ61" s="1128"/>
      <c r="BR61" s="1128"/>
      <c r="BS61" s="1128"/>
      <c r="BT61" s="1128"/>
      <c r="BU61" s="1128"/>
      <c r="BV61" s="1128"/>
      <c r="BW61" s="1128">
        <f t="shared" ref="BW61:BW63" si="95">SUM(AN61*12.5%)</f>
        <v>0</v>
      </c>
      <c r="BX61" s="1128"/>
      <c r="BY61" s="1128"/>
      <c r="BZ61" s="1128"/>
      <c r="CA61" s="1144">
        <f t="shared" ref="CA61:CA63" si="96">SUM(BO61:BZ61)</f>
        <v>0</v>
      </c>
      <c r="CB61" s="1128"/>
      <c r="CC61" s="1128"/>
      <c r="CD61" s="1128"/>
      <c r="CE61" s="1128"/>
      <c r="CF61" s="1128"/>
      <c r="CG61" s="1128"/>
      <c r="CH61" s="1128"/>
      <c r="CI61" s="1128"/>
      <c r="CJ61" s="1128"/>
      <c r="CK61" s="1128"/>
      <c r="CL61" s="1128"/>
      <c r="CM61" s="1128"/>
      <c r="CN61" s="1144">
        <f t="shared" ref="CN61:CN63" si="97">SUM(CB61:CM61)</f>
        <v>0</v>
      </c>
    </row>
    <row r="62" spans="1:98" s="1150" customFormat="1" ht="24.75" customHeight="1" thickBot="1" x14ac:dyDescent="0.25">
      <c r="A62" s="1132"/>
      <c r="B62" s="1415" t="s">
        <v>92</v>
      </c>
      <c r="C62" s="1134" t="s">
        <v>25</v>
      </c>
      <c r="D62" s="1205">
        <v>2</v>
      </c>
      <c r="E62" s="1414">
        <v>2</v>
      </c>
      <c r="F62" s="1136"/>
      <c r="G62" s="1136"/>
      <c r="H62" s="1136"/>
      <c r="I62" s="1136"/>
      <c r="J62" s="1136"/>
      <c r="K62" s="1136"/>
      <c r="L62" s="1136"/>
      <c r="M62" s="1136"/>
      <c r="N62" s="1136"/>
      <c r="O62" s="1136"/>
      <c r="P62" s="1136"/>
      <c r="Q62" s="1137">
        <f>SUM(E62:P62)</f>
        <v>2</v>
      </c>
      <c r="R62" s="1416" t="s">
        <v>16</v>
      </c>
      <c r="S62" s="1417">
        <v>35000</v>
      </c>
      <c r="T62" s="1153">
        <v>35000</v>
      </c>
      <c r="U62" s="1141"/>
      <c r="V62" s="1141"/>
      <c r="W62" s="1141"/>
      <c r="X62" s="1141"/>
      <c r="Y62" s="1141"/>
      <c r="Z62" s="1141"/>
      <c r="AA62" s="1141"/>
      <c r="AB62" s="1141"/>
      <c r="AC62" s="1141"/>
      <c r="AD62" s="1141"/>
      <c r="AE62" s="1141"/>
      <c r="AF62" s="1142">
        <f t="shared" si="84"/>
        <v>70000</v>
      </c>
      <c r="AG62" s="1081">
        <f t="shared" si="85"/>
        <v>70000</v>
      </c>
      <c r="AH62" s="1128">
        <f t="shared" si="85"/>
        <v>0</v>
      </c>
      <c r="AI62" s="1128">
        <f t="shared" si="85"/>
        <v>0</v>
      </c>
      <c r="AJ62" s="1128">
        <f t="shared" si="86"/>
        <v>0</v>
      </c>
      <c r="AK62" s="1128">
        <f t="shared" si="86"/>
        <v>0</v>
      </c>
      <c r="AL62" s="1128">
        <f t="shared" si="86"/>
        <v>0</v>
      </c>
      <c r="AM62" s="1128">
        <f t="shared" si="86"/>
        <v>0</v>
      </c>
      <c r="AN62" s="1128">
        <f t="shared" si="86"/>
        <v>0</v>
      </c>
      <c r="AO62" s="1128">
        <f t="shared" si="86"/>
        <v>0</v>
      </c>
      <c r="AP62" s="1128">
        <f t="shared" si="86"/>
        <v>0</v>
      </c>
      <c r="AQ62" s="1128">
        <f t="shared" si="86"/>
        <v>0</v>
      </c>
      <c r="AR62" s="1128">
        <f t="shared" si="86"/>
        <v>0</v>
      </c>
      <c r="AS62" s="1143">
        <f>SUM(AG62:AR62)</f>
        <v>70000</v>
      </c>
      <c r="AT62" s="1128">
        <f>SUM(AG62*2%)</f>
        <v>1400</v>
      </c>
      <c r="AU62" s="1128">
        <f>SUM(AH62*14%)</f>
        <v>0</v>
      </c>
      <c r="AV62" s="1128">
        <f>SUM(AI62*14%)</f>
        <v>0</v>
      </c>
      <c r="AW62" s="1128">
        <f t="shared" si="88"/>
        <v>0</v>
      </c>
      <c r="AX62" s="1128">
        <f t="shared" si="88"/>
        <v>0</v>
      </c>
      <c r="AY62" s="1128">
        <f t="shared" si="88"/>
        <v>0</v>
      </c>
      <c r="AZ62" s="1128">
        <f t="shared" si="88"/>
        <v>0</v>
      </c>
      <c r="BA62" s="1128">
        <f t="shared" si="88"/>
        <v>0</v>
      </c>
      <c r="BB62" s="1128">
        <f t="shared" si="88"/>
        <v>0</v>
      </c>
      <c r="BC62" s="1128">
        <f t="shared" si="88"/>
        <v>0</v>
      </c>
      <c r="BD62" s="1128">
        <f t="shared" si="88"/>
        <v>0</v>
      </c>
      <c r="BE62" s="1128">
        <f t="shared" si="88"/>
        <v>0</v>
      </c>
      <c r="BF62" s="1144">
        <f>SUM(AT62:BE62)</f>
        <v>1400</v>
      </c>
      <c r="BG62" s="1144">
        <f>AF62-AS62</f>
        <v>0</v>
      </c>
      <c r="BH62" s="1145">
        <f>S62*D62</f>
        <v>70000</v>
      </c>
      <c r="BI62" s="1146">
        <f>BH62-AS62</f>
        <v>0</v>
      </c>
      <c r="BJ62" s="1418">
        <f>SUM(Q62/D62)</f>
        <v>1</v>
      </c>
      <c r="BK62" s="1128">
        <f t="shared" si="92"/>
        <v>68600</v>
      </c>
      <c r="BL62" s="1128">
        <f>2*30000</f>
        <v>60000</v>
      </c>
      <c r="BM62" s="1148">
        <f t="shared" si="93"/>
        <v>8600</v>
      </c>
      <c r="BN62" s="1149"/>
      <c r="BO62" s="1128"/>
      <c r="BP62" s="1128"/>
      <c r="BQ62" s="1128"/>
      <c r="BR62" s="1128"/>
      <c r="BS62" s="1128"/>
      <c r="BT62" s="1128"/>
      <c r="BU62" s="1128"/>
      <c r="BV62" s="1128"/>
      <c r="BW62" s="1128">
        <f t="shared" si="95"/>
        <v>0</v>
      </c>
      <c r="BX62" s="1128"/>
      <c r="BY62" s="1128"/>
      <c r="BZ62" s="1128"/>
      <c r="CA62" s="1144">
        <f t="shared" si="96"/>
        <v>0</v>
      </c>
      <c r="CB62" s="1128"/>
      <c r="CC62" s="1128"/>
      <c r="CD62" s="1128"/>
      <c r="CE62" s="1128"/>
      <c r="CF62" s="1128"/>
      <c r="CG62" s="1128"/>
      <c r="CH62" s="1128"/>
      <c r="CI62" s="1128"/>
      <c r="CJ62" s="1128"/>
      <c r="CK62" s="1128"/>
      <c r="CL62" s="1128"/>
      <c r="CM62" s="1128"/>
      <c r="CN62" s="1144">
        <f t="shared" si="97"/>
        <v>0</v>
      </c>
    </row>
    <row r="63" spans="1:98" s="38" customFormat="1" ht="24.75" customHeight="1" thickBot="1" x14ac:dyDescent="0.25">
      <c r="A63" s="554">
        <v>6</v>
      </c>
      <c r="B63" s="44" t="s">
        <v>4</v>
      </c>
      <c r="C63" s="44"/>
      <c r="D63" s="227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7"/>
      <c r="R63" s="77"/>
      <c r="S63" s="45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78">
        <f t="shared" ref="AF63:BF63" si="98">SUM(AF59:AF62)</f>
        <v>2209600</v>
      </c>
      <c r="AG63" s="1475">
        <f>SUM(AG59:AG62)-100000</f>
        <v>2084600</v>
      </c>
      <c r="AH63" s="78">
        <f t="shared" si="98"/>
        <v>0</v>
      </c>
      <c r="AI63" s="78">
        <f t="shared" si="98"/>
        <v>0</v>
      </c>
      <c r="AJ63" s="78">
        <f t="shared" ref="AJ63:AR63" si="99">SUM(AJ59:AJ62)</f>
        <v>0</v>
      </c>
      <c r="AK63" s="78">
        <f t="shared" si="99"/>
        <v>0</v>
      </c>
      <c r="AL63" s="78">
        <f t="shared" si="99"/>
        <v>0</v>
      </c>
      <c r="AM63" s="78">
        <f t="shared" si="99"/>
        <v>0</v>
      </c>
      <c r="AN63" s="78">
        <f t="shared" si="99"/>
        <v>0</v>
      </c>
      <c r="AO63" s="78">
        <f t="shared" si="99"/>
        <v>0</v>
      </c>
      <c r="AP63" s="78">
        <f t="shared" si="99"/>
        <v>0</v>
      </c>
      <c r="AQ63" s="78">
        <f t="shared" si="99"/>
        <v>0</v>
      </c>
      <c r="AR63" s="78">
        <f t="shared" si="99"/>
        <v>0</v>
      </c>
      <c r="AS63" s="78">
        <f>SUM(AS59:AS62)-100000</f>
        <v>2084600</v>
      </c>
      <c r="AT63" s="78">
        <f>SUM(AT59:AT62)</f>
        <v>255152</v>
      </c>
      <c r="AU63" s="78">
        <f t="shared" si="98"/>
        <v>0</v>
      </c>
      <c r="AV63" s="78">
        <f t="shared" si="98"/>
        <v>0</v>
      </c>
      <c r="AW63" s="78">
        <f t="shared" ref="AW63:BE63" si="100">SUM(AW59:AW62)</f>
        <v>0</v>
      </c>
      <c r="AX63" s="78">
        <f t="shared" si="100"/>
        <v>0</v>
      </c>
      <c r="AY63" s="78">
        <f t="shared" si="100"/>
        <v>0</v>
      </c>
      <c r="AZ63" s="78">
        <f t="shared" si="100"/>
        <v>0</v>
      </c>
      <c r="BA63" s="78">
        <f t="shared" si="100"/>
        <v>0</v>
      </c>
      <c r="BB63" s="78">
        <f t="shared" si="100"/>
        <v>0</v>
      </c>
      <c r="BC63" s="78">
        <f t="shared" si="100"/>
        <v>0</v>
      </c>
      <c r="BD63" s="78">
        <f t="shared" si="100"/>
        <v>0</v>
      </c>
      <c r="BE63" s="78">
        <f t="shared" si="100"/>
        <v>0</v>
      </c>
      <c r="BF63" s="78">
        <f t="shared" si="98"/>
        <v>255152</v>
      </c>
      <c r="BG63" s="79">
        <v>0</v>
      </c>
      <c r="BH63" s="78">
        <f>SUM(BH59:BH62)</f>
        <v>2209600</v>
      </c>
      <c r="BI63" s="78">
        <f>SUM(BI59:BI62)</f>
        <v>25000</v>
      </c>
      <c r="BJ63" s="176">
        <f>SUM(BJ59:BJ62)/4</f>
        <v>1</v>
      </c>
      <c r="BK63" s="1081">
        <f>SUM(BK59:BK62)</f>
        <v>1929448</v>
      </c>
      <c r="BL63" s="1081"/>
      <c r="BM63" s="1083">
        <f>SUM(BM59:BM62)</f>
        <v>18800</v>
      </c>
      <c r="BN63" s="1084"/>
      <c r="BO63" s="862"/>
      <c r="BP63" s="862"/>
      <c r="BQ63" s="862"/>
      <c r="BR63" s="862"/>
      <c r="BS63" s="862"/>
      <c r="BT63" s="862"/>
      <c r="BU63" s="862"/>
      <c r="BV63" s="862"/>
      <c r="BW63" s="1081">
        <f t="shared" si="95"/>
        <v>0</v>
      </c>
      <c r="BX63" s="862"/>
      <c r="BY63" s="862"/>
      <c r="BZ63" s="862"/>
      <c r="CA63" s="73">
        <f t="shared" si="96"/>
        <v>0</v>
      </c>
      <c r="CB63" s="862"/>
      <c r="CC63" s="862"/>
      <c r="CD63" s="862"/>
      <c r="CE63" s="862"/>
      <c r="CF63" s="862"/>
      <c r="CG63" s="862"/>
      <c r="CH63" s="862"/>
      <c r="CI63" s="862"/>
      <c r="CJ63" s="1081"/>
      <c r="CK63" s="862"/>
      <c r="CL63" s="862"/>
      <c r="CM63" s="862"/>
      <c r="CN63" s="73">
        <f t="shared" si="97"/>
        <v>0</v>
      </c>
    </row>
    <row r="64" spans="1:98" s="20" customFormat="1" ht="24.75" customHeight="1" x14ac:dyDescent="0.2">
      <c r="A64" s="50"/>
      <c r="D64" s="22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AE64" s="40"/>
      <c r="AS64" s="51"/>
      <c r="BF64" s="52">
        <f>SUM(AS63+BF63)</f>
        <v>2339752</v>
      </c>
      <c r="BG64" s="53"/>
      <c r="BH64" s="54">
        <f>SUM(BI63+AS63)</f>
        <v>2109600</v>
      </c>
      <c r="BI64" s="55">
        <f>SUM(BG63)</f>
        <v>0</v>
      </c>
      <c r="BJ64" s="40" t="s">
        <v>38</v>
      </c>
      <c r="BK64" s="40"/>
      <c r="BL64" s="236">
        <v>1</v>
      </c>
      <c r="BM64" s="236">
        <v>18800</v>
      </c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</row>
    <row r="65" spans="1:98" s="20" customFormat="1" ht="24.75" customHeight="1" x14ac:dyDescent="0.2">
      <c r="A65" s="553"/>
      <c r="D65" s="22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AE65" s="40"/>
      <c r="AS65" s="40"/>
      <c r="AT65" s="123">
        <f>SUM(AG63+AT63)</f>
        <v>2339752</v>
      </c>
      <c r="AU65" s="123">
        <f t="shared" ref="AU65:BE65" si="101">SUM(AH63+AU63)</f>
        <v>0</v>
      </c>
      <c r="AV65" s="123">
        <f t="shared" si="101"/>
        <v>0</v>
      </c>
      <c r="AW65" s="123">
        <f t="shared" si="101"/>
        <v>0</v>
      </c>
      <c r="AX65" s="123">
        <f t="shared" si="101"/>
        <v>0</v>
      </c>
      <c r="AY65" s="123">
        <f t="shared" si="101"/>
        <v>0</v>
      </c>
      <c r="AZ65" s="123">
        <f t="shared" si="101"/>
        <v>0</v>
      </c>
      <c r="BA65" s="123">
        <f t="shared" si="101"/>
        <v>0</v>
      </c>
      <c r="BB65" s="123">
        <f t="shared" si="101"/>
        <v>0</v>
      </c>
      <c r="BC65" s="123">
        <f t="shared" si="101"/>
        <v>0</v>
      </c>
      <c r="BD65" s="123">
        <f t="shared" si="101"/>
        <v>0</v>
      </c>
      <c r="BE65" s="123">
        <f t="shared" si="101"/>
        <v>0</v>
      </c>
      <c r="BF65" s="123">
        <f>SUM(AT65:BE65)</f>
        <v>2339752</v>
      </c>
      <c r="BG65" s="40"/>
      <c r="BH65" s="56"/>
      <c r="BI65" s="57">
        <f>SUM(BI63-BI64)</f>
        <v>25000</v>
      </c>
      <c r="BJ65" s="40" t="s">
        <v>37</v>
      </c>
      <c r="BK65" s="40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</row>
    <row r="66" spans="1:98" s="20" customFormat="1" ht="16.5" customHeight="1" x14ac:dyDescent="0.2">
      <c r="A66" s="1730" t="s">
        <v>8</v>
      </c>
      <c r="B66" s="1731"/>
      <c r="C66" s="124" t="s">
        <v>303</v>
      </c>
      <c r="D66" s="224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23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8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8"/>
      <c r="BG66" s="138"/>
      <c r="BH66" s="135"/>
      <c r="BI66" s="139"/>
      <c r="BJ66" s="135"/>
      <c r="BK66" s="136"/>
      <c r="BL66" s="136"/>
      <c r="BM66" s="136"/>
      <c r="BN66" s="136"/>
      <c r="BO66" s="136"/>
      <c r="BP66" s="137"/>
      <c r="BQ66" s="136"/>
      <c r="BR66" s="136"/>
      <c r="BS66" s="136"/>
      <c r="BT66" s="136"/>
      <c r="BU66" s="136"/>
      <c r="BV66" s="138"/>
      <c r="BW66" s="138"/>
      <c r="BX66" s="138"/>
      <c r="BY66" s="135"/>
      <c r="BZ66" s="139"/>
      <c r="CA66" s="138"/>
      <c r="CB66" s="138"/>
      <c r="CC66" s="24"/>
      <c r="CD66" s="24"/>
      <c r="CE66" s="24"/>
      <c r="CF66" s="24"/>
      <c r="CG66" s="24"/>
      <c r="CH66" s="140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</row>
    <row r="67" spans="1:98" s="8" customFormat="1" ht="48.75" customHeight="1" x14ac:dyDescent="0.2">
      <c r="A67" s="1703" t="s">
        <v>10</v>
      </c>
      <c r="B67" s="1706" t="s">
        <v>11</v>
      </c>
      <c r="C67" s="1706" t="s">
        <v>22</v>
      </c>
      <c r="D67" s="1721" t="s">
        <v>12</v>
      </c>
      <c r="E67" s="1721"/>
      <c r="F67" s="1721"/>
      <c r="G67" s="1721"/>
      <c r="H67" s="1721"/>
      <c r="I67" s="1721"/>
      <c r="J67" s="1721"/>
      <c r="K67" s="1721"/>
      <c r="L67" s="1721"/>
      <c r="M67" s="1721"/>
      <c r="N67" s="1721"/>
      <c r="O67" s="1721"/>
      <c r="P67" s="1721"/>
      <c r="Q67" s="1721"/>
      <c r="R67" s="1706" t="s">
        <v>20</v>
      </c>
      <c r="S67" s="1717" t="s">
        <v>17</v>
      </c>
      <c r="T67" s="1718"/>
      <c r="U67" s="1718"/>
      <c r="V67" s="1718"/>
      <c r="W67" s="1718"/>
      <c r="X67" s="1718"/>
      <c r="Y67" s="1718"/>
      <c r="Z67" s="1718"/>
      <c r="AA67" s="1718"/>
      <c r="AB67" s="1718"/>
      <c r="AC67" s="1718"/>
      <c r="AD67" s="1718"/>
      <c r="AE67" s="1719"/>
      <c r="AF67" s="1720" t="s">
        <v>6</v>
      </c>
      <c r="AG67" s="1720"/>
      <c r="AH67" s="1720"/>
      <c r="AI67" s="1720"/>
      <c r="AJ67" s="1720"/>
      <c r="AK67" s="1720"/>
      <c r="AL67" s="1720"/>
      <c r="AM67" s="1720"/>
      <c r="AN67" s="1720"/>
      <c r="AO67" s="1720"/>
      <c r="AP67" s="1720"/>
      <c r="AQ67" s="1720"/>
      <c r="AR67" s="1720"/>
      <c r="AS67" s="1720"/>
      <c r="AT67" s="1722" t="s">
        <v>41</v>
      </c>
      <c r="AU67" s="1723"/>
      <c r="AV67" s="1723"/>
      <c r="AW67" s="1723"/>
      <c r="AX67" s="1723"/>
      <c r="AY67" s="1723"/>
      <c r="AZ67" s="1723"/>
      <c r="BA67" s="1723"/>
      <c r="BB67" s="1723"/>
      <c r="BC67" s="1723"/>
      <c r="BD67" s="1723"/>
      <c r="BE67" s="1723"/>
      <c r="BF67" s="1724"/>
      <c r="BG67" s="1706" t="s">
        <v>38</v>
      </c>
      <c r="BH67" s="1706" t="s">
        <v>256</v>
      </c>
      <c r="BI67" s="1709" t="s">
        <v>39</v>
      </c>
      <c r="BJ67" s="135"/>
      <c r="BK67" s="135"/>
      <c r="BL67" s="135"/>
      <c r="BM67" s="135"/>
      <c r="BN67" s="135"/>
      <c r="BO67" s="1733" t="s">
        <v>41</v>
      </c>
      <c r="BP67" s="1734"/>
      <c r="BQ67" s="1734"/>
      <c r="BR67" s="1734"/>
      <c r="BS67" s="1734"/>
      <c r="BT67" s="1734"/>
      <c r="BU67" s="1734"/>
      <c r="BV67" s="1734"/>
      <c r="BW67" s="1734"/>
      <c r="BX67" s="1734"/>
      <c r="BY67" s="1734"/>
      <c r="BZ67" s="1734"/>
      <c r="CA67" s="1734"/>
      <c r="CB67" s="1734"/>
      <c r="CC67" s="1734"/>
      <c r="CD67" s="1734"/>
      <c r="CE67" s="1734"/>
      <c r="CF67" s="1734"/>
      <c r="CG67" s="1734"/>
      <c r="CH67" s="1734"/>
      <c r="CI67" s="1734"/>
      <c r="CJ67" s="1734"/>
      <c r="CK67" s="1734"/>
      <c r="CL67" s="1734"/>
      <c r="CM67" s="1734"/>
      <c r="CN67" s="1735"/>
    </row>
    <row r="68" spans="1:98" s="8" customFormat="1" ht="48.75" customHeight="1" x14ac:dyDescent="0.2">
      <c r="A68" s="1704"/>
      <c r="B68" s="1707"/>
      <c r="C68" s="1707"/>
      <c r="D68" s="1728" t="s">
        <v>18</v>
      </c>
      <c r="E68" s="1714" t="s">
        <v>19</v>
      </c>
      <c r="F68" s="1715"/>
      <c r="G68" s="1715"/>
      <c r="H68" s="1715"/>
      <c r="I68" s="1715"/>
      <c r="J68" s="1715"/>
      <c r="K68" s="1715"/>
      <c r="L68" s="1715"/>
      <c r="M68" s="1715"/>
      <c r="N68" s="1715"/>
      <c r="O68" s="1715"/>
      <c r="P68" s="1715"/>
      <c r="Q68" s="1715"/>
      <c r="R68" s="1707"/>
      <c r="S68" s="1712" t="s">
        <v>18</v>
      </c>
      <c r="T68" s="1714" t="s">
        <v>19</v>
      </c>
      <c r="U68" s="1715"/>
      <c r="V68" s="1715"/>
      <c r="W68" s="1715"/>
      <c r="X68" s="1715"/>
      <c r="Y68" s="1715"/>
      <c r="Z68" s="1715"/>
      <c r="AA68" s="1715"/>
      <c r="AB68" s="1715"/>
      <c r="AC68" s="1715"/>
      <c r="AD68" s="1715"/>
      <c r="AE68" s="1716"/>
      <c r="AF68" s="1712" t="s">
        <v>18</v>
      </c>
      <c r="AG68" s="1714" t="s">
        <v>19</v>
      </c>
      <c r="AH68" s="1715"/>
      <c r="AI68" s="1715"/>
      <c r="AJ68" s="1715"/>
      <c r="AK68" s="1715"/>
      <c r="AL68" s="1715"/>
      <c r="AM68" s="1715"/>
      <c r="AN68" s="1715"/>
      <c r="AO68" s="1715"/>
      <c r="AP68" s="1715"/>
      <c r="AQ68" s="1715"/>
      <c r="AR68" s="1715"/>
      <c r="AS68" s="1716"/>
      <c r="AT68" s="1725"/>
      <c r="AU68" s="1726"/>
      <c r="AV68" s="1726"/>
      <c r="AW68" s="1726"/>
      <c r="AX68" s="1726"/>
      <c r="AY68" s="1726"/>
      <c r="AZ68" s="1726"/>
      <c r="BA68" s="1726"/>
      <c r="BB68" s="1726"/>
      <c r="BC68" s="1726"/>
      <c r="BD68" s="1726"/>
      <c r="BE68" s="1726"/>
      <c r="BF68" s="1727"/>
      <c r="BG68" s="1707"/>
      <c r="BH68" s="1707"/>
      <c r="BI68" s="1710"/>
      <c r="BJ68" s="135"/>
      <c r="BK68" s="1736">
        <f>SUM(BK70/60)</f>
        <v>4532</v>
      </c>
      <c r="BL68" s="1736"/>
      <c r="BM68" s="1736"/>
      <c r="BN68" s="23"/>
      <c r="BO68" s="1737" t="s">
        <v>686</v>
      </c>
      <c r="BP68" s="1738"/>
      <c r="BQ68" s="1738"/>
      <c r="BR68" s="1738"/>
      <c r="BS68" s="1738"/>
      <c r="BT68" s="1738"/>
      <c r="BU68" s="1738"/>
      <c r="BV68" s="1738"/>
      <c r="BW68" s="1738"/>
      <c r="BX68" s="1738"/>
      <c r="BY68" s="1738"/>
      <c r="BZ68" s="1738"/>
      <c r="CA68" s="1739"/>
      <c r="CB68" s="1740" t="s">
        <v>687</v>
      </c>
      <c r="CC68" s="1741"/>
      <c r="CD68" s="1741"/>
      <c r="CE68" s="1741"/>
      <c r="CF68" s="1741"/>
      <c r="CG68" s="1741"/>
      <c r="CH68" s="1741"/>
      <c r="CI68" s="1741"/>
      <c r="CJ68" s="1741"/>
      <c r="CK68" s="1741"/>
      <c r="CL68" s="1741"/>
      <c r="CM68" s="1741"/>
      <c r="CN68" s="1742"/>
    </row>
    <row r="69" spans="1:98" s="6" customFormat="1" ht="28.5" customHeight="1" x14ac:dyDescent="0.2">
      <c r="A69" s="1705"/>
      <c r="B69" s="1708"/>
      <c r="C69" s="1708"/>
      <c r="D69" s="1729"/>
      <c r="E69" s="26">
        <v>1</v>
      </c>
      <c r="F69" s="26">
        <v>2</v>
      </c>
      <c r="G69" s="26">
        <v>3</v>
      </c>
      <c r="H69" s="26">
        <v>4</v>
      </c>
      <c r="I69" s="26">
        <v>5</v>
      </c>
      <c r="J69" s="26">
        <v>6</v>
      </c>
      <c r="K69" s="26">
        <v>7</v>
      </c>
      <c r="L69" s="26">
        <v>8</v>
      </c>
      <c r="M69" s="26">
        <v>9</v>
      </c>
      <c r="N69" s="26">
        <v>10</v>
      </c>
      <c r="O69" s="26">
        <v>11</v>
      </c>
      <c r="P69" s="26">
        <v>12</v>
      </c>
      <c r="Q69" s="26" t="s">
        <v>21</v>
      </c>
      <c r="R69" s="1708"/>
      <c r="S69" s="1713"/>
      <c r="T69" s="26">
        <v>1</v>
      </c>
      <c r="U69" s="26">
        <v>2</v>
      </c>
      <c r="V69" s="26">
        <v>3</v>
      </c>
      <c r="W69" s="26">
        <v>4</v>
      </c>
      <c r="X69" s="26">
        <v>5</v>
      </c>
      <c r="Y69" s="26">
        <v>6</v>
      </c>
      <c r="Z69" s="26">
        <v>7</v>
      </c>
      <c r="AA69" s="26">
        <v>8</v>
      </c>
      <c r="AB69" s="26">
        <v>9</v>
      </c>
      <c r="AC69" s="26">
        <v>10</v>
      </c>
      <c r="AD69" s="26">
        <v>11</v>
      </c>
      <c r="AE69" s="26">
        <v>12</v>
      </c>
      <c r="AF69" s="1713"/>
      <c r="AG69" s="26">
        <v>1</v>
      </c>
      <c r="AH69" s="26">
        <v>2</v>
      </c>
      <c r="AI69" s="26">
        <v>3</v>
      </c>
      <c r="AJ69" s="26">
        <v>4</v>
      </c>
      <c r="AK69" s="26">
        <v>5</v>
      </c>
      <c r="AL69" s="26">
        <v>6</v>
      </c>
      <c r="AM69" s="26">
        <v>7</v>
      </c>
      <c r="AN69" s="26">
        <v>8</v>
      </c>
      <c r="AO69" s="26">
        <v>9</v>
      </c>
      <c r="AP69" s="26">
        <v>10</v>
      </c>
      <c r="AQ69" s="26">
        <v>11</v>
      </c>
      <c r="AR69" s="26">
        <v>12</v>
      </c>
      <c r="AS69" s="26" t="s">
        <v>13</v>
      </c>
      <c r="AT69" s="173">
        <v>1</v>
      </c>
      <c r="AU69" s="173">
        <v>2</v>
      </c>
      <c r="AV69" s="173">
        <v>3</v>
      </c>
      <c r="AW69" s="173">
        <v>4</v>
      </c>
      <c r="AX69" s="173">
        <v>5</v>
      </c>
      <c r="AY69" s="173">
        <v>6</v>
      </c>
      <c r="AZ69" s="173">
        <v>7</v>
      </c>
      <c r="BA69" s="173">
        <v>8</v>
      </c>
      <c r="BB69" s="173">
        <v>9</v>
      </c>
      <c r="BC69" s="173">
        <v>10</v>
      </c>
      <c r="BD69" s="173">
        <v>11</v>
      </c>
      <c r="BE69" s="173">
        <v>12</v>
      </c>
      <c r="BF69" s="26" t="s">
        <v>13</v>
      </c>
      <c r="BG69" s="1708"/>
      <c r="BH69" s="1708"/>
      <c r="BI69" s="1711"/>
      <c r="BJ69" s="7"/>
      <c r="BK69" s="1743" t="s">
        <v>19</v>
      </c>
      <c r="BL69" s="1744"/>
      <c r="BM69" s="1745"/>
      <c r="BN69" s="621"/>
      <c r="BO69" s="173">
        <v>1</v>
      </c>
      <c r="BP69" s="173">
        <v>2</v>
      </c>
      <c r="BQ69" s="173">
        <v>3</v>
      </c>
      <c r="BR69" s="173">
        <v>4</v>
      </c>
      <c r="BS69" s="173">
        <v>5</v>
      </c>
      <c r="BT69" s="173">
        <v>6</v>
      </c>
      <c r="BU69" s="173">
        <v>7</v>
      </c>
      <c r="BV69" s="173">
        <v>8</v>
      </c>
      <c r="BW69" s="173">
        <v>9</v>
      </c>
      <c r="BX69" s="173">
        <v>10</v>
      </c>
      <c r="BY69" s="173">
        <v>11</v>
      </c>
      <c r="BZ69" s="173">
        <v>12</v>
      </c>
      <c r="CA69" s="26" t="s">
        <v>13</v>
      </c>
      <c r="CB69" s="173">
        <v>1</v>
      </c>
      <c r="CC69" s="173">
        <v>2</v>
      </c>
      <c r="CD69" s="173">
        <v>3</v>
      </c>
      <c r="CE69" s="173">
        <v>4</v>
      </c>
      <c r="CF69" s="173">
        <v>5</v>
      </c>
      <c r="CG69" s="173">
        <v>6</v>
      </c>
      <c r="CH69" s="173">
        <v>7</v>
      </c>
      <c r="CI69" s="173">
        <v>8</v>
      </c>
      <c r="CJ69" s="173">
        <v>9</v>
      </c>
      <c r="CK69" s="173">
        <v>10</v>
      </c>
      <c r="CL69" s="173">
        <v>11</v>
      </c>
      <c r="CM69" s="173">
        <v>12</v>
      </c>
      <c r="CN69" s="26" t="s">
        <v>13</v>
      </c>
    </row>
    <row r="70" spans="1:98" s="7" customFormat="1" ht="24.75" customHeight="1" x14ac:dyDescent="0.2">
      <c r="A70" s="41"/>
      <c r="B70" s="141" t="s">
        <v>89</v>
      </c>
      <c r="C70" s="29" t="s">
        <v>25</v>
      </c>
      <c r="D70" s="552">
        <v>30</v>
      </c>
      <c r="E70" s="1413">
        <v>30</v>
      </c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1">
        <f>SUM(E70:P70)</f>
        <v>30</v>
      </c>
      <c r="R70" s="83" t="s">
        <v>31</v>
      </c>
      <c r="S70" s="142">
        <v>10300</v>
      </c>
      <c r="T70" s="1153">
        <v>10300</v>
      </c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69">
        <f t="shared" ref="AF70:AF73" si="102">SUM(Q70*S70)</f>
        <v>309000</v>
      </c>
      <c r="AG70" s="1081">
        <f t="shared" ref="AG70:AI73" si="103">T70*E70</f>
        <v>309000</v>
      </c>
      <c r="AH70" s="70">
        <f t="shared" si="103"/>
        <v>0</v>
      </c>
      <c r="AI70" s="70">
        <f t="shared" si="103"/>
        <v>0</v>
      </c>
      <c r="AJ70" s="70">
        <f t="shared" ref="AJ70:AR73" si="104">W70*H70</f>
        <v>0</v>
      </c>
      <c r="AK70" s="70">
        <f t="shared" si="104"/>
        <v>0</v>
      </c>
      <c r="AL70" s="70">
        <f t="shared" si="104"/>
        <v>0</v>
      </c>
      <c r="AM70" s="70">
        <f t="shared" si="104"/>
        <v>0</v>
      </c>
      <c r="AN70" s="70">
        <f t="shared" si="104"/>
        <v>0</v>
      </c>
      <c r="AO70" s="70">
        <f t="shared" si="104"/>
        <v>0</v>
      </c>
      <c r="AP70" s="70">
        <f t="shared" si="104"/>
        <v>0</v>
      </c>
      <c r="AQ70" s="70">
        <f t="shared" si="104"/>
        <v>0</v>
      </c>
      <c r="AR70" s="70">
        <f t="shared" si="104"/>
        <v>0</v>
      </c>
      <c r="AS70" s="71">
        <f>SUM(AG70:AR70)</f>
        <v>309000</v>
      </c>
      <c r="AT70" s="70">
        <f>SUM(AG70*12%)</f>
        <v>37080</v>
      </c>
      <c r="AU70" s="70">
        <f t="shared" ref="AU70:AV72" si="105">SUM(AH70*14%)</f>
        <v>0</v>
      </c>
      <c r="AV70" s="70">
        <f t="shared" si="105"/>
        <v>0</v>
      </c>
      <c r="AW70" s="70">
        <f t="shared" ref="AW70:BE73" si="106">SUM(AJ70*14%)</f>
        <v>0</v>
      </c>
      <c r="AX70" s="70">
        <f t="shared" si="106"/>
        <v>0</v>
      </c>
      <c r="AY70" s="70">
        <f t="shared" si="106"/>
        <v>0</v>
      </c>
      <c r="AZ70" s="70">
        <f t="shared" si="106"/>
        <v>0</v>
      </c>
      <c r="BA70" s="70">
        <f t="shared" si="106"/>
        <v>0</v>
      </c>
      <c r="BB70" s="70">
        <f t="shared" si="106"/>
        <v>0</v>
      </c>
      <c r="BC70" s="70">
        <f t="shared" si="106"/>
        <v>0</v>
      </c>
      <c r="BD70" s="70">
        <f t="shared" si="106"/>
        <v>0</v>
      </c>
      <c r="BE70" s="70">
        <f t="shared" si="106"/>
        <v>0</v>
      </c>
      <c r="BF70" s="72">
        <f>SUM(AT70:BE70)</f>
        <v>37080</v>
      </c>
      <c r="BG70" s="73">
        <f>AF70-AS70</f>
        <v>0</v>
      </c>
      <c r="BH70" s="74">
        <f>S70*D70</f>
        <v>309000</v>
      </c>
      <c r="BI70" s="75">
        <f>BH70-AS70</f>
        <v>0</v>
      </c>
      <c r="BJ70" s="175">
        <f>SUM(Q70/D70)</f>
        <v>1</v>
      </c>
      <c r="BK70" s="1081">
        <f>AG70-AT70</f>
        <v>271920</v>
      </c>
      <c r="BL70" s="1081">
        <f>30 *9000</f>
        <v>270000</v>
      </c>
      <c r="BM70" s="1083">
        <f>BK70-BL70</f>
        <v>1920</v>
      </c>
      <c r="BN70" s="1084"/>
      <c r="BO70" s="862"/>
      <c r="BP70" s="862"/>
      <c r="BQ70" s="862"/>
      <c r="BR70" s="862"/>
      <c r="BS70" s="862"/>
      <c r="BT70" s="862"/>
      <c r="BU70" s="862"/>
      <c r="BV70" s="862"/>
      <c r="BW70" s="1081">
        <f t="shared" ref="BW70:BW71" si="107">SUM(AN70*12.5%)</f>
        <v>0</v>
      </c>
      <c r="BX70" s="862"/>
      <c r="BY70" s="862"/>
      <c r="BZ70" s="862"/>
      <c r="CA70" s="73">
        <f t="shared" ref="CA70" si="108">SUM(BO70:BZ70)</f>
        <v>0</v>
      </c>
      <c r="CB70" s="862"/>
      <c r="CC70" s="862"/>
      <c r="CD70" s="862"/>
      <c r="CE70" s="862"/>
      <c r="CF70" s="862"/>
      <c r="CG70" s="862"/>
      <c r="CH70" s="862"/>
      <c r="CI70" s="862"/>
      <c r="CJ70" s="1081"/>
      <c r="CK70" s="862"/>
      <c r="CL70" s="862"/>
      <c r="CM70" s="862"/>
      <c r="CN70" s="73">
        <f t="shared" ref="CN70:CN72" si="109">SUM(CB70:CM70)</f>
        <v>0</v>
      </c>
    </row>
    <row r="71" spans="1:98" s="7" customFormat="1" ht="24.75" customHeight="1" x14ac:dyDescent="0.2">
      <c r="A71" s="41"/>
      <c r="B71" s="141" t="s">
        <v>90</v>
      </c>
      <c r="C71" s="29" t="s">
        <v>25</v>
      </c>
      <c r="D71" s="552">
        <v>30</v>
      </c>
      <c r="E71" s="1413">
        <v>30</v>
      </c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1">
        <f>SUM(E71:P71)</f>
        <v>30</v>
      </c>
      <c r="R71" s="83" t="s">
        <v>31</v>
      </c>
      <c r="S71" s="142">
        <v>28500</v>
      </c>
      <c r="T71" s="1153">
        <v>28000</v>
      </c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69">
        <f t="shared" si="102"/>
        <v>855000</v>
      </c>
      <c r="AG71" s="1081">
        <f t="shared" si="103"/>
        <v>840000</v>
      </c>
      <c r="AH71" s="70">
        <f t="shared" si="103"/>
        <v>0</v>
      </c>
      <c r="AI71" s="70">
        <f t="shared" si="103"/>
        <v>0</v>
      </c>
      <c r="AJ71" s="70">
        <f t="shared" si="104"/>
        <v>0</v>
      </c>
      <c r="AK71" s="70">
        <f t="shared" si="104"/>
        <v>0</v>
      </c>
      <c r="AL71" s="70">
        <f t="shared" si="104"/>
        <v>0</v>
      </c>
      <c r="AM71" s="70">
        <f t="shared" si="104"/>
        <v>0</v>
      </c>
      <c r="AN71" s="70">
        <f t="shared" si="104"/>
        <v>0</v>
      </c>
      <c r="AO71" s="70">
        <f t="shared" si="104"/>
        <v>0</v>
      </c>
      <c r="AP71" s="70">
        <f t="shared" si="104"/>
        <v>0</v>
      </c>
      <c r="AQ71" s="70">
        <f t="shared" si="104"/>
        <v>0</v>
      </c>
      <c r="AR71" s="70">
        <f t="shared" si="104"/>
        <v>0</v>
      </c>
      <c r="AS71" s="71">
        <f>SUM(AG71:AR71)</f>
        <v>840000</v>
      </c>
      <c r="AT71" s="70">
        <f>SUM(AG71*12%)</f>
        <v>100800</v>
      </c>
      <c r="AU71" s="70">
        <f t="shared" si="105"/>
        <v>0</v>
      </c>
      <c r="AV71" s="70">
        <f t="shared" si="105"/>
        <v>0</v>
      </c>
      <c r="AW71" s="70">
        <f t="shared" si="106"/>
        <v>0</v>
      </c>
      <c r="AX71" s="70">
        <f t="shared" si="106"/>
        <v>0</v>
      </c>
      <c r="AY71" s="70">
        <f t="shared" si="106"/>
        <v>0</v>
      </c>
      <c r="AZ71" s="70">
        <f t="shared" si="106"/>
        <v>0</v>
      </c>
      <c r="BA71" s="70">
        <f t="shared" si="106"/>
        <v>0</v>
      </c>
      <c r="BB71" s="70">
        <f t="shared" si="106"/>
        <v>0</v>
      </c>
      <c r="BC71" s="70">
        <f t="shared" si="106"/>
        <v>0</v>
      </c>
      <c r="BD71" s="70">
        <f t="shared" si="106"/>
        <v>0</v>
      </c>
      <c r="BE71" s="70">
        <f t="shared" si="106"/>
        <v>0</v>
      </c>
      <c r="BF71" s="72">
        <f>SUM(AT71:BE71)</f>
        <v>100800</v>
      </c>
      <c r="BG71" s="73">
        <f>AF71-AS71</f>
        <v>15000</v>
      </c>
      <c r="BH71" s="74">
        <f>S71*D71</f>
        <v>855000</v>
      </c>
      <c r="BI71" s="75">
        <f t="shared" ref="BI71:BI73" si="110">BH71-AS71</f>
        <v>15000</v>
      </c>
      <c r="BJ71" s="175">
        <f>SUM(Q71/D71)</f>
        <v>1</v>
      </c>
      <c r="BK71" s="1081">
        <f t="shared" ref="BK71:BK73" si="111">AG71-AT71</f>
        <v>739200</v>
      </c>
      <c r="BL71" s="1081">
        <f>30*24500</f>
        <v>735000</v>
      </c>
      <c r="BM71" s="1083">
        <f t="shared" ref="BM71:BM73" si="112">BK71-BL71</f>
        <v>4200</v>
      </c>
      <c r="BN71" s="1084"/>
      <c r="BO71" s="862"/>
      <c r="BP71" s="862"/>
      <c r="BQ71" s="862"/>
      <c r="BR71" s="862"/>
      <c r="BS71" s="862"/>
      <c r="BT71" s="862"/>
      <c r="BU71" s="862"/>
      <c r="BV71" s="862"/>
      <c r="BW71" s="1081">
        <f t="shared" si="107"/>
        <v>0</v>
      </c>
      <c r="BX71" s="862"/>
      <c r="BY71" s="862"/>
      <c r="BZ71" s="862"/>
      <c r="CA71" s="73">
        <f t="shared" ref="CA71" si="113">SUM(BO71:BZ71)</f>
        <v>0</v>
      </c>
      <c r="CB71" s="862"/>
      <c r="CC71" s="862"/>
      <c r="CD71" s="862"/>
      <c r="CE71" s="862"/>
      <c r="CF71" s="862"/>
      <c r="CG71" s="862"/>
      <c r="CH71" s="862"/>
      <c r="CI71" s="862"/>
      <c r="CJ71" s="1081"/>
      <c r="CK71" s="862"/>
      <c r="CL71" s="862"/>
      <c r="CM71" s="862"/>
      <c r="CN71" s="73">
        <f t="shared" si="109"/>
        <v>0</v>
      </c>
    </row>
    <row r="72" spans="1:98" s="7" customFormat="1" ht="24.75" customHeight="1" x14ac:dyDescent="0.2">
      <c r="A72" s="41"/>
      <c r="B72" s="141" t="s">
        <v>109</v>
      </c>
      <c r="C72" s="29" t="s">
        <v>25</v>
      </c>
      <c r="D72" s="552">
        <v>2</v>
      </c>
      <c r="E72" s="1413">
        <v>2</v>
      </c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1">
        <f>SUM(E72:P72)</f>
        <v>2</v>
      </c>
      <c r="R72" s="83" t="s">
        <v>31</v>
      </c>
      <c r="S72" s="142">
        <v>49900</v>
      </c>
      <c r="T72" s="1552">
        <v>49900</v>
      </c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69">
        <f t="shared" si="102"/>
        <v>99800</v>
      </c>
      <c r="AG72" s="1081">
        <f t="shared" si="103"/>
        <v>99800</v>
      </c>
      <c r="AH72" s="70">
        <f t="shared" si="103"/>
        <v>0</v>
      </c>
      <c r="AI72" s="70">
        <f t="shared" si="103"/>
        <v>0</v>
      </c>
      <c r="AJ72" s="70">
        <f t="shared" si="104"/>
        <v>0</v>
      </c>
      <c r="AK72" s="70">
        <f t="shared" si="104"/>
        <v>0</v>
      </c>
      <c r="AL72" s="70">
        <f t="shared" si="104"/>
        <v>0</v>
      </c>
      <c r="AM72" s="70">
        <f t="shared" si="104"/>
        <v>0</v>
      </c>
      <c r="AN72" s="70">
        <f t="shared" si="104"/>
        <v>0</v>
      </c>
      <c r="AO72" s="70">
        <f t="shared" si="104"/>
        <v>0</v>
      </c>
      <c r="AP72" s="70">
        <f t="shared" si="104"/>
        <v>0</v>
      </c>
      <c r="AQ72" s="70">
        <f t="shared" si="104"/>
        <v>0</v>
      </c>
      <c r="AR72" s="70">
        <f t="shared" si="104"/>
        <v>0</v>
      </c>
      <c r="AS72" s="71">
        <f>SUM(AG72:AR72)</f>
        <v>99800</v>
      </c>
      <c r="AT72" s="70"/>
      <c r="AU72" s="70">
        <f t="shared" si="105"/>
        <v>0</v>
      </c>
      <c r="AV72" s="70">
        <f t="shared" si="105"/>
        <v>0</v>
      </c>
      <c r="AW72" s="70">
        <f t="shared" si="106"/>
        <v>0</v>
      </c>
      <c r="AX72" s="70">
        <f t="shared" si="106"/>
        <v>0</v>
      </c>
      <c r="AY72" s="70">
        <f t="shared" si="106"/>
        <v>0</v>
      </c>
      <c r="AZ72" s="70">
        <f t="shared" si="106"/>
        <v>0</v>
      </c>
      <c r="BA72" s="70">
        <f t="shared" si="106"/>
        <v>0</v>
      </c>
      <c r="BB72" s="70">
        <f t="shared" si="106"/>
        <v>0</v>
      </c>
      <c r="BC72" s="70">
        <f t="shared" si="106"/>
        <v>0</v>
      </c>
      <c r="BD72" s="70">
        <f t="shared" si="106"/>
        <v>0</v>
      </c>
      <c r="BE72" s="70">
        <f t="shared" si="106"/>
        <v>0</v>
      </c>
      <c r="BF72" s="72">
        <f>SUM(AT72:BE72)</f>
        <v>0</v>
      </c>
      <c r="BG72" s="73">
        <f>AF72-AS72-BF72</f>
        <v>0</v>
      </c>
      <c r="BH72" s="74">
        <f>S72*D72</f>
        <v>99800</v>
      </c>
      <c r="BI72" s="75">
        <f>BH72-AS72-BF72</f>
        <v>0</v>
      </c>
      <c r="BJ72" s="175">
        <f>SUM(Q72/D72)</f>
        <v>1</v>
      </c>
      <c r="BK72" s="1081"/>
      <c r="BL72" s="1081"/>
      <c r="BM72" s="1083"/>
      <c r="BN72" s="1084"/>
      <c r="BO72" s="862"/>
      <c r="BP72" s="862"/>
      <c r="BQ72" s="862"/>
      <c r="BR72" s="862"/>
      <c r="BS72" s="862"/>
      <c r="BT72" s="862"/>
      <c r="BU72" s="862"/>
      <c r="BV72" s="862"/>
      <c r="BW72" s="1081">
        <f t="shared" ref="BW72" si="114">SUM(AN72*12.5%)</f>
        <v>0</v>
      </c>
      <c r="BX72" s="862"/>
      <c r="BY72" s="862"/>
      <c r="BZ72" s="862"/>
      <c r="CA72" s="73">
        <f t="shared" ref="CA72" si="115">SUM(BO72:BZ72)</f>
        <v>0</v>
      </c>
      <c r="CB72" s="862"/>
      <c r="CC72" s="862"/>
      <c r="CD72" s="862"/>
      <c r="CE72" s="862"/>
      <c r="CF72" s="862"/>
      <c r="CG72" s="862"/>
      <c r="CH72" s="862"/>
      <c r="CI72" s="862"/>
      <c r="CJ72" s="1081"/>
      <c r="CK72" s="862"/>
      <c r="CL72" s="862"/>
      <c r="CM72" s="862"/>
      <c r="CN72" s="73">
        <f t="shared" si="109"/>
        <v>0</v>
      </c>
    </row>
    <row r="73" spans="1:98" s="7" customFormat="1" ht="24.75" customHeight="1" thickBot="1" x14ac:dyDescent="0.25">
      <c r="A73" s="41"/>
      <c r="B73" s="141" t="s">
        <v>92</v>
      </c>
      <c r="C73" s="29" t="s">
        <v>25</v>
      </c>
      <c r="D73" s="226">
        <v>2</v>
      </c>
      <c r="E73" s="1414">
        <v>2</v>
      </c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1">
        <f>SUM(E73:P73)</f>
        <v>2</v>
      </c>
      <c r="R73" s="83" t="s">
        <v>16</v>
      </c>
      <c r="S73" s="142">
        <v>35000</v>
      </c>
      <c r="T73" s="1153">
        <v>35000</v>
      </c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69">
        <f t="shared" si="102"/>
        <v>70000</v>
      </c>
      <c r="AG73" s="1081">
        <f t="shared" si="103"/>
        <v>70000</v>
      </c>
      <c r="AH73" s="70">
        <f t="shared" si="103"/>
        <v>0</v>
      </c>
      <c r="AI73" s="70">
        <f t="shared" si="103"/>
        <v>0</v>
      </c>
      <c r="AJ73" s="70">
        <f t="shared" si="104"/>
        <v>0</v>
      </c>
      <c r="AK73" s="70">
        <f t="shared" si="104"/>
        <v>0</v>
      </c>
      <c r="AL73" s="70">
        <f t="shared" si="104"/>
        <v>0</v>
      </c>
      <c r="AM73" s="70">
        <f t="shared" si="104"/>
        <v>0</v>
      </c>
      <c r="AN73" s="70">
        <f t="shared" si="104"/>
        <v>0</v>
      </c>
      <c r="AO73" s="70">
        <f t="shared" si="104"/>
        <v>0</v>
      </c>
      <c r="AP73" s="70">
        <f t="shared" si="104"/>
        <v>0</v>
      </c>
      <c r="AQ73" s="70">
        <f t="shared" si="104"/>
        <v>0</v>
      </c>
      <c r="AR73" s="70">
        <f t="shared" si="104"/>
        <v>0</v>
      </c>
      <c r="AS73" s="71">
        <f>SUM(AG73:AR73)</f>
        <v>70000</v>
      </c>
      <c r="AT73" s="70">
        <f>SUM(AG73*2%)</f>
        <v>1400</v>
      </c>
      <c r="AU73" s="70">
        <f>SUM(AH73*14%)</f>
        <v>0</v>
      </c>
      <c r="AV73" s="70">
        <f>SUM(AI73*14%)</f>
        <v>0</v>
      </c>
      <c r="AW73" s="70">
        <f t="shared" si="106"/>
        <v>0</v>
      </c>
      <c r="AX73" s="70">
        <f t="shared" si="106"/>
        <v>0</v>
      </c>
      <c r="AY73" s="70">
        <f t="shared" si="106"/>
        <v>0</v>
      </c>
      <c r="AZ73" s="70">
        <f t="shared" si="106"/>
        <v>0</v>
      </c>
      <c r="BA73" s="70">
        <f t="shared" si="106"/>
        <v>0</v>
      </c>
      <c r="BB73" s="70">
        <f t="shared" si="106"/>
        <v>0</v>
      </c>
      <c r="BC73" s="70">
        <f t="shared" si="106"/>
        <v>0</v>
      </c>
      <c r="BD73" s="70">
        <f t="shared" si="106"/>
        <v>0</v>
      </c>
      <c r="BE73" s="70">
        <f t="shared" si="106"/>
        <v>0</v>
      </c>
      <c r="BF73" s="72">
        <f>SUM(AT73:BE73)</f>
        <v>1400</v>
      </c>
      <c r="BG73" s="73">
        <f>AF73-AS73</f>
        <v>0</v>
      </c>
      <c r="BH73" s="74">
        <f>S73*D73</f>
        <v>70000</v>
      </c>
      <c r="BI73" s="75">
        <f t="shared" si="110"/>
        <v>0</v>
      </c>
      <c r="BJ73" s="175">
        <f>SUM(Q73/D73)</f>
        <v>1</v>
      </c>
      <c r="BK73" s="1081">
        <f t="shared" si="111"/>
        <v>68600</v>
      </c>
      <c r="BL73" s="1081">
        <f>2*30000</f>
        <v>60000</v>
      </c>
      <c r="BM73" s="1083">
        <f t="shared" si="112"/>
        <v>8600</v>
      </c>
      <c r="BN73" s="1084"/>
      <c r="BO73" s="862"/>
      <c r="BP73" s="862"/>
      <c r="BQ73" s="862"/>
      <c r="BR73" s="862"/>
      <c r="BS73" s="862"/>
      <c r="BT73" s="862"/>
      <c r="BU73" s="862"/>
      <c r="BV73" s="862"/>
      <c r="BW73" s="1081">
        <f t="shared" ref="BW73" si="116">SUM(AN73*12.5%)</f>
        <v>0</v>
      </c>
      <c r="BX73" s="862"/>
      <c r="BY73" s="862"/>
      <c r="BZ73" s="862"/>
      <c r="CA73" s="73">
        <f t="shared" ref="CA73" si="117">SUM(BO73:BZ73)</f>
        <v>0</v>
      </c>
      <c r="CB73" s="862"/>
      <c r="CC73" s="862"/>
      <c r="CD73" s="862"/>
      <c r="CE73" s="862"/>
      <c r="CF73" s="862"/>
      <c r="CG73" s="862"/>
      <c r="CH73" s="862"/>
      <c r="CI73" s="862"/>
      <c r="CJ73" s="1081"/>
      <c r="CK73" s="862"/>
      <c r="CL73" s="862"/>
      <c r="CM73" s="862"/>
      <c r="CN73" s="73">
        <f t="shared" ref="CN73" si="118">SUM(CB73:CM73)</f>
        <v>0</v>
      </c>
    </row>
    <row r="74" spans="1:98" s="38" customFormat="1" ht="24.75" customHeight="1" thickBot="1" x14ac:dyDescent="0.25">
      <c r="A74" s="554">
        <v>7</v>
      </c>
      <c r="B74" s="44" t="s">
        <v>4</v>
      </c>
      <c r="C74" s="44"/>
      <c r="D74" s="227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7"/>
      <c r="R74" s="77"/>
      <c r="S74" s="45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78">
        <f t="shared" ref="AF74:BF74" si="119">SUM(AF70:AF73)</f>
        <v>1333800</v>
      </c>
      <c r="AG74" s="1475">
        <f>SUM(AG70:AG73)-200000</f>
        <v>1118800</v>
      </c>
      <c r="AH74" s="78">
        <f t="shared" si="119"/>
        <v>0</v>
      </c>
      <c r="AI74" s="78">
        <f t="shared" si="119"/>
        <v>0</v>
      </c>
      <c r="AJ74" s="78">
        <f t="shared" ref="AJ74:AR74" si="120">SUM(AJ70:AJ73)</f>
        <v>0</v>
      </c>
      <c r="AK74" s="78">
        <f t="shared" si="120"/>
        <v>0</v>
      </c>
      <c r="AL74" s="78">
        <f t="shared" si="120"/>
        <v>0</v>
      </c>
      <c r="AM74" s="78">
        <f t="shared" si="120"/>
        <v>0</v>
      </c>
      <c r="AN74" s="78">
        <f t="shared" si="120"/>
        <v>0</v>
      </c>
      <c r="AO74" s="78">
        <f t="shared" si="120"/>
        <v>0</v>
      </c>
      <c r="AP74" s="78">
        <f t="shared" si="120"/>
        <v>0</v>
      </c>
      <c r="AQ74" s="78">
        <f t="shared" si="120"/>
        <v>0</v>
      </c>
      <c r="AR74" s="78">
        <f t="shared" si="120"/>
        <v>0</v>
      </c>
      <c r="AS74" s="78">
        <f>SUM(AS70:AS73)-200000</f>
        <v>1118800</v>
      </c>
      <c r="AT74" s="78">
        <f t="shared" si="119"/>
        <v>139280</v>
      </c>
      <c r="AU74" s="78">
        <f t="shared" si="119"/>
        <v>0</v>
      </c>
      <c r="AV74" s="78">
        <f t="shared" si="119"/>
        <v>0</v>
      </c>
      <c r="AW74" s="78">
        <f t="shared" ref="AW74:BE74" si="121">SUM(AW70:AW73)</f>
        <v>0</v>
      </c>
      <c r="AX74" s="78">
        <f t="shared" si="121"/>
        <v>0</v>
      </c>
      <c r="AY74" s="78">
        <f t="shared" si="121"/>
        <v>0</v>
      </c>
      <c r="AZ74" s="78">
        <f t="shared" si="121"/>
        <v>0</v>
      </c>
      <c r="BA74" s="78">
        <f t="shared" si="121"/>
        <v>0</v>
      </c>
      <c r="BB74" s="78">
        <f t="shared" si="121"/>
        <v>0</v>
      </c>
      <c r="BC74" s="78">
        <f t="shared" si="121"/>
        <v>0</v>
      </c>
      <c r="BD74" s="78">
        <f t="shared" si="121"/>
        <v>0</v>
      </c>
      <c r="BE74" s="78">
        <f t="shared" si="121"/>
        <v>0</v>
      </c>
      <c r="BF74" s="78">
        <f t="shared" si="119"/>
        <v>139280</v>
      </c>
      <c r="BG74" s="79">
        <f>SUM(BG70:BG73)</f>
        <v>15000</v>
      </c>
      <c r="BH74" s="78">
        <f>SUM(BH70:BH73)</f>
        <v>1333800</v>
      </c>
      <c r="BI74" s="78">
        <f>SUM(BI70:BI73)</f>
        <v>15000</v>
      </c>
      <c r="BJ74" s="176">
        <f>SUM(BJ70:BJ73)/4</f>
        <v>1</v>
      </c>
      <c r="BK74" s="1490">
        <f>SUM(BK70:BK73)</f>
        <v>1079720</v>
      </c>
      <c r="BL74" s="1490">
        <f>SUM(BL70:BL73)</f>
        <v>1065000</v>
      </c>
      <c r="BM74" s="1489">
        <f>SUM(BM70:BM73)</f>
        <v>14720</v>
      </c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</row>
    <row r="75" spans="1:98" s="20" customFormat="1" ht="24.75" customHeight="1" x14ac:dyDescent="0.2">
      <c r="A75" s="50"/>
      <c r="D75" s="22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AE75" s="40"/>
      <c r="AS75" s="51"/>
      <c r="BF75" s="52">
        <f>SUM(AS74+BF74)</f>
        <v>1258080</v>
      </c>
      <c r="BG75" s="53">
        <f>AF74-AS74</f>
        <v>215000</v>
      </c>
      <c r="BH75" s="54">
        <f>SUM(BI74+AS74)</f>
        <v>1133800</v>
      </c>
      <c r="BI75" s="55">
        <f>SUM(BG74)</f>
        <v>15000</v>
      </c>
      <c r="BJ75" s="40" t="s">
        <v>38</v>
      </c>
      <c r="BK75" s="40"/>
      <c r="BL75" s="236">
        <v>1</v>
      </c>
      <c r="BM75" s="236">
        <v>14720</v>
      </c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</row>
    <row r="76" spans="1:98" s="20" customFormat="1" ht="24.75" customHeight="1" x14ac:dyDescent="0.2">
      <c r="A76" s="50"/>
      <c r="D76" s="22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AE76" s="40"/>
      <c r="AS76" s="40"/>
      <c r="AT76" s="123">
        <f t="shared" ref="AT76:BE76" si="122">SUM(AG74+AT74)</f>
        <v>1258080</v>
      </c>
      <c r="AU76" s="123">
        <f t="shared" si="122"/>
        <v>0</v>
      </c>
      <c r="AV76" s="123">
        <f t="shared" si="122"/>
        <v>0</v>
      </c>
      <c r="AW76" s="123">
        <f t="shared" si="122"/>
        <v>0</v>
      </c>
      <c r="AX76" s="123">
        <f t="shared" si="122"/>
        <v>0</v>
      </c>
      <c r="AY76" s="123">
        <f t="shared" si="122"/>
        <v>0</v>
      </c>
      <c r="AZ76" s="123">
        <f t="shared" si="122"/>
        <v>0</v>
      </c>
      <c r="BA76" s="123">
        <f t="shared" si="122"/>
        <v>0</v>
      </c>
      <c r="BB76" s="123">
        <f t="shared" si="122"/>
        <v>0</v>
      </c>
      <c r="BC76" s="123">
        <f t="shared" si="122"/>
        <v>0</v>
      </c>
      <c r="BD76" s="123">
        <f t="shared" si="122"/>
        <v>0</v>
      </c>
      <c r="BE76" s="123">
        <f t="shared" si="122"/>
        <v>0</v>
      </c>
      <c r="BF76" s="123">
        <f>SUM(AT76:BE76)</f>
        <v>1258080</v>
      </c>
      <c r="BG76" s="40"/>
      <c r="BH76" s="56"/>
      <c r="BI76" s="57">
        <f>SUM(BI74-BI75)</f>
        <v>0</v>
      </c>
      <c r="BJ76" s="40" t="s">
        <v>37</v>
      </c>
      <c r="BK76" s="40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</row>
    <row r="77" spans="1:98" s="20" customFormat="1" ht="16.5" customHeight="1" x14ac:dyDescent="0.2">
      <c r="A77" s="1730" t="s">
        <v>8</v>
      </c>
      <c r="B77" s="1731"/>
      <c r="C77" s="124" t="s">
        <v>311</v>
      </c>
      <c r="D77" s="224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7"/>
      <c r="AF77" s="23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8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8"/>
      <c r="BG77" s="138"/>
      <c r="BH77" s="135"/>
      <c r="BI77" s="139"/>
      <c r="BJ77" s="135"/>
      <c r="BK77" s="136"/>
      <c r="BL77" s="136"/>
      <c r="BM77" s="136"/>
      <c r="BN77" s="136"/>
      <c r="BO77" s="136"/>
      <c r="BP77" s="137"/>
      <c r="BQ77" s="136"/>
      <c r="BR77" s="136"/>
      <c r="BS77" s="136"/>
      <c r="BT77" s="136"/>
      <c r="BU77" s="136"/>
      <c r="BV77" s="138"/>
      <c r="BW77" s="138"/>
      <c r="BX77" s="138"/>
      <c r="BY77" s="135"/>
      <c r="BZ77" s="139"/>
      <c r="CA77" s="138"/>
      <c r="CB77" s="138"/>
      <c r="CC77" s="24"/>
      <c r="CD77" s="24"/>
      <c r="CE77" s="24"/>
      <c r="CF77" s="24"/>
      <c r="CG77" s="24"/>
      <c r="CH77" s="140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</row>
    <row r="78" spans="1:98" s="8" customFormat="1" ht="48.75" customHeight="1" x14ac:dyDescent="0.2">
      <c r="A78" s="1703" t="s">
        <v>10</v>
      </c>
      <c r="B78" s="1706" t="s">
        <v>11</v>
      </c>
      <c r="C78" s="1706" t="s">
        <v>22</v>
      </c>
      <c r="D78" s="1721" t="s">
        <v>12</v>
      </c>
      <c r="E78" s="1721"/>
      <c r="F78" s="1721"/>
      <c r="G78" s="1721"/>
      <c r="H78" s="1721"/>
      <c r="I78" s="1721"/>
      <c r="J78" s="1721"/>
      <c r="K78" s="1721"/>
      <c r="L78" s="1721"/>
      <c r="M78" s="1721"/>
      <c r="N78" s="1721"/>
      <c r="O78" s="1721"/>
      <c r="P78" s="1721"/>
      <c r="Q78" s="1721"/>
      <c r="R78" s="1706" t="s">
        <v>20</v>
      </c>
      <c r="S78" s="1717" t="s">
        <v>17</v>
      </c>
      <c r="T78" s="1718"/>
      <c r="U78" s="1718"/>
      <c r="V78" s="1718"/>
      <c r="W78" s="1718"/>
      <c r="X78" s="1718"/>
      <c r="Y78" s="1718"/>
      <c r="Z78" s="1718"/>
      <c r="AA78" s="1718"/>
      <c r="AB78" s="1718"/>
      <c r="AC78" s="1718"/>
      <c r="AD78" s="1718"/>
      <c r="AE78" s="1719"/>
      <c r="AF78" s="1720" t="s">
        <v>6</v>
      </c>
      <c r="AG78" s="1720"/>
      <c r="AH78" s="1720"/>
      <c r="AI78" s="1720"/>
      <c r="AJ78" s="1720"/>
      <c r="AK78" s="1720"/>
      <c r="AL78" s="1720"/>
      <c r="AM78" s="1720"/>
      <c r="AN78" s="1720"/>
      <c r="AO78" s="1720"/>
      <c r="AP78" s="1720"/>
      <c r="AQ78" s="1720"/>
      <c r="AR78" s="1720"/>
      <c r="AS78" s="1720"/>
      <c r="AT78" s="1722" t="s">
        <v>41</v>
      </c>
      <c r="AU78" s="1723"/>
      <c r="AV78" s="1723"/>
      <c r="AW78" s="1723"/>
      <c r="AX78" s="1723"/>
      <c r="AY78" s="1723"/>
      <c r="AZ78" s="1723"/>
      <c r="BA78" s="1723"/>
      <c r="BB78" s="1723"/>
      <c r="BC78" s="1723"/>
      <c r="BD78" s="1723"/>
      <c r="BE78" s="1723"/>
      <c r="BF78" s="1724"/>
      <c r="BG78" s="1706" t="s">
        <v>38</v>
      </c>
      <c r="BH78" s="1706" t="s">
        <v>256</v>
      </c>
      <c r="BI78" s="1709" t="s">
        <v>39</v>
      </c>
      <c r="BJ78" s="135"/>
      <c r="BK78" s="135"/>
      <c r="BL78" s="135"/>
      <c r="BM78" s="135"/>
      <c r="BN78" s="135"/>
      <c r="BO78" s="1733" t="s">
        <v>41</v>
      </c>
      <c r="BP78" s="1734"/>
      <c r="BQ78" s="1734"/>
      <c r="BR78" s="1734"/>
      <c r="BS78" s="1734"/>
      <c r="BT78" s="1734"/>
      <c r="BU78" s="1734"/>
      <c r="BV78" s="1734"/>
      <c r="BW78" s="1734"/>
      <c r="BX78" s="1734"/>
      <c r="BY78" s="1734"/>
      <c r="BZ78" s="1734"/>
      <c r="CA78" s="1734"/>
      <c r="CB78" s="1734"/>
      <c r="CC78" s="1734"/>
      <c r="CD78" s="1734"/>
      <c r="CE78" s="1734"/>
      <c r="CF78" s="1734"/>
      <c r="CG78" s="1734"/>
      <c r="CH78" s="1734"/>
      <c r="CI78" s="1734"/>
      <c r="CJ78" s="1734"/>
      <c r="CK78" s="1734"/>
      <c r="CL78" s="1734"/>
      <c r="CM78" s="1734"/>
      <c r="CN78" s="1735"/>
    </row>
    <row r="79" spans="1:98" s="8" customFormat="1" ht="48.75" customHeight="1" x14ac:dyDescent="0.2">
      <c r="A79" s="1704"/>
      <c r="B79" s="1707"/>
      <c r="C79" s="1707"/>
      <c r="D79" s="1728" t="s">
        <v>18</v>
      </c>
      <c r="E79" s="1714" t="s">
        <v>19</v>
      </c>
      <c r="F79" s="1715"/>
      <c r="G79" s="1715"/>
      <c r="H79" s="1715"/>
      <c r="I79" s="1715"/>
      <c r="J79" s="1715"/>
      <c r="K79" s="1715"/>
      <c r="L79" s="1715"/>
      <c r="M79" s="1715"/>
      <c r="N79" s="1715"/>
      <c r="O79" s="1715"/>
      <c r="P79" s="1715"/>
      <c r="Q79" s="1715"/>
      <c r="R79" s="1707"/>
      <c r="S79" s="1712" t="s">
        <v>18</v>
      </c>
      <c r="T79" s="1714" t="s">
        <v>19</v>
      </c>
      <c r="U79" s="1715"/>
      <c r="V79" s="1715"/>
      <c r="W79" s="1715"/>
      <c r="X79" s="1715"/>
      <c r="Y79" s="1715"/>
      <c r="Z79" s="1715"/>
      <c r="AA79" s="1715"/>
      <c r="AB79" s="1715"/>
      <c r="AC79" s="1715"/>
      <c r="AD79" s="1715"/>
      <c r="AE79" s="1716"/>
      <c r="AF79" s="1712" t="s">
        <v>18</v>
      </c>
      <c r="AG79" s="1714" t="s">
        <v>19</v>
      </c>
      <c r="AH79" s="1715"/>
      <c r="AI79" s="1715"/>
      <c r="AJ79" s="1715"/>
      <c r="AK79" s="1715"/>
      <c r="AL79" s="1715"/>
      <c r="AM79" s="1715"/>
      <c r="AN79" s="1715"/>
      <c r="AO79" s="1715"/>
      <c r="AP79" s="1715"/>
      <c r="AQ79" s="1715"/>
      <c r="AR79" s="1715"/>
      <c r="AS79" s="1716"/>
      <c r="AT79" s="1725"/>
      <c r="AU79" s="1726"/>
      <c r="AV79" s="1726"/>
      <c r="AW79" s="1726"/>
      <c r="AX79" s="1726"/>
      <c r="AY79" s="1726"/>
      <c r="AZ79" s="1726"/>
      <c r="BA79" s="1726"/>
      <c r="BB79" s="1726"/>
      <c r="BC79" s="1726"/>
      <c r="BD79" s="1726"/>
      <c r="BE79" s="1726"/>
      <c r="BF79" s="1727"/>
      <c r="BG79" s="1707"/>
      <c r="BH79" s="1707"/>
      <c r="BI79" s="1710"/>
      <c r="BJ79" s="135"/>
      <c r="BK79" s="1736">
        <f>SUM(BK81/60)</f>
        <v>0</v>
      </c>
      <c r="BL79" s="1736"/>
      <c r="BM79" s="1736"/>
      <c r="BN79" s="23"/>
      <c r="BO79" s="1737" t="s">
        <v>686</v>
      </c>
      <c r="BP79" s="1738"/>
      <c r="BQ79" s="1738"/>
      <c r="BR79" s="1738"/>
      <c r="BS79" s="1738"/>
      <c r="BT79" s="1738"/>
      <c r="BU79" s="1738"/>
      <c r="BV79" s="1738"/>
      <c r="BW79" s="1738"/>
      <c r="BX79" s="1738"/>
      <c r="BY79" s="1738"/>
      <c r="BZ79" s="1738"/>
      <c r="CA79" s="1739"/>
      <c r="CB79" s="1740" t="s">
        <v>687</v>
      </c>
      <c r="CC79" s="1741"/>
      <c r="CD79" s="1741"/>
      <c r="CE79" s="1741"/>
      <c r="CF79" s="1741"/>
      <c r="CG79" s="1741"/>
      <c r="CH79" s="1741"/>
      <c r="CI79" s="1741"/>
      <c r="CJ79" s="1741"/>
      <c r="CK79" s="1741"/>
      <c r="CL79" s="1741"/>
      <c r="CM79" s="1741"/>
      <c r="CN79" s="1742"/>
    </row>
    <row r="80" spans="1:98" s="6" customFormat="1" ht="28.5" customHeight="1" x14ac:dyDescent="0.2">
      <c r="A80" s="1705"/>
      <c r="B80" s="1708"/>
      <c r="C80" s="1708"/>
      <c r="D80" s="1729"/>
      <c r="E80" s="26">
        <v>1</v>
      </c>
      <c r="F80" s="26">
        <v>2</v>
      </c>
      <c r="G80" s="26">
        <v>3</v>
      </c>
      <c r="H80" s="26">
        <v>4</v>
      </c>
      <c r="I80" s="26">
        <v>5</v>
      </c>
      <c r="J80" s="26">
        <v>6</v>
      </c>
      <c r="K80" s="26">
        <v>7</v>
      </c>
      <c r="L80" s="26">
        <v>8</v>
      </c>
      <c r="M80" s="26">
        <v>9</v>
      </c>
      <c r="N80" s="26">
        <v>10</v>
      </c>
      <c r="O80" s="26">
        <v>11</v>
      </c>
      <c r="P80" s="26">
        <v>12</v>
      </c>
      <c r="Q80" s="26" t="s">
        <v>21</v>
      </c>
      <c r="R80" s="1708"/>
      <c r="S80" s="1713"/>
      <c r="T80" s="26">
        <v>1</v>
      </c>
      <c r="U80" s="26">
        <v>2</v>
      </c>
      <c r="V80" s="26">
        <v>3</v>
      </c>
      <c r="W80" s="26">
        <v>4</v>
      </c>
      <c r="X80" s="26">
        <v>5</v>
      </c>
      <c r="Y80" s="26">
        <v>6</v>
      </c>
      <c r="Z80" s="26">
        <v>7</v>
      </c>
      <c r="AA80" s="26">
        <v>8</v>
      </c>
      <c r="AB80" s="26">
        <v>9</v>
      </c>
      <c r="AC80" s="26">
        <v>10</v>
      </c>
      <c r="AD80" s="26">
        <v>11</v>
      </c>
      <c r="AE80" s="26">
        <v>12</v>
      </c>
      <c r="AF80" s="1713"/>
      <c r="AG80" s="26">
        <v>1</v>
      </c>
      <c r="AH80" s="26">
        <v>2</v>
      </c>
      <c r="AI80" s="26">
        <v>3</v>
      </c>
      <c r="AJ80" s="26">
        <v>4</v>
      </c>
      <c r="AK80" s="26">
        <v>5</v>
      </c>
      <c r="AL80" s="26">
        <v>6</v>
      </c>
      <c r="AM80" s="26">
        <v>7</v>
      </c>
      <c r="AN80" s="26">
        <v>8</v>
      </c>
      <c r="AO80" s="26">
        <v>9</v>
      </c>
      <c r="AP80" s="26">
        <v>10</v>
      </c>
      <c r="AQ80" s="26">
        <v>11</v>
      </c>
      <c r="AR80" s="26">
        <v>12</v>
      </c>
      <c r="AS80" s="26" t="s">
        <v>13</v>
      </c>
      <c r="AT80" s="173">
        <v>1</v>
      </c>
      <c r="AU80" s="173">
        <v>2</v>
      </c>
      <c r="AV80" s="173">
        <v>3</v>
      </c>
      <c r="AW80" s="173">
        <v>4</v>
      </c>
      <c r="AX80" s="173">
        <v>5</v>
      </c>
      <c r="AY80" s="173">
        <v>6</v>
      </c>
      <c r="AZ80" s="173">
        <v>7</v>
      </c>
      <c r="BA80" s="173">
        <v>8</v>
      </c>
      <c r="BB80" s="173">
        <v>9</v>
      </c>
      <c r="BC80" s="173">
        <v>10</v>
      </c>
      <c r="BD80" s="173">
        <v>11</v>
      </c>
      <c r="BE80" s="173">
        <v>12</v>
      </c>
      <c r="BF80" s="26" t="s">
        <v>13</v>
      </c>
      <c r="BG80" s="1708"/>
      <c r="BH80" s="1708"/>
      <c r="BI80" s="1711"/>
      <c r="BJ80" s="7"/>
      <c r="BK80" s="1743" t="s">
        <v>19</v>
      </c>
      <c r="BL80" s="1744"/>
      <c r="BM80" s="1745"/>
      <c r="BN80" s="621"/>
      <c r="BO80" s="173">
        <v>1</v>
      </c>
      <c r="BP80" s="173">
        <v>2</v>
      </c>
      <c r="BQ80" s="173">
        <v>3</v>
      </c>
      <c r="BR80" s="173">
        <v>4</v>
      </c>
      <c r="BS80" s="173">
        <v>5</v>
      </c>
      <c r="BT80" s="173">
        <v>6</v>
      </c>
      <c r="BU80" s="173">
        <v>7</v>
      </c>
      <c r="BV80" s="173">
        <v>8</v>
      </c>
      <c r="BW80" s="173">
        <v>9</v>
      </c>
      <c r="BX80" s="173">
        <v>10</v>
      </c>
      <c r="BY80" s="173">
        <v>11</v>
      </c>
      <c r="BZ80" s="173">
        <v>12</v>
      </c>
      <c r="CA80" s="26" t="s">
        <v>13</v>
      </c>
      <c r="CB80" s="173">
        <v>1</v>
      </c>
      <c r="CC80" s="173">
        <v>2</v>
      </c>
      <c r="CD80" s="173">
        <v>3</v>
      </c>
      <c r="CE80" s="173">
        <v>4</v>
      </c>
      <c r="CF80" s="173">
        <v>5</v>
      </c>
      <c r="CG80" s="173">
        <v>6</v>
      </c>
      <c r="CH80" s="173">
        <v>7</v>
      </c>
      <c r="CI80" s="173">
        <v>8</v>
      </c>
      <c r="CJ80" s="173">
        <v>9</v>
      </c>
      <c r="CK80" s="173">
        <v>10</v>
      </c>
      <c r="CL80" s="173">
        <v>11</v>
      </c>
      <c r="CM80" s="173">
        <v>12</v>
      </c>
      <c r="CN80" s="26" t="s">
        <v>13</v>
      </c>
    </row>
    <row r="81" spans="1:98" s="7" customFormat="1" ht="24.75" customHeight="1" x14ac:dyDescent="0.2">
      <c r="A81" s="41"/>
      <c r="B81" s="141" t="s">
        <v>89</v>
      </c>
      <c r="C81" s="29" t="s">
        <v>25</v>
      </c>
      <c r="D81" s="552">
        <v>0</v>
      </c>
      <c r="E81" s="225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1">
        <f>SUM(E81:P81)</f>
        <v>0</v>
      </c>
      <c r="R81" s="83" t="s">
        <v>31</v>
      </c>
      <c r="S81" s="142">
        <v>10300</v>
      </c>
      <c r="T81" s="84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69">
        <f t="shared" ref="AF81:AF84" si="123">SUM(Q81*S81)</f>
        <v>0</v>
      </c>
      <c r="AG81" s="70">
        <f t="shared" ref="AG81:AG84" si="124">T81*E81</f>
        <v>0</v>
      </c>
      <c r="AH81" s="70">
        <f t="shared" ref="AH81:AH84" si="125">U81*F81</f>
        <v>0</v>
      </c>
      <c r="AI81" s="70">
        <f t="shared" ref="AI81:AI84" si="126">V81*G81</f>
        <v>0</v>
      </c>
      <c r="AJ81" s="70">
        <f t="shared" ref="AJ81:AJ84" si="127">W81*H81</f>
        <v>0</v>
      </c>
      <c r="AK81" s="70">
        <f t="shared" ref="AK81:AK84" si="128">X81*I81</f>
        <v>0</v>
      </c>
      <c r="AL81" s="70">
        <f t="shared" ref="AL81:AL84" si="129">Y81*J81</f>
        <v>0</v>
      </c>
      <c r="AM81" s="70">
        <f t="shared" ref="AM81:AM84" si="130">Z81*K81</f>
        <v>0</v>
      </c>
      <c r="AN81" s="70">
        <f t="shared" ref="AN81:AN84" si="131">AA81*L81</f>
        <v>0</v>
      </c>
      <c r="AO81" s="70">
        <f t="shared" ref="AO81:AO84" si="132">AB81*M81</f>
        <v>0</v>
      </c>
      <c r="AP81" s="70">
        <f t="shared" ref="AP81:AP84" si="133">AC81*N81</f>
        <v>0</v>
      </c>
      <c r="AQ81" s="70">
        <f t="shared" ref="AQ81:AQ84" si="134">AD81*O81</f>
        <v>0</v>
      </c>
      <c r="AR81" s="70">
        <f t="shared" ref="AR81:AR84" si="135">AE81*P81</f>
        <v>0</v>
      </c>
      <c r="AS81" s="71">
        <f>SUM(AG81:AR81)</f>
        <v>0</v>
      </c>
      <c r="AT81" s="70">
        <f>SUM(AG81*4%)</f>
        <v>0</v>
      </c>
      <c r="AU81" s="70">
        <f t="shared" ref="AU81:AU82" si="136">SUM(AH81*14%)</f>
        <v>0</v>
      </c>
      <c r="AV81" s="70">
        <f t="shared" ref="AV81:AV82" si="137">SUM(AI81*14%)</f>
        <v>0</v>
      </c>
      <c r="AW81" s="70">
        <f t="shared" ref="AW81:AW84" si="138">SUM(AJ81*14%)</f>
        <v>0</v>
      </c>
      <c r="AX81" s="70">
        <f t="shared" ref="AX81:AX84" si="139">SUM(AK81*14%)</f>
        <v>0</v>
      </c>
      <c r="AY81" s="70">
        <f t="shared" ref="AY81:AY84" si="140">SUM(AL81*14%)</f>
        <v>0</v>
      </c>
      <c r="AZ81" s="70">
        <f t="shared" ref="AZ81:AZ84" si="141">SUM(AM81*14%)</f>
        <v>0</v>
      </c>
      <c r="BA81" s="70">
        <f t="shared" ref="BA81:BA84" si="142">SUM(AN81*14%)</f>
        <v>0</v>
      </c>
      <c r="BB81" s="70">
        <f t="shared" ref="BB81:BB84" si="143">SUM(AO81*14%)</f>
        <v>0</v>
      </c>
      <c r="BC81" s="70">
        <f t="shared" ref="BC81:BC84" si="144">SUM(AP81*14%)</f>
        <v>0</v>
      </c>
      <c r="BD81" s="70">
        <f t="shared" ref="BD81:BD84" si="145">SUM(AQ81*14%)</f>
        <v>0</v>
      </c>
      <c r="BE81" s="70">
        <f t="shared" ref="BE81:BE84" si="146">SUM(AR81*14%)</f>
        <v>0</v>
      </c>
      <c r="BF81" s="72">
        <f>SUM(AT81:BE81)</f>
        <v>0</v>
      </c>
      <c r="BG81" s="73">
        <f>AF81-AS81-BF81</f>
        <v>0</v>
      </c>
      <c r="BH81" s="74">
        <f>S81*D81</f>
        <v>0</v>
      </c>
      <c r="BI81" s="75">
        <f>BH81-AS81-BF81</f>
        <v>0</v>
      </c>
      <c r="BJ81" s="175" t="e">
        <f>SUM(Q81/D81)</f>
        <v>#DIV/0!</v>
      </c>
      <c r="BK81" s="1081"/>
      <c r="BL81" s="1081"/>
      <c r="BM81" s="1083"/>
      <c r="BN81" s="1084"/>
      <c r="BO81" s="862"/>
      <c r="BP81" s="862"/>
      <c r="BQ81" s="862"/>
      <c r="BR81" s="862"/>
      <c r="BS81" s="862"/>
      <c r="BT81" s="862"/>
      <c r="BU81" s="862"/>
      <c r="BV81" s="862"/>
      <c r="BW81" s="1081">
        <f t="shared" ref="BW81:BW82" si="147">SUM(AN81*12.5%)</f>
        <v>0</v>
      </c>
      <c r="BX81" s="862"/>
      <c r="BY81" s="862"/>
      <c r="BZ81" s="862"/>
      <c r="CA81" s="73">
        <f t="shared" ref="CA81" si="148">SUM(BO81:BZ81)</f>
        <v>0</v>
      </c>
      <c r="CB81" s="862"/>
      <c r="CC81" s="862"/>
      <c r="CD81" s="862"/>
      <c r="CE81" s="862"/>
      <c r="CF81" s="862"/>
      <c r="CG81" s="862"/>
      <c r="CH81" s="862"/>
      <c r="CI81" s="862"/>
      <c r="CJ81" s="1081"/>
      <c r="CK81" s="862"/>
      <c r="CL81" s="862"/>
      <c r="CM81" s="862"/>
      <c r="CN81" s="73">
        <f t="shared" ref="CN81:CN82" si="149">SUM(CB81:CM81)</f>
        <v>0</v>
      </c>
    </row>
    <row r="82" spans="1:98" s="7" customFormat="1" ht="24.75" customHeight="1" x14ac:dyDescent="0.2">
      <c r="A82" s="41"/>
      <c r="B82" s="141" t="s">
        <v>90</v>
      </c>
      <c r="C82" s="29" t="s">
        <v>25</v>
      </c>
      <c r="D82" s="552">
        <v>0</v>
      </c>
      <c r="E82" s="225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1">
        <f>SUM(E82:P82)</f>
        <v>0</v>
      </c>
      <c r="R82" s="83" t="s">
        <v>31</v>
      </c>
      <c r="S82" s="142">
        <v>28500</v>
      </c>
      <c r="T82" s="84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69">
        <f t="shared" si="123"/>
        <v>0</v>
      </c>
      <c r="AG82" s="70">
        <f t="shared" si="124"/>
        <v>0</v>
      </c>
      <c r="AH82" s="70">
        <f t="shared" si="125"/>
        <v>0</v>
      </c>
      <c r="AI82" s="70">
        <f t="shared" si="126"/>
        <v>0</v>
      </c>
      <c r="AJ82" s="70">
        <f t="shared" si="127"/>
        <v>0</v>
      </c>
      <c r="AK82" s="70">
        <f t="shared" si="128"/>
        <v>0</v>
      </c>
      <c r="AL82" s="70">
        <f t="shared" si="129"/>
        <v>0</v>
      </c>
      <c r="AM82" s="70">
        <f t="shared" si="130"/>
        <v>0</v>
      </c>
      <c r="AN82" s="70">
        <f t="shared" si="131"/>
        <v>0</v>
      </c>
      <c r="AO82" s="70">
        <f t="shared" si="132"/>
        <v>0</v>
      </c>
      <c r="AP82" s="70">
        <f t="shared" si="133"/>
        <v>0</v>
      </c>
      <c r="AQ82" s="70">
        <f t="shared" si="134"/>
        <v>0</v>
      </c>
      <c r="AR82" s="70">
        <f t="shared" si="135"/>
        <v>0</v>
      </c>
      <c r="AS82" s="71">
        <f>SUM(AG82:AR82)</f>
        <v>0</v>
      </c>
      <c r="AT82" s="70">
        <f t="shared" ref="AT82:AT84" si="150">SUM(AG82*4%)</f>
        <v>0</v>
      </c>
      <c r="AU82" s="70">
        <f t="shared" si="136"/>
        <v>0</v>
      </c>
      <c r="AV82" s="70">
        <f t="shared" si="137"/>
        <v>0</v>
      </c>
      <c r="AW82" s="70">
        <f t="shared" si="138"/>
        <v>0</v>
      </c>
      <c r="AX82" s="70">
        <f t="shared" si="139"/>
        <v>0</v>
      </c>
      <c r="AY82" s="70">
        <f t="shared" si="140"/>
        <v>0</v>
      </c>
      <c r="AZ82" s="70">
        <f t="shared" si="141"/>
        <v>0</v>
      </c>
      <c r="BA82" s="70">
        <f t="shared" si="142"/>
        <v>0</v>
      </c>
      <c r="BB82" s="70">
        <f t="shared" si="143"/>
        <v>0</v>
      </c>
      <c r="BC82" s="70">
        <f t="shared" si="144"/>
        <v>0</v>
      </c>
      <c r="BD82" s="70">
        <f t="shared" si="145"/>
        <v>0</v>
      </c>
      <c r="BE82" s="70">
        <f t="shared" si="146"/>
        <v>0</v>
      </c>
      <c r="BF82" s="72">
        <f>SUM(AT82:BE82)</f>
        <v>0</v>
      </c>
      <c r="BG82" s="73">
        <f>AF82-AS82-BF82</f>
        <v>0</v>
      </c>
      <c r="BH82" s="74">
        <f>S82*D82</f>
        <v>0</v>
      </c>
      <c r="BI82" s="75">
        <f>BH82-AS82-BF82</f>
        <v>0</v>
      </c>
      <c r="BJ82" s="175" t="e">
        <f>SUM(Q82/D82)</f>
        <v>#DIV/0!</v>
      </c>
      <c r="BK82" s="1081"/>
      <c r="BL82" s="1081"/>
      <c r="BM82" s="1083"/>
      <c r="BN82" s="1084"/>
      <c r="BO82" s="862"/>
      <c r="BP82" s="862"/>
      <c r="BQ82" s="862"/>
      <c r="BR82" s="862"/>
      <c r="BS82" s="862"/>
      <c r="BT82" s="862"/>
      <c r="BU82" s="862"/>
      <c r="BV82" s="862"/>
      <c r="BW82" s="1081">
        <f t="shared" si="147"/>
        <v>0</v>
      </c>
      <c r="BX82" s="862"/>
      <c r="BY82" s="862"/>
      <c r="BZ82" s="862"/>
      <c r="CA82" s="73">
        <f t="shared" ref="CA82" si="151">SUM(BO82:BZ82)</f>
        <v>0</v>
      </c>
      <c r="CB82" s="862"/>
      <c r="CC82" s="862"/>
      <c r="CD82" s="862"/>
      <c r="CE82" s="862"/>
      <c r="CF82" s="862"/>
      <c r="CG82" s="862"/>
      <c r="CH82" s="862"/>
      <c r="CI82" s="862"/>
      <c r="CJ82" s="1081"/>
      <c r="CK82" s="862"/>
      <c r="CL82" s="862"/>
      <c r="CM82" s="862"/>
      <c r="CN82" s="73">
        <f t="shared" si="149"/>
        <v>0</v>
      </c>
    </row>
    <row r="83" spans="1:98" s="7" customFormat="1" ht="24.75" customHeight="1" x14ac:dyDescent="0.2">
      <c r="A83" s="41"/>
      <c r="B83" s="141" t="s">
        <v>109</v>
      </c>
      <c r="C83" s="29" t="s">
        <v>25</v>
      </c>
      <c r="D83" s="552">
        <v>0</v>
      </c>
      <c r="E83" s="225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1">
        <f>SUM(E83:P83)</f>
        <v>0</v>
      </c>
      <c r="R83" s="83" t="s">
        <v>31</v>
      </c>
      <c r="S83" s="142">
        <v>49900</v>
      </c>
      <c r="T83" s="84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69">
        <f t="shared" ref="AF83" si="152">SUM(Q83*S83)</f>
        <v>0</v>
      </c>
      <c r="AG83" s="70">
        <f t="shared" ref="AG83" si="153">T83*E83</f>
        <v>0</v>
      </c>
      <c r="AH83" s="70">
        <f t="shared" ref="AH83" si="154">U83*F83</f>
        <v>0</v>
      </c>
      <c r="AI83" s="70">
        <f t="shared" ref="AI83" si="155">V83*G83</f>
        <v>0</v>
      </c>
      <c r="AJ83" s="70">
        <f t="shared" ref="AJ83" si="156">W83*H83</f>
        <v>0</v>
      </c>
      <c r="AK83" s="70">
        <f t="shared" ref="AK83" si="157">X83*I83</f>
        <v>0</v>
      </c>
      <c r="AL83" s="70">
        <f t="shared" ref="AL83" si="158">Y83*J83</f>
        <v>0</v>
      </c>
      <c r="AM83" s="70">
        <f t="shared" ref="AM83" si="159">Z83*K83</f>
        <v>0</v>
      </c>
      <c r="AN83" s="70">
        <f t="shared" ref="AN83" si="160">AA83*L83</f>
        <v>0</v>
      </c>
      <c r="AO83" s="70">
        <f t="shared" ref="AO83" si="161">AB83*M83</f>
        <v>0</v>
      </c>
      <c r="AP83" s="70">
        <f t="shared" ref="AP83" si="162">AC83*N83</f>
        <v>0</v>
      </c>
      <c r="AQ83" s="70">
        <f t="shared" ref="AQ83" si="163">AD83*O83</f>
        <v>0</v>
      </c>
      <c r="AR83" s="70">
        <f t="shared" ref="AR83" si="164">AE83*P83</f>
        <v>0</v>
      </c>
      <c r="AS83" s="71">
        <f>SUM(AG83:AR83)</f>
        <v>0</v>
      </c>
      <c r="AT83" s="70">
        <f t="shared" ref="AT83" si="165">SUM(AG83*4%)</f>
        <v>0</v>
      </c>
      <c r="AU83" s="70">
        <f t="shared" ref="AU83" si="166">SUM(AH83*14%)</f>
        <v>0</v>
      </c>
      <c r="AV83" s="70">
        <f t="shared" ref="AV83" si="167">SUM(AI83*14%)</f>
        <v>0</v>
      </c>
      <c r="AW83" s="70">
        <f t="shared" ref="AW83" si="168">SUM(AJ83*14%)</f>
        <v>0</v>
      </c>
      <c r="AX83" s="70">
        <f t="shared" ref="AX83" si="169">SUM(AK83*14%)</f>
        <v>0</v>
      </c>
      <c r="AY83" s="70">
        <f t="shared" ref="AY83" si="170">SUM(AL83*14%)</f>
        <v>0</v>
      </c>
      <c r="AZ83" s="70">
        <f t="shared" ref="AZ83" si="171">SUM(AM83*14%)</f>
        <v>0</v>
      </c>
      <c r="BA83" s="70">
        <f t="shared" ref="BA83" si="172">SUM(AN83*14%)</f>
        <v>0</v>
      </c>
      <c r="BB83" s="70">
        <f t="shared" ref="BB83" si="173">SUM(AO83*14%)</f>
        <v>0</v>
      </c>
      <c r="BC83" s="70">
        <f t="shared" ref="BC83" si="174">SUM(AP83*14%)</f>
        <v>0</v>
      </c>
      <c r="BD83" s="70">
        <f t="shared" ref="BD83" si="175">SUM(AQ83*14%)</f>
        <v>0</v>
      </c>
      <c r="BE83" s="70">
        <f t="shared" ref="BE83" si="176">SUM(AR83*14%)</f>
        <v>0</v>
      </c>
      <c r="BF83" s="72">
        <f>SUM(AT83:BE83)</f>
        <v>0</v>
      </c>
      <c r="BG83" s="73">
        <f>AF83-AS83-BF83</f>
        <v>0</v>
      </c>
      <c r="BH83" s="74">
        <f>S83*D83</f>
        <v>0</v>
      </c>
      <c r="BI83" s="75">
        <f>BH83-AS83-BF83</f>
        <v>0</v>
      </c>
      <c r="BJ83" s="175" t="e">
        <f>SUM(Q83/D83)</f>
        <v>#DIV/0!</v>
      </c>
      <c r="BK83" s="1081"/>
      <c r="BL83" s="1081"/>
      <c r="BM83" s="1083"/>
      <c r="BN83" s="1084"/>
      <c r="BO83" s="862"/>
      <c r="BP83" s="862"/>
      <c r="BQ83" s="862"/>
      <c r="BR83" s="862"/>
      <c r="BS83" s="862"/>
      <c r="BT83" s="862"/>
      <c r="BU83" s="862"/>
      <c r="BV83" s="862"/>
      <c r="BW83" s="1081">
        <f t="shared" ref="BW83:BW85" si="177">SUM(AN83*12.5%)</f>
        <v>0</v>
      </c>
      <c r="BX83" s="862"/>
      <c r="BY83" s="862"/>
      <c r="BZ83" s="862"/>
      <c r="CA83" s="73">
        <f t="shared" ref="CA83:CA85" si="178">SUM(BO83:BZ83)</f>
        <v>0</v>
      </c>
      <c r="CB83" s="862"/>
      <c r="CC83" s="862"/>
      <c r="CD83" s="862"/>
      <c r="CE83" s="862"/>
      <c r="CF83" s="862"/>
      <c r="CG83" s="862"/>
      <c r="CH83" s="862"/>
      <c r="CI83" s="862"/>
      <c r="CJ83" s="1081"/>
      <c r="CK83" s="862"/>
      <c r="CL83" s="862"/>
      <c r="CM83" s="862"/>
      <c r="CN83" s="73">
        <f t="shared" ref="CN83:CN85" si="179">SUM(CB83:CM83)</f>
        <v>0</v>
      </c>
    </row>
    <row r="84" spans="1:98" s="7" customFormat="1" ht="24.75" customHeight="1" thickBot="1" x14ac:dyDescent="0.25">
      <c r="A84" s="41"/>
      <c r="B84" s="141" t="s">
        <v>92</v>
      </c>
      <c r="C84" s="29" t="s">
        <v>25</v>
      </c>
      <c r="D84" s="226">
        <v>0</v>
      </c>
      <c r="E84" s="55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1">
        <f>SUM(E84:P84)</f>
        <v>0</v>
      </c>
      <c r="R84" s="83" t="s">
        <v>16</v>
      </c>
      <c r="S84" s="142">
        <v>35000</v>
      </c>
      <c r="T84" s="84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69">
        <f t="shared" si="123"/>
        <v>0</v>
      </c>
      <c r="AG84" s="70">
        <f t="shared" si="124"/>
        <v>0</v>
      </c>
      <c r="AH84" s="70">
        <f t="shared" si="125"/>
        <v>0</v>
      </c>
      <c r="AI84" s="70">
        <f t="shared" si="126"/>
        <v>0</v>
      </c>
      <c r="AJ84" s="70">
        <f t="shared" si="127"/>
        <v>0</v>
      </c>
      <c r="AK84" s="70">
        <f t="shared" si="128"/>
        <v>0</v>
      </c>
      <c r="AL84" s="70">
        <f t="shared" si="129"/>
        <v>0</v>
      </c>
      <c r="AM84" s="70">
        <f t="shared" si="130"/>
        <v>0</v>
      </c>
      <c r="AN84" s="70">
        <f t="shared" si="131"/>
        <v>0</v>
      </c>
      <c r="AO84" s="70">
        <f t="shared" si="132"/>
        <v>0</v>
      </c>
      <c r="AP84" s="70">
        <f t="shared" si="133"/>
        <v>0</v>
      </c>
      <c r="AQ84" s="70">
        <f t="shared" si="134"/>
        <v>0</v>
      </c>
      <c r="AR84" s="70">
        <f t="shared" si="135"/>
        <v>0</v>
      </c>
      <c r="AS84" s="71">
        <f>SUM(AG84:AR84)</f>
        <v>0</v>
      </c>
      <c r="AT84" s="70">
        <f t="shared" si="150"/>
        <v>0</v>
      </c>
      <c r="AU84" s="70">
        <f>SUM(AH84*14%)</f>
        <v>0</v>
      </c>
      <c r="AV84" s="70">
        <f>SUM(AI84*14%)</f>
        <v>0</v>
      </c>
      <c r="AW84" s="70">
        <f t="shared" si="138"/>
        <v>0</v>
      </c>
      <c r="AX84" s="70">
        <f t="shared" si="139"/>
        <v>0</v>
      </c>
      <c r="AY84" s="70">
        <f t="shared" si="140"/>
        <v>0</v>
      </c>
      <c r="AZ84" s="70">
        <f t="shared" si="141"/>
        <v>0</v>
      </c>
      <c r="BA84" s="70">
        <f t="shared" si="142"/>
        <v>0</v>
      </c>
      <c r="BB84" s="70">
        <f t="shared" si="143"/>
        <v>0</v>
      </c>
      <c r="BC84" s="70">
        <f t="shared" si="144"/>
        <v>0</v>
      </c>
      <c r="BD84" s="70">
        <f t="shared" si="145"/>
        <v>0</v>
      </c>
      <c r="BE84" s="70">
        <f t="shared" si="146"/>
        <v>0</v>
      </c>
      <c r="BF84" s="72">
        <f>SUM(AT84:BE84)</f>
        <v>0</v>
      </c>
      <c r="BG84" s="73">
        <f>AF84-AS84-BF84</f>
        <v>0</v>
      </c>
      <c r="BH84" s="74">
        <f>S84*D84</f>
        <v>0</v>
      </c>
      <c r="BI84" s="75">
        <f>BH84-AS84-BF84</f>
        <v>0</v>
      </c>
      <c r="BJ84" s="175" t="e">
        <f>SUM(Q84/D84)</f>
        <v>#DIV/0!</v>
      </c>
      <c r="BK84" s="1081"/>
      <c r="BL84" s="1081"/>
      <c r="BM84" s="1083"/>
      <c r="BN84" s="1084"/>
      <c r="BO84" s="862"/>
      <c r="BP84" s="862"/>
      <c r="BQ84" s="862"/>
      <c r="BR84" s="862"/>
      <c r="BS84" s="862"/>
      <c r="BT84" s="862"/>
      <c r="BU84" s="862"/>
      <c r="BV84" s="862"/>
      <c r="BW84" s="1081">
        <f t="shared" si="177"/>
        <v>0</v>
      </c>
      <c r="BX84" s="862"/>
      <c r="BY84" s="862"/>
      <c r="BZ84" s="862"/>
      <c r="CA84" s="73">
        <f t="shared" si="178"/>
        <v>0</v>
      </c>
      <c r="CB84" s="862"/>
      <c r="CC84" s="862"/>
      <c r="CD84" s="862"/>
      <c r="CE84" s="862"/>
      <c r="CF84" s="862"/>
      <c r="CG84" s="862"/>
      <c r="CH84" s="862"/>
      <c r="CI84" s="862"/>
      <c r="CJ84" s="1081"/>
      <c r="CK84" s="862"/>
      <c r="CL84" s="862"/>
      <c r="CM84" s="862"/>
      <c r="CN84" s="73">
        <f t="shared" si="179"/>
        <v>0</v>
      </c>
    </row>
    <row r="85" spans="1:98" s="38" customFormat="1" ht="24.75" customHeight="1" thickBot="1" x14ac:dyDescent="0.25">
      <c r="A85" s="554">
        <v>8</v>
      </c>
      <c r="B85" s="44" t="s">
        <v>4</v>
      </c>
      <c r="C85" s="44"/>
      <c r="D85" s="227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7"/>
      <c r="R85" s="77"/>
      <c r="S85" s="45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78">
        <f t="shared" ref="AF85:AI85" si="180">SUM(AF81:AF84)</f>
        <v>0</v>
      </c>
      <c r="AG85" s="78">
        <f t="shared" si="180"/>
        <v>0</v>
      </c>
      <c r="AH85" s="78">
        <f t="shared" si="180"/>
        <v>0</v>
      </c>
      <c r="AI85" s="78">
        <f t="shared" si="180"/>
        <v>0</v>
      </c>
      <c r="AJ85" s="78">
        <f t="shared" ref="AJ85:AR85" si="181">SUM(AJ81:AJ84)</f>
        <v>0</v>
      </c>
      <c r="AK85" s="78">
        <f t="shared" si="181"/>
        <v>0</v>
      </c>
      <c r="AL85" s="78">
        <f t="shared" si="181"/>
        <v>0</v>
      </c>
      <c r="AM85" s="78">
        <f t="shared" si="181"/>
        <v>0</v>
      </c>
      <c r="AN85" s="78">
        <f t="shared" si="181"/>
        <v>0</v>
      </c>
      <c r="AO85" s="78">
        <f t="shared" si="181"/>
        <v>0</v>
      </c>
      <c r="AP85" s="78">
        <f t="shared" si="181"/>
        <v>0</v>
      </c>
      <c r="AQ85" s="78">
        <f t="shared" si="181"/>
        <v>0</v>
      </c>
      <c r="AR85" s="78">
        <f t="shared" si="181"/>
        <v>0</v>
      </c>
      <c r="AS85" s="78">
        <f t="shared" ref="AS85:AV85" si="182">SUM(AS81:AS84)</f>
        <v>0</v>
      </c>
      <c r="AT85" s="78">
        <f t="shared" si="182"/>
        <v>0</v>
      </c>
      <c r="AU85" s="78">
        <f t="shared" si="182"/>
        <v>0</v>
      </c>
      <c r="AV85" s="78">
        <f t="shared" si="182"/>
        <v>0</v>
      </c>
      <c r="AW85" s="78">
        <f t="shared" ref="AW85:BE85" si="183">SUM(AW81:AW84)</f>
        <v>0</v>
      </c>
      <c r="AX85" s="78">
        <f t="shared" si="183"/>
        <v>0</v>
      </c>
      <c r="AY85" s="78">
        <f t="shared" si="183"/>
        <v>0</v>
      </c>
      <c r="AZ85" s="78">
        <f t="shared" si="183"/>
        <v>0</v>
      </c>
      <c r="BA85" s="78">
        <f t="shared" si="183"/>
        <v>0</v>
      </c>
      <c r="BB85" s="78">
        <f t="shared" si="183"/>
        <v>0</v>
      </c>
      <c r="BC85" s="78">
        <f t="shared" si="183"/>
        <v>0</v>
      </c>
      <c r="BD85" s="78">
        <f t="shared" si="183"/>
        <v>0</v>
      </c>
      <c r="BE85" s="78">
        <f t="shared" si="183"/>
        <v>0</v>
      </c>
      <c r="BF85" s="78">
        <f t="shared" ref="BF85" si="184">SUM(BF81:BF84)</f>
        <v>0</v>
      </c>
      <c r="BG85" s="79">
        <f>AF85-AS85-BF85</f>
        <v>0</v>
      </c>
      <c r="BH85" s="78">
        <f>SUM(BH81:BH84)</f>
        <v>0</v>
      </c>
      <c r="BI85" s="78">
        <f>SUM(BI81:BI84)</f>
        <v>0</v>
      </c>
      <c r="BJ85" s="176" t="e">
        <f>SUM(BJ81:BJ84)/4</f>
        <v>#DIV/0!</v>
      </c>
      <c r="BK85" s="1081"/>
      <c r="BL85" s="1081"/>
      <c r="BM85" s="1083"/>
      <c r="BN85" s="1084"/>
      <c r="BO85" s="862"/>
      <c r="BP85" s="862"/>
      <c r="BQ85" s="862"/>
      <c r="BR85" s="862"/>
      <c r="BS85" s="862"/>
      <c r="BT85" s="862"/>
      <c r="BU85" s="862"/>
      <c r="BV85" s="862"/>
      <c r="BW85" s="1081">
        <f t="shared" si="177"/>
        <v>0</v>
      </c>
      <c r="BX85" s="862"/>
      <c r="BY85" s="862"/>
      <c r="BZ85" s="862"/>
      <c r="CA85" s="73">
        <f t="shared" si="178"/>
        <v>0</v>
      </c>
      <c r="CB85" s="862"/>
      <c r="CC85" s="862"/>
      <c r="CD85" s="862"/>
      <c r="CE85" s="862"/>
      <c r="CF85" s="862"/>
      <c r="CG85" s="862"/>
      <c r="CH85" s="862"/>
      <c r="CI85" s="862"/>
      <c r="CJ85" s="1081"/>
      <c r="CK85" s="862"/>
      <c r="CL85" s="862"/>
      <c r="CM85" s="862"/>
      <c r="CN85" s="73">
        <f t="shared" si="179"/>
        <v>0</v>
      </c>
    </row>
    <row r="86" spans="1:98" s="20" customFormat="1" ht="24.75" customHeight="1" x14ac:dyDescent="0.2">
      <c r="A86" s="50"/>
      <c r="D86" s="22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AE86" s="40"/>
      <c r="AS86" s="51"/>
      <c r="BF86" s="52">
        <f>SUM(AS85+BF85)</f>
        <v>0</v>
      </c>
      <c r="BG86" s="53">
        <f>AF85-AS85-BF85</f>
        <v>0</v>
      </c>
      <c r="BH86" s="54">
        <f>SUM(BI85+AS85)</f>
        <v>0</v>
      </c>
      <c r="BI86" s="55">
        <f>SUM(BG85)</f>
        <v>0</v>
      </c>
      <c r="BJ86" s="40" t="s">
        <v>38</v>
      </c>
      <c r="BK86" s="40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</row>
    <row r="87" spans="1:98" s="20" customFormat="1" ht="24.75" customHeight="1" x14ac:dyDescent="0.2">
      <c r="A87" s="50"/>
      <c r="D87" s="22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AE87" s="40"/>
      <c r="AS87" s="40"/>
      <c r="AT87" s="123">
        <f t="shared" ref="AT87:BE87" si="185">SUM(AG85+AT85)</f>
        <v>0</v>
      </c>
      <c r="AU87" s="123">
        <f t="shared" si="185"/>
        <v>0</v>
      </c>
      <c r="AV87" s="123">
        <f t="shared" si="185"/>
        <v>0</v>
      </c>
      <c r="AW87" s="123">
        <f t="shared" si="185"/>
        <v>0</v>
      </c>
      <c r="AX87" s="123">
        <f t="shared" si="185"/>
        <v>0</v>
      </c>
      <c r="AY87" s="123">
        <f t="shared" si="185"/>
        <v>0</v>
      </c>
      <c r="AZ87" s="123">
        <f t="shared" si="185"/>
        <v>0</v>
      </c>
      <c r="BA87" s="123">
        <f t="shared" si="185"/>
        <v>0</v>
      </c>
      <c r="BB87" s="123">
        <f t="shared" si="185"/>
        <v>0</v>
      </c>
      <c r="BC87" s="123">
        <f t="shared" si="185"/>
        <v>0</v>
      </c>
      <c r="BD87" s="123">
        <f t="shared" si="185"/>
        <v>0</v>
      </c>
      <c r="BE87" s="123">
        <f t="shared" si="185"/>
        <v>0</v>
      </c>
      <c r="BF87" s="123">
        <f>SUM(AT87:BE87)</f>
        <v>0</v>
      </c>
      <c r="BG87" s="40"/>
      <c r="BH87" s="56"/>
      <c r="BI87" s="57">
        <f>SUM(BI85-BI86)</f>
        <v>0</v>
      </c>
      <c r="BJ87" s="40" t="s">
        <v>37</v>
      </c>
      <c r="BK87" s="40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</row>
    <row r="88" spans="1:98" s="20" customFormat="1" ht="16.5" customHeight="1" x14ac:dyDescent="0.2">
      <c r="A88" s="1730" t="s">
        <v>8</v>
      </c>
      <c r="B88" s="1731"/>
      <c r="C88" s="124" t="s">
        <v>312</v>
      </c>
      <c r="D88" s="224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7"/>
      <c r="AF88" s="23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8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8"/>
      <c r="BG88" s="138"/>
      <c r="BH88" s="135"/>
      <c r="BI88" s="139"/>
      <c r="BJ88" s="135"/>
      <c r="BK88" s="136"/>
      <c r="BL88" s="136"/>
      <c r="BM88" s="136"/>
      <c r="BN88" s="136"/>
      <c r="BO88" s="136"/>
      <c r="BP88" s="137"/>
      <c r="BQ88" s="136"/>
      <c r="BR88" s="136"/>
      <c r="BS88" s="136"/>
      <c r="BT88" s="136"/>
      <c r="BU88" s="136"/>
      <c r="BV88" s="138"/>
      <c r="BW88" s="138"/>
      <c r="BX88" s="138"/>
      <c r="BY88" s="135"/>
      <c r="BZ88" s="139"/>
      <c r="CA88" s="138"/>
      <c r="CB88" s="138"/>
      <c r="CC88" s="24"/>
      <c r="CD88" s="24"/>
      <c r="CE88" s="24"/>
      <c r="CF88" s="24"/>
      <c r="CG88" s="24"/>
      <c r="CH88" s="140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</row>
    <row r="89" spans="1:98" s="8" customFormat="1" ht="48.75" customHeight="1" x14ac:dyDescent="0.2">
      <c r="A89" s="1703" t="s">
        <v>10</v>
      </c>
      <c r="B89" s="1706" t="s">
        <v>11</v>
      </c>
      <c r="C89" s="1706" t="s">
        <v>22</v>
      </c>
      <c r="D89" s="1721" t="s">
        <v>12</v>
      </c>
      <c r="E89" s="1721"/>
      <c r="F89" s="1721"/>
      <c r="G89" s="1721"/>
      <c r="H89" s="1721"/>
      <c r="I89" s="1721"/>
      <c r="J89" s="1721"/>
      <c r="K89" s="1721"/>
      <c r="L89" s="1721"/>
      <c r="M89" s="1721"/>
      <c r="N89" s="1721"/>
      <c r="O89" s="1721"/>
      <c r="P89" s="1721"/>
      <c r="Q89" s="1721"/>
      <c r="R89" s="1706" t="s">
        <v>20</v>
      </c>
      <c r="S89" s="1717" t="s">
        <v>17</v>
      </c>
      <c r="T89" s="1718"/>
      <c r="U89" s="1718"/>
      <c r="V89" s="1718"/>
      <c r="W89" s="1718"/>
      <c r="X89" s="1718"/>
      <c r="Y89" s="1718"/>
      <c r="Z89" s="1718"/>
      <c r="AA89" s="1718"/>
      <c r="AB89" s="1718"/>
      <c r="AC89" s="1718"/>
      <c r="AD89" s="1718"/>
      <c r="AE89" s="1719"/>
      <c r="AF89" s="1720" t="s">
        <v>6</v>
      </c>
      <c r="AG89" s="1720"/>
      <c r="AH89" s="1720"/>
      <c r="AI89" s="1720"/>
      <c r="AJ89" s="1720"/>
      <c r="AK89" s="1720"/>
      <c r="AL89" s="1720"/>
      <c r="AM89" s="1720"/>
      <c r="AN89" s="1720"/>
      <c r="AO89" s="1720"/>
      <c r="AP89" s="1720"/>
      <c r="AQ89" s="1720"/>
      <c r="AR89" s="1720"/>
      <c r="AS89" s="1720"/>
      <c r="AT89" s="1722" t="s">
        <v>41</v>
      </c>
      <c r="AU89" s="1723"/>
      <c r="AV89" s="1723"/>
      <c r="AW89" s="1723"/>
      <c r="AX89" s="1723"/>
      <c r="AY89" s="1723"/>
      <c r="AZ89" s="1723"/>
      <c r="BA89" s="1723"/>
      <c r="BB89" s="1723"/>
      <c r="BC89" s="1723"/>
      <c r="BD89" s="1723"/>
      <c r="BE89" s="1723"/>
      <c r="BF89" s="1724"/>
      <c r="BG89" s="1706" t="s">
        <v>38</v>
      </c>
      <c r="BH89" s="1706" t="s">
        <v>256</v>
      </c>
      <c r="BI89" s="1709" t="s">
        <v>39</v>
      </c>
      <c r="BJ89" s="135"/>
      <c r="BK89" s="135"/>
      <c r="BL89" s="135"/>
      <c r="BM89" s="135"/>
      <c r="BN89" s="135"/>
      <c r="BO89" s="1733" t="s">
        <v>41</v>
      </c>
      <c r="BP89" s="1734"/>
      <c r="BQ89" s="1734"/>
      <c r="BR89" s="1734"/>
      <c r="BS89" s="1734"/>
      <c r="BT89" s="1734"/>
      <c r="BU89" s="1734"/>
      <c r="BV89" s="1734"/>
      <c r="BW89" s="1734"/>
      <c r="BX89" s="1734"/>
      <c r="BY89" s="1734"/>
      <c r="BZ89" s="1734"/>
      <c r="CA89" s="1734"/>
      <c r="CB89" s="1734"/>
      <c r="CC89" s="1734"/>
      <c r="CD89" s="1734"/>
      <c r="CE89" s="1734"/>
      <c r="CF89" s="1734"/>
      <c r="CG89" s="1734"/>
      <c r="CH89" s="1734"/>
      <c r="CI89" s="1734"/>
      <c r="CJ89" s="1734"/>
      <c r="CK89" s="1734"/>
      <c r="CL89" s="1734"/>
      <c r="CM89" s="1734"/>
      <c r="CN89" s="1735"/>
    </row>
    <row r="90" spans="1:98" s="8" customFormat="1" ht="48.75" customHeight="1" x14ac:dyDescent="0.2">
      <c r="A90" s="1704"/>
      <c r="B90" s="1707"/>
      <c r="C90" s="1707"/>
      <c r="D90" s="1728" t="s">
        <v>18</v>
      </c>
      <c r="E90" s="1714" t="s">
        <v>19</v>
      </c>
      <c r="F90" s="1715"/>
      <c r="G90" s="1715"/>
      <c r="H90" s="1715"/>
      <c r="I90" s="1715"/>
      <c r="J90" s="1715"/>
      <c r="K90" s="1715"/>
      <c r="L90" s="1715"/>
      <c r="M90" s="1715"/>
      <c r="N90" s="1715"/>
      <c r="O90" s="1715"/>
      <c r="P90" s="1715"/>
      <c r="Q90" s="1715"/>
      <c r="R90" s="1707"/>
      <c r="S90" s="1712" t="s">
        <v>18</v>
      </c>
      <c r="T90" s="1714" t="s">
        <v>19</v>
      </c>
      <c r="U90" s="1715"/>
      <c r="V90" s="1715"/>
      <c r="W90" s="1715"/>
      <c r="X90" s="1715"/>
      <c r="Y90" s="1715"/>
      <c r="Z90" s="1715"/>
      <c r="AA90" s="1715"/>
      <c r="AB90" s="1715"/>
      <c r="AC90" s="1715"/>
      <c r="AD90" s="1715"/>
      <c r="AE90" s="1716"/>
      <c r="AF90" s="1712" t="s">
        <v>18</v>
      </c>
      <c r="AG90" s="1714" t="s">
        <v>19</v>
      </c>
      <c r="AH90" s="1715"/>
      <c r="AI90" s="1715"/>
      <c r="AJ90" s="1715"/>
      <c r="AK90" s="1715"/>
      <c r="AL90" s="1715"/>
      <c r="AM90" s="1715"/>
      <c r="AN90" s="1715"/>
      <c r="AO90" s="1715"/>
      <c r="AP90" s="1715"/>
      <c r="AQ90" s="1715"/>
      <c r="AR90" s="1715"/>
      <c r="AS90" s="1716"/>
      <c r="AT90" s="1725"/>
      <c r="AU90" s="1726"/>
      <c r="AV90" s="1726"/>
      <c r="AW90" s="1726"/>
      <c r="AX90" s="1726"/>
      <c r="AY90" s="1726"/>
      <c r="AZ90" s="1726"/>
      <c r="BA90" s="1726"/>
      <c r="BB90" s="1726"/>
      <c r="BC90" s="1726"/>
      <c r="BD90" s="1726"/>
      <c r="BE90" s="1726"/>
      <c r="BF90" s="1727"/>
      <c r="BG90" s="1707"/>
      <c r="BH90" s="1707"/>
      <c r="BI90" s="1710"/>
      <c r="BJ90" s="135"/>
      <c r="BK90" s="1736">
        <f>SUM(BK92/60)</f>
        <v>0</v>
      </c>
      <c r="BL90" s="1736"/>
      <c r="BM90" s="1736"/>
      <c r="BN90" s="23"/>
      <c r="BO90" s="1737" t="s">
        <v>686</v>
      </c>
      <c r="BP90" s="1738"/>
      <c r="BQ90" s="1738"/>
      <c r="BR90" s="1738"/>
      <c r="BS90" s="1738"/>
      <c r="BT90" s="1738"/>
      <c r="BU90" s="1738"/>
      <c r="BV90" s="1738"/>
      <c r="BW90" s="1738"/>
      <c r="BX90" s="1738"/>
      <c r="BY90" s="1738"/>
      <c r="BZ90" s="1738"/>
      <c r="CA90" s="1739"/>
      <c r="CB90" s="1740" t="s">
        <v>687</v>
      </c>
      <c r="CC90" s="1741"/>
      <c r="CD90" s="1741"/>
      <c r="CE90" s="1741"/>
      <c r="CF90" s="1741"/>
      <c r="CG90" s="1741"/>
      <c r="CH90" s="1741"/>
      <c r="CI90" s="1741"/>
      <c r="CJ90" s="1741"/>
      <c r="CK90" s="1741"/>
      <c r="CL90" s="1741"/>
      <c r="CM90" s="1741"/>
      <c r="CN90" s="1742"/>
    </row>
    <row r="91" spans="1:98" s="6" customFormat="1" ht="28.5" customHeight="1" x14ac:dyDescent="0.2">
      <c r="A91" s="1705"/>
      <c r="B91" s="1708"/>
      <c r="C91" s="1708"/>
      <c r="D91" s="1729"/>
      <c r="E91" s="26">
        <v>1</v>
      </c>
      <c r="F91" s="26">
        <v>2</v>
      </c>
      <c r="G91" s="26">
        <v>3</v>
      </c>
      <c r="H91" s="26">
        <v>4</v>
      </c>
      <c r="I91" s="26">
        <v>5</v>
      </c>
      <c r="J91" s="26">
        <v>6</v>
      </c>
      <c r="K91" s="26">
        <v>7</v>
      </c>
      <c r="L91" s="26">
        <v>8</v>
      </c>
      <c r="M91" s="26">
        <v>9</v>
      </c>
      <c r="N91" s="26">
        <v>10</v>
      </c>
      <c r="O91" s="26">
        <v>11</v>
      </c>
      <c r="P91" s="26">
        <v>12</v>
      </c>
      <c r="Q91" s="26" t="s">
        <v>21</v>
      </c>
      <c r="R91" s="1708"/>
      <c r="S91" s="1713"/>
      <c r="T91" s="26">
        <v>1</v>
      </c>
      <c r="U91" s="26">
        <v>2</v>
      </c>
      <c r="V91" s="26">
        <v>3</v>
      </c>
      <c r="W91" s="26">
        <v>4</v>
      </c>
      <c r="X91" s="26">
        <v>5</v>
      </c>
      <c r="Y91" s="26">
        <v>6</v>
      </c>
      <c r="Z91" s="26">
        <v>7</v>
      </c>
      <c r="AA91" s="26">
        <v>8</v>
      </c>
      <c r="AB91" s="26">
        <v>9</v>
      </c>
      <c r="AC91" s="26">
        <v>10</v>
      </c>
      <c r="AD91" s="26">
        <v>11</v>
      </c>
      <c r="AE91" s="26">
        <v>12</v>
      </c>
      <c r="AF91" s="1713"/>
      <c r="AG91" s="26">
        <v>1</v>
      </c>
      <c r="AH91" s="26">
        <v>2</v>
      </c>
      <c r="AI91" s="26">
        <v>3</v>
      </c>
      <c r="AJ91" s="26">
        <v>4</v>
      </c>
      <c r="AK91" s="26">
        <v>5</v>
      </c>
      <c r="AL91" s="26">
        <v>6</v>
      </c>
      <c r="AM91" s="26">
        <v>7</v>
      </c>
      <c r="AN91" s="26">
        <v>8</v>
      </c>
      <c r="AO91" s="26">
        <v>9</v>
      </c>
      <c r="AP91" s="26">
        <v>10</v>
      </c>
      <c r="AQ91" s="26">
        <v>11</v>
      </c>
      <c r="AR91" s="26">
        <v>12</v>
      </c>
      <c r="AS91" s="26" t="s">
        <v>13</v>
      </c>
      <c r="AT91" s="173">
        <v>1</v>
      </c>
      <c r="AU91" s="173">
        <v>2</v>
      </c>
      <c r="AV91" s="173">
        <v>3</v>
      </c>
      <c r="AW91" s="173">
        <v>4</v>
      </c>
      <c r="AX91" s="173">
        <v>5</v>
      </c>
      <c r="AY91" s="173">
        <v>6</v>
      </c>
      <c r="AZ91" s="173">
        <v>7</v>
      </c>
      <c r="BA91" s="173">
        <v>8</v>
      </c>
      <c r="BB91" s="173">
        <v>9</v>
      </c>
      <c r="BC91" s="173">
        <v>10</v>
      </c>
      <c r="BD91" s="173">
        <v>11</v>
      </c>
      <c r="BE91" s="173">
        <v>12</v>
      </c>
      <c r="BF91" s="26" t="s">
        <v>13</v>
      </c>
      <c r="BG91" s="1708"/>
      <c r="BH91" s="1708"/>
      <c r="BI91" s="1711"/>
      <c r="BJ91" s="7"/>
      <c r="BK91" s="1743" t="s">
        <v>19</v>
      </c>
      <c r="BL91" s="1744"/>
      <c r="BM91" s="1745"/>
      <c r="BN91" s="621"/>
      <c r="BO91" s="173">
        <v>1</v>
      </c>
      <c r="BP91" s="173">
        <v>2</v>
      </c>
      <c r="BQ91" s="173">
        <v>3</v>
      </c>
      <c r="BR91" s="173">
        <v>4</v>
      </c>
      <c r="BS91" s="173">
        <v>5</v>
      </c>
      <c r="BT91" s="173">
        <v>6</v>
      </c>
      <c r="BU91" s="173">
        <v>7</v>
      </c>
      <c r="BV91" s="173">
        <v>8</v>
      </c>
      <c r="BW91" s="173">
        <v>9</v>
      </c>
      <c r="BX91" s="173">
        <v>10</v>
      </c>
      <c r="BY91" s="173">
        <v>11</v>
      </c>
      <c r="BZ91" s="173">
        <v>12</v>
      </c>
      <c r="CA91" s="26" t="s">
        <v>13</v>
      </c>
      <c r="CB91" s="173">
        <v>1</v>
      </c>
      <c r="CC91" s="173">
        <v>2</v>
      </c>
      <c r="CD91" s="173">
        <v>3</v>
      </c>
      <c r="CE91" s="173">
        <v>4</v>
      </c>
      <c r="CF91" s="173">
        <v>5</v>
      </c>
      <c r="CG91" s="173">
        <v>6</v>
      </c>
      <c r="CH91" s="173">
        <v>7</v>
      </c>
      <c r="CI91" s="173">
        <v>8</v>
      </c>
      <c r="CJ91" s="173">
        <v>9</v>
      </c>
      <c r="CK91" s="173">
        <v>10</v>
      </c>
      <c r="CL91" s="173">
        <v>11</v>
      </c>
      <c r="CM91" s="173">
        <v>12</v>
      </c>
      <c r="CN91" s="26" t="s">
        <v>13</v>
      </c>
    </row>
    <row r="92" spans="1:98" s="7" customFormat="1" ht="24.75" customHeight="1" x14ac:dyDescent="0.2">
      <c r="A92" s="41"/>
      <c r="B92" s="141" t="s">
        <v>89</v>
      </c>
      <c r="C92" s="29" t="s">
        <v>25</v>
      </c>
      <c r="D92" s="552">
        <v>30</v>
      </c>
      <c r="E92" s="225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1">
        <f>SUM(E92:P92)</f>
        <v>0</v>
      </c>
      <c r="R92" s="83" t="s">
        <v>31</v>
      </c>
      <c r="S92" s="142">
        <v>10300</v>
      </c>
      <c r="T92" s="84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69">
        <f t="shared" ref="AF92:AF95" si="186">SUM(Q92*S92)</f>
        <v>0</v>
      </c>
      <c r="AG92" s="70">
        <f t="shared" ref="AG92:AG95" si="187">T92*E92</f>
        <v>0</v>
      </c>
      <c r="AH92" s="70">
        <f t="shared" ref="AH92:AH95" si="188">U92*F92</f>
        <v>0</v>
      </c>
      <c r="AI92" s="70">
        <f t="shared" ref="AI92:AI95" si="189">V92*G92</f>
        <v>0</v>
      </c>
      <c r="AJ92" s="70">
        <f t="shared" ref="AJ92:AJ95" si="190">W92*H92</f>
        <v>0</v>
      </c>
      <c r="AK92" s="70">
        <f t="shared" ref="AK92:AK95" si="191">X92*I92</f>
        <v>0</v>
      </c>
      <c r="AL92" s="70">
        <f t="shared" ref="AL92:AL95" si="192">Y92*J92</f>
        <v>0</v>
      </c>
      <c r="AM92" s="70">
        <f t="shared" ref="AM92:AM95" si="193">Z92*K92</f>
        <v>0</v>
      </c>
      <c r="AN92" s="70">
        <f t="shared" ref="AN92:AN95" si="194">AA92*L92</f>
        <v>0</v>
      </c>
      <c r="AO92" s="70">
        <f t="shared" ref="AO92:AO95" si="195">AB92*M92</f>
        <v>0</v>
      </c>
      <c r="AP92" s="70">
        <f t="shared" ref="AP92:AP95" si="196">AC92*N92</f>
        <v>0</v>
      </c>
      <c r="AQ92" s="70">
        <f t="shared" ref="AQ92:AQ95" si="197">AD92*O92</f>
        <v>0</v>
      </c>
      <c r="AR92" s="70">
        <f t="shared" ref="AR92:AR95" si="198">AE92*P92</f>
        <v>0</v>
      </c>
      <c r="AS92" s="71">
        <f>SUM(AG92:AR92)</f>
        <v>0</v>
      </c>
      <c r="AT92" s="70">
        <f>SUM(AG92*4%)</f>
        <v>0</v>
      </c>
      <c r="AU92" s="70">
        <f t="shared" ref="AU92:AU94" si="199">SUM(AH92*14%)</f>
        <v>0</v>
      </c>
      <c r="AV92" s="70">
        <f t="shared" ref="AV92:AV94" si="200">SUM(AI92*14%)</f>
        <v>0</v>
      </c>
      <c r="AW92" s="70">
        <f t="shared" ref="AW92:AW95" si="201">SUM(AJ92*14%)</f>
        <v>0</v>
      </c>
      <c r="AX92" s="70">
        <f t="shared" ref="AX92:AX95" si="202">SUM(AK92*14%)</f>
        <v>0</v>
      </c>
      <c r="AY92" s="70">
        <f t="shared" ref="AY92:AY95" si="203">SUM(AL92*14%)</f>
        <v>0</v>
      </c>
      <c r="AZ92" s="70">
        <f t="shared" ref="AZ92:AZ95" si="204">SUM(AM92*14%)</f>
        <v>0</v>
      </c>
      <c r="BA92" s="70">
        <f t="shared" ref="BA92:BA95" si="205">SUM(AN92*14%)</f>
        <v>0</v>
      </c>
      <c r="BB92" s="70">
        <f t="shared" ref="BB92:BB95" si="206">SUM(AO92*14%)</f>
        <v>0</v>
      </c>
      <c r="BC92" s="70">
        <f t="shared" ref="BC92:BC95" si="207">SUM(AP92*14%)</f>
        <v>0</v>
      </c>
      <c r="BD92" s="70">
        <f t="shared" ref="BD92:BD95" si="208">SUM(AQ92*14%)</f>
        <v>0</v>
      </c>
      <c r="BE92" s="70">
        <f t="shared" ref="BE92:BE95" si="209">SUM(AR92*14%)</f>
        <v>0</v>
      </c>
      <c r="BF92" s="72">
        <f>SUM(AT92:BE92)</f>
        <v>0</v>
      </c>
      <c r="BG92" s="73">
        <f>AF92-AS92-BF92</f>
        <v>0</v>
      </c>
      <c r="BH92" s="74">
        <f>S92*D92</f>
        <v>309000</v>
      </c>
      <c r="BI92" s="75">
        <f>BH92-AS92-BF92</f>
        <v>309000</v>
      </c>
      <c r="BJ92" s="175">
        <f>SUM(Q92/D92)</f>
        <v>0</v>
      </c>
      <c r="BK92" s="1081"/>
      <c r="BL92" s="1081"/>
      <c r="BM92" s="1083"/>
      <c r="BN92" s="1084"/>
      <c r="BO92" s="862"/>
      <c r="BP92" s="862"/>
      <c r="BQ92" s="862"/>
      <c r="BR92" s="862"/>
      <c r="BS92" s="862"/>
      <c r="BT92" s="862"/>
      <c r="BU92" s="862"/>
      <c r="BV92" s="862"/>
      <c r="BW92" s="1081">
        <f t="shared" ref="BW92:BW93" si="210">SUM(AN92*12.5%)</f>
        <v>0</v>
      </c>
      <c r="BX92" s="862"/>
      <c r="BY92" s="862"/>
      <c r="BZ92" s="862"/>
      <c r="CA92" s="73">
        <f t="shared" ref="CA92" si="211">SUM(BO92:BZ92)</f>
        <v>0</v>
      </c>
      <c r="CB92" s="862"/>
      <c r="CC92" s="862"/>
      <c r="CD92" s="862"/>
      <c r="CE92" s="862"/>
      <c r="CF92" s="862"/>
      <c r="CG92" s="862"/>
      <c r="CH92" s="862"/>
      <c r="CI92" s="862"/>
      <c r="CJ92" s="1081"/>
      <c r="CK92" s="862"/>
      <c r="CL92" s="862"/>
      <c r="CM92" s="862"/>
      <c r="CN92" s="73">
        <f t="shared" ref="CN92:CN93" si="212">SUM(CB92:CM92)</f>
        <v>0</v>
      </c>
    </row>
    <row r="93" spans="1:98" s="7" customFormat="1" ht="24.75" customHeight="1" x14ac:dyDescent="0.2">
      <c r="A93" s="41"/>
      <c r="B93" s="141" t="s">
        <v>90</v>
      </c>
      <c r="C93" s="29" t="s">
        <v>25</v>
      </c>
      <c r="D93" s="552">
        <v>30</v>
      </c>
      <c r="E93" s="225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1">
        <f>SUM(E93:P93)</f>
        <v>0</v>
      </c>
      <c r="R93" s="83" t="s">
        <v>31</v>
      </c>
      <c r="S93" s="142">
        <v>28500</v>
      </c>
      <c r="T93" s="84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69">
        <f t="shared" si="186"/>
        <v>0</v>
      </c>
      <c r="AG93" s="70">
        <f t="shared" si="187"/>
        <v>0</v>
      </c>
      <c r="AH93" s="70">
        <f t="shared" si="188"/>
        <v>0</v>
      </c>
      <c r="AI93" s="70">
        <f t="shared" si="189"/>
        <v>0</v>
      </c>
      <c r="AJ93" s="70">
        <f t="shared" si="190"/>
        <v>0</v>
      </c>
      <c r="AK93" s="70">
        <f t="shared" si="191"/>
        <v>0</v>
      </c>
      <c r="AL93" s="70">
        <f t="shared" si="192"/>
        <v>0</v>
      </c>
      <c r="AM93" s="70">
        <f t="shared" si="193"/>
        <v>0</v>
      </c>
      <c r="AN93" s="70">
        <f t="shared" si="194"/>
        <v>0</v>
      </c>
      <c r="AO93" s="70">
        <f t="shared" si="195"/>
        <v>0</v>
      </c>
      <c r="AP93" s="70">
        <f t="shared" si="196"/>
        <v>0</v>
      </c>
      <c r="AQ93" s="70">
        <f t="shared" si="197"/>
        <v>0</v>
      </c>
      <c r="AR93" s="70">
        <f t="shared" si="198"/>
        <v>0</v>
      </c>
      <c r="AS93" s="71">
        <f>SUM(AG93:AR93)</f>
        <v>0</v>
      </c>
      <c r="AT93" s="70">
        <f t="shared" ref="AT93:AT95" si="213">SUM(AG93*4%)</f>
        <v>0</v>
      </c>
      <c r="AU93" s="70">
        <f t="shared" si="199"/>
        <v>0</v>
      </c>
      <c r="AV93" s="70">
        <f t="shared" si="200"/>
        <v>0</v>
      </c>
      <c r="AW93" s="70">
        <f t="shared" si="201"/>
        <v>0</v>
      </c>
      <c r="AX93" s="70">
        <f t="shared" si="202"/>
        <v>0</v>
      </c>
      <c r="AY93" s="70">
        <f t="shared" si="203"/>
        <v>0</v>
      </c>
      <c r="AZ93" s="70">
        <f t="shared" si="204"/>
        <v>0</v>
      </c>
      <c r="BA93" s="70">
        <f t="shared" si="205"/>
        <v>0</v>
      </c>
      <c r="BB93" s="70">
        <f t="shared" si="206"/>
        <v>0</v>
      </c>
      <c r="BC93" s="70">
        <f t="shared" si="207"/>
        <v>0</v>
      </c>
      <c r="BD93" s="70">
        <f t="shared" si="208"/>
        <v>0</v>
      </c>
      <c r="BE93" s="70">
        <f t="shared" si="209"/>
        <v>0</v>
      </c>
      <c r="BF93" s="72">
        <f>SUM(AT93:BE93)</f>
        <v>0</v>
      </c>
      <c r="BG93" s="73">
        <f>AF93-AS93-BF93</f>
        <v>0</v>
      </c>
      <c r="BH93" s="74">
        <f>S93*D93</f>
        <v>855000</v>
      </c>
      <c r="BI93" s="75">
        <f>BH93-AS93-BF93</f>
        <v>855000</v>
      </c>
      <c r="BJ93" s="175">
        <f>SUM(Q93/D93)</f>
        <v>0</v>
      </c>
      <c r="BK93" s="1081"/>
      <c r="BL93" s="1081"/>
      <c r="BM93" s="1083"/>
      <c r="BN93" s="1084"/>
      <c r="BO93" s="862"/>
      <c r="BP93" s="862"/>
      <c r="BQ93" s="862"/>
      <c r="BR93" s="862"/>
      <c r="BS93" s="862"/>
      <c r="BT93" s="862"/>
      <c r="BU93" s="862"/>
      <c r="BV93" s="862"/>
      <c r="BW93" s="1081">
        <f t="shared" si="210"/>
        <v>0</v>
      </c>
      <c r="BX93" s="862"/>
      <c r="BY93" s="862"/>
      <c r="BZ93" s="862"/>
      <c r="CA93" s="73">
        <f t="shared" ref="CA93" si="214">SUM(BO93:BZ93)</f>
        <v>0</v>
      </c>
      <c r="CB93" s="862"/>
      <c r="CC93" s="862"/>
      <c r="CD93" s="862"/>
      <c r="CE93" s="862"/>
      <c r="CF93" s="862"/>
      <c r="CG93" s="862"/>
      <c r="CH93" s="862"/>
      <c r="CI93" s="862"/>
      <c r="CJ93" s="1081"/>
      <c r="CK93" s="862"/>
      <c r="CL93" s="862"/>
      <c r="CM93" s="862"/>
      <c r="CN93" s="73">
        <f t="shared" si="212"/>
        <v>0</v>
      </c>
    </row>
    <row r="94" spans="1:98" s="7" customFormat="1" ht="24.75" customHeight="1" x14ac:dyDescent="0.2">
      <c r="A94" s="41"/>
      <c r="B94" s="141" t="s">
        <v>109</v>
      </c>
      <c r="C94" s="29" t="s">
        <v>25</v>
      </c>
      <c r="D94" s="552">
        <v>2</v>
      </c>
      <c r="E94" s="225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>
        <f>SUM(E94:P94)</f>
        <v>0</v>
      </c>
      <c r="R94" s="83" t="s">
        <v>31</v>
      </c>
      <c r="S94" s="142">
        <v>49900</v>
      </c>
      <c r="T94" s="84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69">
        <f t="shared" si="186"/>
        <v>0</v>
      </c>
      <c r="AG94" s="70">
        <f t="shared" si="187"/>
        <v>0</v>
      </c>
      <c r="AH94" s="70">
        <f t="shared" si="188"/>
        <v>0</v>
      </c>
      <c r="AI94" s="70">
        <f t="shared" si="189"/>
        <v>0</v>
      </c>
      <c r="AJ94" s="70">
        <f t="shared" si="190"/>
        <v>0</v>
      </c>
      <c r="AK94" s="70">
        <f t="shared" si="191"/>
        <v>0</v>
      </c>
      <c r="AL94" s="70">
        <f t="shared" si="192"/>
        <v>0</v>
      </c>
      <c r="AM94" s="70">
        <f t="shared" si="193"/>
        <v>0</v>
      </c>
      <c r="AN94" s="70">
        <f t="shared" si="194"/>
        <v>0</v>
      </c>
      <c r="AO94" s="70">
        <f t="shared" si="195"/>
        <v>0</v>
      </c>
      <c r="AP94" s="70">
        <f t="shared" si="196"/>
        <v>0</v>
      </c>
      <c r="AQ94" s="70">
        <f t="shared" si="197"/>
        <v>0</v>
      </c>
      <c r="AR94" s="70">
        <f t="shared" si="198"/>
        <v>0</v>
      </c>
      <c r="AS94" s="71">
        <f>SUM(AG94:AR94)</f>
        <v>0</v>
      </c>
      <c r="AT94" s="70">
        <f t="shared" si="213"/>
        <v>0</v>
      </c>
      <c r="AU94" s="70">
        <f t="shared" si="199"/>
        <v>0</v>
      </c>
      <c r="AV94" s="70">
        <f t="shared" si="200"/>
        <v>0</v>
      </c>
      <c r="AW94" s="70">
        <f t="shared" si="201"/>
        <v>0</v>
      </c>
      <c r="AX94" s="70">
        <f t="shared" si="202"/>
        <v>0</v>
      </c>
      <c r="AY94" s="70">
        <f t="shared" si="203"/>
        <v>0</v>
      </c>
      <c r="AZ94" s="70">
        <f t="shared" si="204"/>
        <v>0</v>
      </c>
      <c r="BA94" s="70">
        <f t="shared" si="205"/>
        <v>0</v>
      </c>
      <c r="BB94" s="70">
        <f t="shared" si="206"/>
        <v>0</v>
      </c>
      <c r="BC94" s="70">
        <f t="shared" si="207"/>
        <v>0</v>
      </c>
      <c r="BD94" s="70">
        <f t="shared" si="208"/>
        <v>0</v>
      </c>
      <c r="BE94" s="70">
        <f t="shared" si="209"/>
        <v>0</v>
      </c>
      <c r="BF94" s="72">
        <f>SUM(AT94:BE94)</f>
        <v>0</v>
      </c>
      <c r="BG94" s="73">
        <f>AF94-AS94-BF94</f>
        <v>0</v>
      </c>
      <c r="BH94" s="74">
        <f>S94*D94</f>
        <v>99800</v>
      </c>
      <c r="BI94" s="75">
        <f>BH94-AS94-BF94</f>
        <v>99800</v>
      </c>
      <c r="BJ94" s="175">
        <f>SUM(Q94/D94)</f>
        <v>0</v>
      </c>
      <c r="BK94" s="1081"/>
      <c r="BL94" s="1081"/>
      <c r="BM94" s="1083"/>
      <c r="BN94" s="1084"/>
      <c r="BO94" s="862"/>
      <c r="BP94" s="862"/>
      <c r="BQ94" s="862"/>
      <c r="BR94" s="862"/>
      <c r="BS94" s="862"/>
      <c r="BT94" s="862"/>
      <c r="BU94" s="862"/>
      <c r="BV94" s="862"/>
      <c r="BW94" s="1081">
        <f t="shared" ref="BW94:BW96" si="215">SUM(AN94*12.5%)</f>
        <v>0</v>
      </c>
      <c r="BX94" s="862"/>
      <c r="BY94" s="862"/>
      <c r="BZ94" s="862"/>
      <c r="CA94" s="73">
        <f t="shared" ref="CA94:CA96" si="216">SUM(BO94:BZ94)</f>
        <v>0</v>
      </c>
      <c r="CB94" s="862"/>
      <c r="CC94" s="862"/>
      <c r="CD94" s="862"/>
      <c r="CE94" s="862"/>
      <c r="CF94" s="862"/>
      <c r="CG94" s="862"/>
      <c r="CH94" s="862"/>
      <c r="CI94" s="862"/>
      <c r="CJ94" s="1081"/>
      <c r="CK94" s="862"/>
      <c r="CL94" s="862"/>
      <c r="CM94" s="862"/>
      <c r="CN94" s="73">
        <f t="shared" ref="CN94:CN96" si="217">SUM(CB94:CM94)</f>
        <v>0</v>
      </c>
    </row>
    <row r="95" spans="1:98" s="7" customFormat="1" ht="24.75" customHeight="1" thickBot="1" x14ac:dyDescent="0.25">
      <c r="A95" s="41"/>
      <c r="B95" s="141" t="s">
        <v>92</v>
      </c>
      <c r="C95" s="29" t="s">
        <v>25</v>
      </c>
      <c r="D95" s="226">
        <v>2</v>
      </c>
      <c r="E95" s="55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1">
        <f>SUM(E95:P95)</f>
        <v>0</v>
      </c>
      <c r="R95" s="83" t="s">
        <v>16</v>
      </c>
      <c r="S95" s="142">
        <v>35000</v>
      </c>
      <c r="T95" s="84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69">
        <f t="shared" si="186"/>
        <v>0</v>
      </c>
      <c r="AG95" s="70">
        <f t="shared" si="187"/>
        <v>0</v>
      </c>
      <c r="AH95" s="70">
        <f t="shared" si="188"/>
        <v>0</v>
      </c>
      <c r="AI95" s="70">
        <f t="shared" si="189"/>
        <v>0</v>
      </c>
      <c r="AJ95" s="70">
        <f t="shared" si="190"/>
        <v>0</v>
      </c>
      <c r="AK95" s="70">
        <f t="shared" si="191"/>
        <v>0</v>
      </c>
      <c r="AL95" s="70">
        <f t="shared" si="192"/>
        <v>0</v>
      </c>
      <c r="AM95" s="70">
        <f t="shared" si="193"/>
        <v>0</v>
      </c>
      <c r="AN95" s="70">
        <f t="shared" si="194"/>
        <v>0</v>
      </c>
      <c r="AO95" s="70">
        <f t="shared" si="195"/>
        <v>0</v>
      </c>
      <c r="AP95" s="70">
        <f t="shared" si="196"/>
        <v>0</v>
      </c>
      <c r="AQ95" s="70">
        <f t="shared" si="197"/>
        <v>0</v>
      </c>
      <c r="AR95" s="70">
        <f t="shared" si="198"/>
        <v>0</v>
      </c>
      <c r="AS95" s="71">
        <f>SUM(AG95:AR95)</f>
        <v>0</v>
      </c>
      <c r="AT95" s="70">
        <f t="shared" si="213"/>
        <v>0</v>
      </c>
      <c r="AU95" s="70">
        <f>SUM(AH95*14%)</f>
        <v>0</v>
      </c>
      <c r="AV95" s="70">
        <f>SUM(AI95*14%)</f>
        <v>0</v>
      </c>
      <c r="AW95" s="70">
        <f t="shared" si="201"/>
        <v>0</v>
      </c>
      <c r="AX95" s="70">
        <f t="shared" si="202"/>
        <v>0</v>
      </c>
      <c r="AY95" s="70">
        <f t="shared" si="203"/>
        <v>0</v>
      </c>
      <c r="AZ95" s="70">
        <f t="shared" si="204"/>
        <v>0</v>
      </c>
      <c r="BA95" s="70">
        <f t="shared" si="205"/>
        <v>0</v>
      </c>
      <c r="BB95" s="70">
        <f t="shared" si="206"/>
        <v>0</v>
      </c>
      <c r="BC95" s="70">
        <f t="shared" si="207"/>
        <v>0</v>
      </c>
      <c r="BD95" s="70">
        <f t="shared" si="208"/>
        <v>0</v>
      </c>
      <c r="BE95" s="70">
        <f t="shared" si="209"/>
        <v>0</v>
      </c>
      <c r="BF95" s="72">
        <f>SUM(AT95:BE95)</f>
        <v>0</v>
      </c>
      <c r="BG95" s="73">
        <f>AF95-AS95-BF95</f>
        <v>0</v>
      </c>
      <c r="BH95" s="74">
        <f>S95*D95</f>
        <v>70000</v>
      </c>
      <c r="BI95" s="75">
        <f>BH95-AS95-BF95</f>
        <v>70000</v>
      </c>
      <c r="BJ95" s="175">
        <f>SUM(Q95/D95)</f>
        <v>0</v>
      </c>
      <c r="BK95" s="1081"/>
      <c r="BL95" s="1081"/>
      <c r="BM95" s="1083"/>
      <c r="BN95" s="1084"/>
      <c r="BO95" s="862"/>
      <c r="BP95" s="862"/>
      <c r="BQ95" s="862"/>
      <c r="BR95" s="862"/>
      <c r="BS95" s="862"/>
      <c r="BT95" s="862"/>
      <c r="BU95" s="862"/>
      <c r="BV95" s="862"/>
      <c r="BW95" s="1081">
        <f t="shared" si="215"/>
        <v>0</v>
      </c>
      <c r="BX95" s="862"/>
      <c r="BY95" s="862"/>
      <c r="BZ95" s="862"/>
      <c r="CA95" s="73">
        <f t="shared" si="216"/>
        <v>0</v>
      </c>
      <c r="CB95" s="862"/>
      <c r="CC95" s="862"/>
      <c r="CD95" s="862"/>
      <c r="CE95" s="862"/>
      <c r="CF95" s="862"/>
      <c r="CG95" s="862"/>
      <c r="CH95" s="862"/>
      <c r="CI95" s="862"/>
      <c r="CJ95" s="1081"/>
      <c r="CK95" s="862"/>
      <c r="CL95" s="862"/>
      <c r="CM95" s="862"/>
      <c r="CN95" s="73">
        <f t="shared" si="217"/>
        <v>0</v>
      </c>
    </row>
    <row r="96" spans="1:98" s="38" customFormat="1" ht="24.75" customHeight="1" thickBot="1" x14ac:dyDescent="0.25">
      <c r="A96" s="554">
        <v>9</v>
      </c>
      <c r="B96" s="44" t="s">
        <v>4</v>
      </c>
      <c r="C96" s="44"/>
      <c r="D96" s="227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7"/>
      <c r="R96" s="77"/>
      <c r="S96" s="45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78">
        <f t="shared" ref="AF96:AI96" si="218">SUM(AF92:AF95)</f>
        <v>0</v>
      </c>
      <c r="AG96" s="78">
        <f t="shared" si="218"/>
        <v>0</v>
      </c>
      <c r="AH96" s="78">
        <f t="shared" si="218"/>
        <v>0</v>
      </c>
      <c r="AI96" s="78">
        <f t="shared" si="218"/>
        <v>0</v>
      </c>
      <c r="AJ96" s="78">
        <f t="shared" ref="AJ96:BF96" si="219">SUM(AJ92:AJ95)</f>
        <v>0</v>
      </c>
      <c r="AK96" s="78">
        <f t="shared" si="219"/>
        <v>0</v>
      </c>
      <c r="AL96" s="78">
        <f t="shared" si="219"/>
        <v>0</v>
      </c>
      <c r="AM96" s="78">
        <f t="shared" si="219"/>
        <v>0</v>
      </c>
      <c r="AN96" s="78">
        <f t="shared" si="219"/>
        <v>0</v>
      </c>
      <c r="AO96" s="78">
        <f t="shared" si="219"/>
        <v>0</v>
      </c>
      <c r="AP96" s="78">
        <f t="shared" si="219"/>
        <v>0</v>
      </c>
      <c r="AQ96" s="78">
        <f t="shared" si="219"/>
        <v>0</v>
      </c>
      <c r="AR96" s="78">
        <f t="shared" si="219"/>
        <v>0</v>
      </c>
      <c r="AS96" s="78">
        <f t="shared" si="219"/>
        <v>0</v>
      </c>
      <c r="AT96" s="78">
        <f t="shared" si="219"/>
        <v>0</v>
      </c>
      <c r="AU96" s="78">
        <f t="shared" si="219"/>
        <v>0</v>
      </c>
      <c r="AV96" s="78">
        <f t="shared" si="219"/>
        <v>0</v>
      </c>
      <c r="AW96" s="78">
        <f t="shared" si="219"/>
        <v>0</v>
      </c>
      <c r="AX96" s="78">
        <f t="shared" si="219"/>
        <v>0</v>
      </c>
      <c r="AY96" s="78">
        <f t="shared" si="219"/>
        <v>0</v>
      </c>
      <c r="AZ96" s="78">
        <f t="shared" si="219"/>
        <v>0</v>
      </c>
      <c r="BA96" s="78">
        <f t="shared" si="219"/>
        <v>0</v>
      </c>
      <c r="BB96" s="78">
        <f t="shared" si="219"/>
        <v>0</v>
      </c>
      <c r="BC96" s="78">
        <f t="shared" si="219"/>
        <v>0</v>
      </c>
      <c r="BD96" s="78">
        <f t="shared" si="219"/>
        <v>0</v>
      </c>
      <c r="BE96" s="78">
        <f t="shared" si="219"/>
        <v>0</v>
      </c>
      <c r="BF96" s="78">
        <f t="shared" si="219"/>
        <v>0</v>
      </c>
      <c r="BG96" s="79">
        <f>AF96-AS96-BF96</f>
        <v>0</v>
      </c>
      <c r="BH96" s="78">
        <f>SUM(BH92:BH95)</f>
        <v>1333800</v>
      </c>
      <c r="BI96" s="78">
        <f>SUM(BI92:BI95)</f>
        <v>1333800</v>
      </c>
      <c r="BJ96" s="176">
        <f>SUM(BJ92:BJ95)/4</f>
        <v>0</v>
      </c>
      <c r="BK96" s="1081"/>
      <c r="BL96" s="1081"/>
      <c r="BM96" s="1083"/>
      <c r="BN96" s="1084"/>
      <c r="BO96" s="862"/>
      <c r="BP96" s="862"/>
      <c r="BQ96" s="862"/>
      <c r="BR96" s="862"/>
      <c r="BS96" s="862"/>
      <c r="BT96" s="862"/>
      <c r="BU96" s="862"/>
      <c r="BV96" s="862"/>
      <c r="BW96" s="1081">
        <f t="shared" si="215"/>
        <v>0</v>
      </c>
      <c r="BX96" s="862"/>
      <c r="BY96" s="862"/>
      <c r="BZ96" s="862"/>
      <c r="CA96" s="73">
        <f t="shared" si="216"/>
        <v>0</v>
      </c>
      <c r="CB96" s="862"/>
      <c r="CC96" s="862"/>
      <c r="CD96" s="862"/>
      <c r="CE96" s="862"/>
      <c r="CF96" s="862"/>
      <c r="CG96" s="862"/>
      <c r="CH96" s="862"/>
      <c r="CI96" s="862"/>
      <c r="CJ96" s="1081"/>
      <c r="CK96" s="862"/>
      <c r="CL96" s="862"/>
      <c r="CM96" s="862"/>
      <c r="CN96" s="73">
        <f t="shared" si="217"/>
        <v>0</v>
      </c>
    </row>
    <row r="97" spans="1:98" s="20" customFormat="1" ht="24.75" customHeight="1" x14ac:dyDescent="0.2">
      <c r="A97" s="50"/>
      <c r="D97" s="22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AE97" s="40"/>
      <c r="AS97" s="51"/>
      <c r="BF97" s="52">
        <f>SUM(AS96+BF96)</f>
        <v>0</v>
      </c>
      <c r="BG97" s="53">
        <f>AF96-AS96-BF96</f>
        <v>0</v>
      </c>
      <c r="BH97" s="54">
        <f>SUM(BI96+AS96)</f>
        <v>1333800</v>
      </c>
      <c r="BI97" s="55">
        <f>SUM(BG96)</f>
        <v>0</v>
      </c>
      <c r="BJ97" s="40" t="s">
        <v>38</v>
      </c>
      <c r="BK97" s="40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</row>
    <row r="98" spans="1:98" s="20" customFormat="1" ht="24.75" customHeight="1" x14ac:dyDescent="0.2">
      <c r="A98" s="50"/>
      <c r="D98" s="22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AE98" s="40"/>
      <c r="AS98" s="40"/>
      <c r="AT98" s="123">
        <f t="shared" ref="AT98" si="220">SUM(AG96+AT96)</f>
        <v>0</v>
      </c>
      <c r="AU98" s="123">
        <f t="shared" ref="AU98" si="221">SUM(AH96+AU96)</f>
        <v>0</v>
      </c>
      <c r="AV98" s="123">
        <f t="shared" ref="AV98" si="222">SUM(AI96+AV96)</f>
        <v>0</v>
      </c>
      <c r="AW98" s="123">
        <f t="shared" ref="AW98" si="223">SUM(AJ96+AW96)</f>
        <v>0</v>
      </c>
      <c r="AX98" s="123">
        <f t="shared" ref="AX98" si="224">SUM(AK96+AX96)</f>
        <v>0</v>
      </c>
      <c r="AY98" s="123">
        <f t="shared" ref="AY98" si="225">SUM(AL96+AY96)</f>
        <v>0</v>
      </c>
      <c r="AZ98" s="123">
        <f t="shared" ref="AZ98" si="226">SUM(AM96+AZ96)</f>
        <v>0</v>
      </c>
      <c r="BA98" s="123">
        <f t="shared" ref="BA98" si="227">SUM(AN96+BA96)</f>
        <v>0</v>
      </c>
      <c r="BB98" s="123">
        <f t="shared" ref="BB98" si="228">SUM(AO96+BB96)</f>
        <v>0</v>
      </c>
      <c r="BC98" s="123">
        <f t="shared" ref="BC98" si="229">SUM(AP96+BC96)</f>
        <v>0</v>
      </c>
      <c r="BD98" s="123">
        <f t="shared" ref="BD98" si="230">SUM(AQ96+BD96)</f>
        <v>0</v>
      </c>
      <c r="BE98" s="123">
        <f t="shared" ref="BE98" si="231">SUM(AR96+BE96)</f>
        <v>0</v>
      </c>
      <c r="BF98" s="123">
        <f>SUM(AT98:BE98)</f>
        <v>0</v>
      </c>
      <c r="BG98" s="40"/>
      <c r="BH98" s="56"/>
      <c r="BI98" s="57">
        <f>SUM(BI96-BI97)</f>
        <v>1333800</v>
      </c>
      <c r="BJ98" s="40" t="s">
        <v>37</v>
      </c>
      <c r="BK98" s="40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</row>
    <row r="99" spans="1:98" s="20" customFormat="1" ht="16.5" customHeight="1" x14ac:dyDescent="0.2">
      <c r="A99" s="1730" t="s">
        <v>8</v>
      </c>
      <c r="B99" s="1731"/>
      <c r="C99" s="124" t="s">
        <v>108</v>
      </c>
      <c r="D99" s="224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7"/>
      <c r="AF99" s="23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8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8"/>
      <c r="BG99" s="138"/>
      <c r="BH99" s="135"/>
      <c r="BI99" s="139"/>
      <c r="BJ99" s="135"/>
      <c r="BK99" s="136"/>
      <c r="BL99" s="136"/>
      <c r="BM99" s="136"/>
      <c r="BN99" s="136"/>
      <c r="BO99" s="136"/>
      <c r="BP99" s="137"/>
      <c r="BQ99" s="136"/>
      <c r="BR99" s="136"/>
      <c r="BS99" s="136"/>
      <c r="BT99" s="136"/>
      <c r="BU99" s="136"/>
      <c r="BV99" s="138"/>
      <c r="BW99" s="138"/>
      <c r="BX99" s="138"/>
      <c r="BY99" s="135"/>
      <c r="BZ99" s="139"/>
      <c r="CA99" s="138"/>
      <c r="CB99" s="138"/>
      <c r="CC99" s="24"/>
      <c r="CD99" s="24"/>
      <c r="CE99" s="24"/>
      <c r="CF99" s="24"/>
      <c r="CG99" s="24"/>
      <c r="CH99" s="140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</row>
    <row r="100" spans="1:98" s="8" customFormat="1" ht="48.75" customHeight="1" x14ac:dyDescent="0.2">
      <c r="A100" s="1703" t="s">
        <v>10</v>
      </c>
      <c r="B100" s="1706" t="s">
        <v>11</v>
      </c>
      <c r="C100" s="1706" t="s">
        <v>22</v>
      </c>
      <c r="D100" s="1721" t="s">
        <v>12</v>
      </c>
      <c r="E100" s="1721"/>
      <c r="F100" s="1721"/>
      <c r="G100" s="1721"/>
      <c r="H100" s="1721"/>
      <c r="I100" s="1721"/>
      <c r="J100" s="1721"/>
      <c r="K100" s="1721"/>
      <c r="L100" s="1721"/>
      <c r="M100" s="1721"/>
      <c r="N100" s="1721"/>
      <c r="O100" s="1721"/>
      <c r="P100" s="1721"/>
      <c r="Q100" s="1721"/>
      <c r="R100" s="1706" t="s">
        <v>20</v>
      </c>
      <c r="S100" s="1717" t="s">
        <v>17</v>
      </c>
      <c r="T100" s="1718"/>
      <c r="U100" s="1718"/>
      <c r="V100" s="1718"/>
      <c r="W100" s="1718"/>
      <c r="X100" s="1718"/>
      <c r="Y100" s="1718"/>
      <c r="Z100" s="1718"/>
      <c r="AA100" s="1718"/>
      <c r="AB100" s="1718"/>
      <c r="AC100" s="1718"/>
      <c r="AD100" s="1718"/>
      <c r="AE100" s="1719"/>
      <c r="AF100" s="1720" t="s">
        <v>6</v>
      </c>
      <c r="AG100" s="1720"/>
      <c r="AH100" s="1720"/>
      <c r="AI100" s="1720"/>
      <c r="AJ100" s="1720"/>
      <c r="AK100" s="1720"/>
      <c r="AL100" s="1720"/>
      <c r="AM100" s="1720"/>
      <c r="AN100" s="1720"/>
      <c r="AO100" s="1720"/>
      <c r="AP100" s="1720"/>
      <c r="AQ100" s="1720"/>
      <c r="AR100" s="1720"/>
      <c r="AS100" s="1720"/>
      <c r="AT100" s="1722" t="s">
        <v>41</v>
      </c>
      <c r="AU100" s="1723"/>
      <c r="AV100" s="1723"/>
      <c r="AW100" s="1723"/>
      <c r="AX100" s="1723"/>
      <c r="AY100" s="1723"/>
      <c r="AZ100" s="1723"/>
      <c r="BA100" s="1723"/>
      <c r="BB100" s="1723"/>
      <c r="BC100" s="1723"/>
      <c r="BD100" s="1723"/>
      <c r="BE100" s="1723"/>
      <c r="BF100" s="1724"/>
      <c r="BG100" s="1706" t="s">
        <v>38</v>
      </c>
      <c r="BH100" s="1706" t="s">
        <v>256</v>
      </c>
      <c r="BI100" s="1709" t="s">
        <v>39</v>
      </c>
      <c r="BJ100" s="135"/>
      <c r="BK100" s="135"/>
      <c r="BL100" s="135"/>
      <c r="BM100" s="135"/>
      <c r="BN100" s="135"/>
      <c r="BO100" s="1733" t="s">
        <v>41</v>
      </c>
      <c r="BP100" s="1734"/>
      <c r="BQ100" s="1734"/>
      <c r="BR100" s="1734"/>
      <c r="BS100" s="1734"/>
      <c r="BT100" s="1734"/>
      <c r="BU100" s="1734"/>
      <c r="BV100" s="1734"/>
      <c r="BW100" s="1734"/>
      <c r="BX100" s="1734"/>
      <c r="BY100" s="1734"/>
      <c r="BZ100" s="1734"/>
      <c r="CA100" s="1734"/>
      <c r="CB100" s="1734"/>
      <c r="CC100" s="1734"/>
      <c r="CD100" s="1734"/>
      <c r="CE100" s="1734"/>
      <c r="CF100" s="1734"/>
      <c r="CG100" s="1734"/>
      <c r="CH100" s="1734"/>
      <c r="CI100" s="1734"/>
      <c r="CJ100" s="1734"/>
      <c r="CK100" s="1734"/>
      <c r="CL100" s="1734"/>
      <c r="CM100" s="1734"/>
      <c r="CN100" s="1735"/>
    </row>
    <row r="101" spans="1:98" s="8" customFormat="1" ht="48.75" customHeight="1" x14ac:dyDescent="0.2">
      <c r="A101" s="1704"/>
      <c r="B101" s="1707"/>
      <c r="C101" s="1707"/>
      <c r="D101" s="1728" t="s">
        <v>18</v>
      </c>
      <c r="E101" s="1714" t="s">
        <v>19</v>
      </c>
      <c r="F101" s="1715"/>
      <c r="G101" s="1715"/>
      <c r="H101" s="1715"/>
      <c r="I101" s="1715"/>
      <c r="J101" s="1715"/>
      <c r="K101" s="1715"/>
      <c r="L101" s="1715"/>
      <c r="M101" s="1715"/>
      <c r="N101" s="1715"/>
      <c r="O101" s="1715"/>
      <c r="P101" s="1715"/>
      <c r="Q101" s="1715"/>
      <c r="R101" s="1707"/>
      <c r="S101" s="1712" t="s">
        <v>18</v>
      </c>
      <c r="T101" s="1714" t="s">
        <v>19</v>
      </c>
      <c r="U101" s="1715"/>
      <c r="V101" s="1715"/>
      <c r="W101" s="1715"/>
      <c r="X101" s="1715"/>
      <c r="Y101" s="1715"/>
      <c r="Z101" s="1715"/>
      <c r="AA101" s="1715"/>
      <c r="AB101" s="1715"/>
      <c r="AC101" s="1715"/>
      <c r="AD101" s="1715"/>
      <c r="AE101" s="1716"/>
      <c r="AF101" s="1712" t="s">
        <v>18</v>
      </c>
      <c r="AG101" s="1714" t="s">
        <v>19</v>
      </c>
      <c r="AH101" s="1715"/>
      <c r="AI101" s="1715"/>
      <c r="AJ101" s="1715"/>
      <c r="AK101" s="1715"/>
      <c r="AL101" s="1715"/>
      <c r="AM101" s="1715"/>
      <c r="AN101" s="1715"/>
      <c r="AO101" s="1715"/>
      <c r="AP101" s="1715"/>
      <c r="AQ101" s="1715"/>
      <c r="AR101" s="1715"/>
      <c r="AS101" s="1716"/>
      <c r="AT101" s="1725"/>
      <c r="AU101" s="1726"/>
      <c r="AV101" s="1726"/>
      <c r="AW101" s="1726"/>
      <c r="AX101" s="1726"/>
      <c r="AY101" s="1726"/>
      <c r="AZ101" s="1726"/>
      <c r="BA101" s="1726"/>
      <c r="BB101" s="1726"/>
      <c r="BC101" s="1726"/>
      <c r="BD101" s="1726"/>
      <c r="BE101" s="1726"/>
      <c r="BF101" s="1727"/>
      <c r="BG101" s="1707"/>
      <c r="BH101" s="1707"/>
      <c r="BI101" s="1710"/>
      <c r="BJ101" s="135"/>
      <c r="BK101" s="1736">
        <f>SUM(BK103/60)</f>
        <v>4532</v>
      </c>
      <c r="BL101" s="1736"/>
      <c r="BM101" s="1736"/>
      <c r="BN101" s="23"/>
      <c r="BO101" s="1737" t="s">
        <v>686</v>
      </c>
      <c r="BP101" s="1738"/>
      <c r="BQ101" s="1738"/>
      <c r="BR101" s="1738"/>
      <c r="BS101" s="1738"/>
      <c r="BT101" s="1738"/>
      <c r="BU101" s="1738"/>
      <c r="BV101" s="1738"/>
      <c r="BW101" s="1738"/>
      <c r="BX101" s="1738"/>
      <c r="BY101" s="1738"/>
      <c r="BZ101" s="1738"/>
      <c r="CA101" s="1739"/>
      <c r="CB101" s="1740" t="s">
        <v>687</v>
      </c>
      <c r="CC101" s="1741"/>
      <c r="CD101" s="1741"/>
      <c r="CE101" s="1741"/>
      <c r="CF101" s="1741"/>
      <c r="CG101" s="1741"/>
      <c r="CH101" s="1741"/>
      <c r="CI101" s="1741"/>
      <c r="CJ101" s="1741"/>
      <c r="CK101" s="1741"/>
      <c r="CL101" s="1741"/>
      <c r="CM101" s="1741"/>
      <c r="CN101" s="1742"/>
    </row>
    <row r="102" spans="1:98" s="6" customFormat="1" ht="28.5" customHeight="1" x14ac:dyDescent="0.2">
      <c r="A102" s="1705"/>
      <c r="B102" s="1708"/>
      <c r="C102" s="1708"/>
      <c r="D102" s="1729"/>
      <c r="E102" s="26">
        <v>1</v>
      </c>
      <c r="F102" s="26">
        <v>2</v>
      </c>
      <c r="G102" s="26">
        <v>3</v>
      </c>
      <c r="H102" s="26">
        <v>4</v>
      </c>
      <c r="I102" s="26">
        <v>5</v>
      </c>
      <c r="J102" s="26">
        <v>6</v>
      </c>
      <c r="K102" s="26">
        <v>7</v>
      </c>
      <c r="L102" s="26">
        <v>8</v>
      </c>
      <c r="M102" s="26">
        <v>9</v>
      </c>
      <c r="N102" s="26">
        <v>10</v>
      </c>
      <c r="O102" s="26">
        <v>11</v>
      </c>
      <c r="P102" s="26">
        <v>12</v>
      </c>
      <c r="Q102" s="26" t="s">
        <v>21</v>
      </c>
      <c r="R102" s="1708"/>
      <c r="S102" s="1713"/>
      <c r="T102" s="26">
        <v>1</v>
      </c>
      <c r="U102" s="26">
        <v>2</v>
      </c>
      <c r="V102" s="26">
        <v>3</v>
      </c>
      <c r="W102" s="26">
        <v>4</v>
      </c>
      <c r="X102" s="26">
        <v>5</v>
      </c>
      <c r="Y102" s="26">
        <v>6</v>
      </c>
      <c r="Z102" s="26">
        <v>7</v>
      </c>
      <c r="AA102" s="26">
        <v>8</v>
      </c>
      <c r="AB102" s="26">
        <v>9</v>
      </c>
      <c r="AC102" s="26">
        <v>10</v>
      </c>
      <c r="AD102" s="26">
        <v>11</v>
      </c>
      <c r="AE102" s="26">
        <v>12</v>
      </c>
      <c r="AF102" s="1713"/>
      <c r="AG102" s="26">
        <v>1</v>
      </c>
      <c r="AH102" s="26">
        <v>2</v>
      </c>
      <c r="AI102" s="26">
        <v>3</v>
      </c>
      <c r="AJ102" s="26">
        <v>4</v>
      </c>
      <c r="AK102" s="26">
        <v>5</v>
      </c>
      <c r="AL102" s="26">
        <v>6</v>
      </c>
      <c r="AM102" s="26">
        <v>7</v>
      </c>
      <c r="AN102" s="26">
        <v>8</v>
      </c>
      <c r="AO102" s="26">
        <v>9</v>
      </c>
      <c r="AP102" s="26">
        <v>10</v>
      </c>
      <c r="AQ102" s="26">
        <v>11</v>
      </c>
      <c r="AR102" s="26">
        <v>12</v>
      </c>
      <c r="AS102" s="26" t="s">
        <v>13</v>
      </c>
      <c r="AT102" s="173">
        <v>1</v>
      </c>
      <c r="AU102" s="173">
        <v>2</v>
      </c>
      <c r="AV102" s="173">
        <v>3</v>
      </c>
      <c r="AW102" s="173">
        <v>4</v>
      </c>
      <c r="AX102" s="173">
        <v>5</v>
      </c>
      <c r="AY102" s="173">
        <v>6</v>
      </c>
      <c r="AZ102" s="173">
        <v>7</v>
      </c>
      <c r="BA102" s="173">
        <v>8</v>
      </c>
      <c r="BB102" s="173">
        <v>9</v>
      </c>
      <c r="BC102" s="173">
        <v>10</v>
      </c>
      <c r="BD102" s="173">
        <v>11</v>
      </c>
      <c r="BE102" s="173">
        <v>12</v>
      </c>
      <c r="BF102" s="26" t="s">
        <v>13</v>
      </c>
      <c r="BG102" s="1708"/>
      <c r="BH102" s="1708"/>
      <c r="BI102" s="1711"/>
      <c r="BJ102" s="7"/>
      <c r="BK102" s="1743" t="s">
        <v>19</v>
      </c>
      <c r="BL102" s="1744"/>
      <c r="BM102" s="1745"/>
      <c r="BN102" s="621"/>
      <c r="BO102" s="173">
        <v>1</v>
      </c>
      <c r="BP102" s="173">
        <v>2</v>
      </c>
      <c r="BQ102" s="173">
        <v>3</v>
      </c>
      <c r="BR102" s="173">
        <v>4</v>
      </c>
      <c r="BS102" s="173">
        <v>5</v>
      </c>
      <c r="BT102" s="173">
        <v>6</v>
      </c>
      <c r="BU102" s="173">
        <v>7</v>
      </c>
      <c r="BV102" s="173">
        <v>8</v>
      </c>
      <c r="BW102" s="173">
        <v>9</v>
      </c>
      <c r="BX102" s="173">
        <v>10</v>
      </c>
      <c r="BY102" s="173">
        <v>11</v>
      </c>
      <c r="BZ102" s="173">
        <v>12</v>
      </c>
      <c r="CA102" s="26" t="s">
        <v>13</v>
      </c>
      <c r="CB102" s="173">
        <v>1</v>
      </c>
      <c r="CC102" s="173">
        <v>2</v>
      </c>
      <c r="CD102" s="173">
        <v>3</v>
      </c>
      <c r="CE102" s="173">
        <v>4</v>
      </c>
      <c r="CF102" s="173">
        <v>5</v>
      </c>
      <c r="CG102" s="173">
        <v>6</v>
      </c>
      <c r="CH102" s="173">
        <v>7</v>
      </c>
      <c r="CI102" s="173">
        <v>8</v>
      </c>
      <c r="CJ102" s="173">
        <v>9</v>
      </c>
      <c r="CK102" s="173">
        <v>10</v>
      </c>
      <c r="CL102" s="173">
        <v>11</v>
      </c>
      <c r="CM102" s="173">
        <v>12</v>
      </c>
      <c r="CN102" s="26" t="s">
        <v>13</v>
      </c>
    </row>
    <row r="103" spans="1:98" s="7" customFormat="1" ht="24.75" customHeight="1" x14ac:dyDescent="0.2">
      <c r="A103" s="41"/>
      <c r="B103" s="141" t="s">
        <v>89</v>
      </c>
      <c r="C103" s="29" t="s">
        <v>25</v>
      </c>
      <c r="D103" s="555">
        <v>30</v>
      </c>
      <c r="E103" s="1206">
        <v>30</v>
      </c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1">
        <f>SUM(E103:P103)</f>
        <v>30</v>
      </c>
      <c r="R103" s="83" t="s">
        <v>31</v>
      </c>
      <c r="S103" s="142">
        <v>10300</v>
      </c>
      <c r="T103" s="1322">
        <v>10300</v>
      </c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69">
        <f t="shared" ref="AF103:AF106" si="232">SUM(Q103*S103)</f>
        <v>309000</v>
      </c>
      <c r="AG103" s="1128">
        <f t="shared" ref="AG103:AI106" si="233">T103*E103</f>
        <v>309000</v>
      </c>
      <c r="AH103" s="70">
        <f t="shared" si="233"/>
        <v>0</v>
      </c>
      <c r="AI103" s="70">
        <f t="shared" si="233"/>
        <v>0</v>
      </c>
      <c r="AJ103" s="70">
        <f t="shared" ref="AJ103:AR106" si="234">W103*H103</f>
        <v>0</v>
      </c>
      <c r="AK103" s="70">
        <f t="shared" si="234"/>
        <v>0</v>
      </c>
      <c r="AL103" s="70">
        <f t="shared" si="234"/>
        <v>0</v>
      </c>
      <c r="AM103" s="70">
        <f t="shared" si="234"/>
        <v>0</v>
      </c>
      <c r="AN103" s="70">
        <f t="shared" si="234"/>
        <v>0</v>
      </c>
      <c r="AO103" s="70">
        <f t="shared" si="234"/>
        <v>0</v>
      </c>
      <c r="AP103" s="70">
        <f t="shared" si="234"/>
        <v>0</v>
      </c>
      <c r="AQ103" s="70">
        <f t="shared" si="234"/>
        <v>0</v>
      </c>
      <c r="AR103" s="70">
        <f t="shared" si="234"/>
        <v>0</v>
      </c>
      <c r="AS103" s="71">
        <f>SUM(AG103:AR103)</f>
        <v>309000</v>
      </c>
      <c r="AT103" s="1129">
        <v>0</v>
      </c>
      <c r="AU103" s="70">
        <f t="shared" ref="AU103:AV106" si="235">SUM(AH103*14%)</f>
        <v>0</v>
      </c>
      <c r="AV103" s="70">
        <f t="shared" si="235"/>
        <v>0</v>
      </c>
      <c r="AW103" s="70">
        <f t="shared" ref="AW103:BE106" si="236">SUM(AJ103*14%)</f>
        <v>0</v>
      </c>
      <c r="AX103" s="70">
        <f t="shared" si="236"/>
        <v>0</v>
      </c>
      <c r="AY103" s="70">
        <f t="shared" si="236"/>
        <v>0</v>
      </c>
      <c r="AZ103" s="70">
        <f t="shared" si="236"/>
        <v>0</v>
      </c>
      <c r="BA103" s="70">
        <f t="shared" si="236"/>
        <v>0</v>
      </c>
      <c r="BB103" s="70">
        <f t="shared" si="236"/>
        <v>0</v>
      </c>
      <c r="BC103" s="70">
        <f t="shared" si="236"/>
        <v>0</v>
      </c>
      <c r="BD103" s="70">
        <f t="shared" si="236"/>
        <v>0</v>
      </c>
      <c r="BE103" s="70">
        <f t="shared" si="236"/>
        <v>0</v>
      </c>
      <c r="BF103" s="72">
        <f>SUM(AT103:BE103)</f>
        <v>0</v>
      </c>
      <c r="BG103" s="73">
        <f>AF103-AS103-BF103</f>
        <v>0</v>
      </c>
      <c r="BH103" s="74">
        <f>S103*D103</f>
        <v>309000</v>
      </c>
      <c r="BI103" s="75">
        <f>BH103-AS103-BF103</f>
        <v>0</v>
      </c>
      <c r="BJ103" s="175">
        <f>SUM(Q103/D103)</f>
        <v>1</v>
      </c>
      <c r="BK103" s="1081">
        <f>AG103-BO103-CB103</f>
        <v>271920</v>
      </c>
      <c r="BL103" s="1081">
        <f>30*9000</f>
        <v>270000</v>
      </c>
      <c r="BM103" s="1107">
        <f>BK103-BL103</f>
        <v>1920</v>
      </c>
      <c r="BN103" s="1084"/>
      <c r="BO103" s="1103">
        <f>AG103*2%</f>
        <v>6180</v>
      </c>
      <c r="BP103" s="862"/>
      <c r="BQ103" s="862"/>
      <c r="BR103" s="862"/>
      <c r="BS103" s="862"/>
      <c r="BT103" s="862"/>
      <c r="BU103" s="862"/>
      <c r="BV103" s="862"/>
      <c r="BW103" s="1128">
        <f t="shared" ref="BW103:BW104" si="237">SUM(AN103*12.5%)</f>
        <v>0</v>
      </c>
      <c r="BX103" s="862"/>
      <c r="BY103" s="862"/>
      <c r="BZ103" s="862"/>
      <c r="CA103" s="73">
        <f t="shared" ref="CA103" si="238">SUM(BO103:BZ103)</f>
        <v>6180</v>
      </c>
      <c r="CB103" s="1103">
        <f>AG103*10%</f>
        <v>30900</v>
      </c>
      <c r="CC103" s="862"/>
      <c r="CD103" s="862"/>
      <c r="CE103" s="862"/>
      <c r="CF103" s="862"/>
      <c r="CG103" s="862"/>
      <c r="CH103" s="862"/>
      <c r="CI103" s="862"/>
      <c r="CJ103" s="1128"/>
      <c r="CK103" s="862"/>
      <c r="CL103" s="862"/>
      <c r="CM103" s="862"/>
      <c r="CN103" s="73">
        <f t="shared" ref="CN103:CN104" si="239">SUM(CB103:CM103)</f>
        <v>30900</v>
      </c>
    </row>
    <row r="104" spans="1:98" s="7" customFormat="1" ht="24.75" customHeight="1" x14ac:dyDescent="0.2">
      <c r="A104" s="41"/>
      <c r="B104" s="141" t="s">
        <v>90</v>
      </c>
      <c r="C104" s="29" t="s">
        <v>25</v>
      </c>
      <c r="D104" s="555">
        <v>30</v>
      </c>
      <c r="E104" s="1206">
        <v>30</v>
      </c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1">
        <f>SUM(E104:P104)</f>
        <v>30</v>
      </c>
      <c r="R104" s="83" t="s">
        <v>31</v>
      </c>
      <c r="S104" s="142">
        <v>28500</v>
      </c>
      <c r="T104" s="1322">
        <v>28000</v>
      </c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69">
        <f t="shared" si="232"/>
        <v>855000</v>
      </c>
      <c r="AG104" s="1128">
        <f t="shared" si="233"/>
        <v>840000</v>
      </c>
      <c r="AH104" s="70">
        <f t="shared" si="233"/>
        <v>0</v>
      </c>
      <c r="AI104" s="70">
        <f t="shared" si="233"/>
        <v>0</v>
      </c>
      <c r="AJ104" s="70">
        <f t="shared" si="234"/>
        <v>0</v>
      </c>
      <c r="AK104" s="70">
        <f t="shared" si="234"/>
        <v>0</v>
      </c>
      <c r="AL104" s="70">
        <f t="shared" si="234"/>
        <v>0</v>
      </c>
      <c r="AM104" s="70">
        <f t="shared" si="234"/>
        <v>0</v>
      </c>
      <c r="AN104" s="70">
        <f t="shared" si="234"/>
        <v>0</v>
      </c>
      <c r="AO104" s="70">
        <f t="shared" si="234"/>
        <v>0</v>
      </c>
      <c r="AP104" s="70">
        <f t="shared" si="234"/>
        <v>0</v>
      </c>
      <c r="AQ104" s="70">
        <f t="shared" si="234"/>
        <v>0</v>
      </c>
      <c r="AR104" s="70">
        <f t="shared" si="234"/>
        <v>0</v>
      </c>
      <c r="AS104" s="71">
        <f>SUM(AG104:AR104)</f>
        <v>840000</v>
      </c>
      <c r="AT104" s="1129">
        <v>0</v>
      </c>
      <c r="AU104" s="70">
        <f t="shared" si="235"/>
        <v>0</v>
      </c>
      <c r="AV104" s="70">
        <f t="shared" si="235"/>
        <v>0</v>
      </c>
      <c r="AW104" s="70">
        <f t="shared" si="236"/>
        <v>0</v>
      </c>
      <c r="AX104" s="70">
        <f t="shared" si="236"/>
        <v>0</v>
      </c>
      <c r="AY104" s="70">
        <f t="shared" si="236"/>
        <v>0</v>
      </c>
      <c r="AZ104" s="70">
        <f t="shared" si="236"/>
        <v>0</v>
      </c>
      <c r="BA104" s="70">
        <f t="shared" si="236"/>
        <v>0</v>
      </c>
      <c r="BB104" s="70">
        <f t="shared" si="236"/>
        <v>0</v>
      </c>
      <c r="BC104" s="70">
        <f t="shared" si="236"/>
        <v>0</v>
      </c>
      <c r="BD104" s="70">
        <f t="shared" si="236"/>
        <v>0</v>
      </c>
      <c r="BE104" s="70">
        <f t="shared" si="236"/>
        <v>0</v>
      </c>
      <c r="BF104" s="72">
        <f>SUM(AT104:BE104)</f>
        <v>0</v>
      </c>
      <c r="BG104" s="73">
        <f>AF104-AS104-BF104</f>
        <v>15000</v>
      </c>
      <c r="BH104" s="74">
        <f>S104*D104</f>
        <v>855000</v>
      </c>
      <c r="BI104" s="75">
        <f>BH104-AS104-BF104</f>
        <v>15000</v>
      </c>
      <c r="BJ104" s="175">
        <f>SUM(Q104/D104)</f>
        <v>1</v>
      </c>
      <c r="BK104" s="1081">
        <f>AG104-BO104-CB104</f>
        <v>739200</v>
      </c>
      <c r="BL104" s="1081">
        <f>24000*30</f>
        <v>720000</v>
      </c>
      <c r="BM104" s="1107">
        <f t="shared" ref="BM104" si="240">SUM(BK104-BL104)</f>
        <v>19200</v>
      </c>
      <c r="BN104" s="1084"/>
      <c r="BO104" s="1103">
        <f>AG104*2%</f>
        <v>16800</v>
      </c>
      <c r="BP104" s="862"/>
      <c r="BQ104" s="862"/>
      <c r="BR104" s="862"/>
      <c r="BS104" s="862"/>
      <c r="BT104" s="862"/>
      <c r="BU104" s="862"/>
      <c r="BV104" s="862"/>
      <c r="BW104" s="1128">
        <f t="shared" si="237"/>
        <v>0</v>
      </c>
      <c r="BX104" s="862"/>
      <c r="BY104" s="862"/>
      <c r="BZ104" s="862"/>
      <c r="CA104" s="73">
        <f t="shared" ref="CA104" si="241">SUM(BO104:BZ104)</f>
        <v>16800</v>
      </c>
      <c r="CB104" s="1103">
        <f>AG104*10%</f>
        <v>84000</v>
      </c>
      <c r="CC104" s="862"/>
      <c r="CD104" s="862"/>
      <c r="CE104" s="862"/>
      <c r="CF104" s="862"/>
      <c r="CG104" s="862"/>
      <c r="CH104" s="862"/>
      <c r="CI104" s="862"/>
      <c r="CJ104" s="1128"/>
      <c r="CK104" s="862"/>
      <c r="CL104" s="862"/>
      <c r="CM104" s="862"/>
      <c r="CN104" s="73">
        <f t="shared" si="239"/>
        <v>84000</v>
      </c>
    </row>
    <row r="105" spans="1:98" s="7" customFormat="1" ht="24.75" customHeight="1" x14ac:dyDescent="0.2">
      <c r="A105" s="41"/>
      <c r="B105" s="141" t="s">
        <v>109</v>
      </c>
      <c r="C105" s="29" t="s">
        <v>25</v>
      </c>
      <c r="D105" s="555">
        <v>4</v>
      </c>
      <c r="E105" s="1206">
        <v>4</v>
      </c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>SUM(E105:P105)</f>
        <v>4</v>
      </c>
      <c r="R105" s="83" t="s">
        <v>2</v>
      </c>
      <c r="S105" s="142">
        <v>49900</v>
      </c>
      <c r="T105" s="1322">
        <v>49900</v>
      </c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69">
        <f t="shared" si="232"/>
        <v>199600</v>
      </c>
      <c r="AG105" s="1128">
        <f t="shared" si="233"/>
        <v>199600</v>
      </c>
      <c r="AH105" s="70">
        <f t="shared" si="233"/>
        <v>0</v>
      </c>
      <c r="AI105" s="70">
        <f t="shared" si="233"/>
        <v>0</v>
      </c>
      <c r="AJ105" s="70">
        <f t="shared" si="234"/>
        <v>0</v>
      </c>
      <c r="AK105" s="70">
        <f t="shared" si="234"/>
        <v>0</v>
      </c>
      <c r="AL105" s="70">
        <f t="shared" si="234"/>
        <v>0</v>
      </c>
      <c r="AM105" s="70">
        <f t="shared" si="234"/>
        <v>0</v>
      </c>
      <c r="AN105" s="70">
        <f t="shared" si="234"/>
        <v>0</v>
      </c>
      <c r="AO105" s="70">
        <f t="shared" si="234"/>
        <v>0</v>
      </c>
      <c r="AP105" s="70">
        <f t="shared" si="234"/>
        <v>0</v>
      </c>
      <c r="AQ105" s="70">
        <f t="shared" si="234"/>
        <v>0</v>
      </c>
      <c r="AR105" s="70">
        <f t="shared" si="234"/>
        <v>0</v>
      </c>
      <c r="AS105" s="71">
        <f>SUM(AG105:AR105)</f>
        <v>199600</v>
      </c>
      <c r="AT105" s="1129">
        <v>0</v>
      </c>
      <c r="AU105" s="70">
        <f t="shared" si="235"/>
        <v>0</v>
      </c>
      <c r="AV105" s="70">
        <f t="shared" si="235"/>
        <v>0</v>
      </c>
      <c r="AW105" s="70">
        <f t="shared" si="236"/>
        <v>0</v>
      </c>
      <c r="AX105" s="70">
        <f t="shared" si="236"/>
        <v>0</v>
      </c>
      <c r="AY105" s="70">
        <f t="shared" si="236"/>
        <v>0</v>
      </c>
      <c r="AZ105" s="70">
        <f t="shared" si="236"/>
        <v>0</v>
      </c>
      <c r="BA105" s="70">
        <f t="shared" si="236"/>
        <v>0</v>
      </c>
      <c r="BB105" s="70">
        <f t="shared" si="236"/>
        <v>0</v>
      </c>
      <c r="BC105" s="70">
        <f t="shared" si="236"/>
        <v>0</v>
      </c>
      <c r="BD105" s="70">
        <f t="shared" si="236"/>
        <v>0</v>
      </c>
      <c r="BE105" s="70">
        <f t="shared" si="236"/>
        <v>0</v>
      </c>
      <c r="BF105" s="72">
        <f>SUM(AT105:BE105)</f>
        <v>0</v>
      </c>
      <c r="BG105" s="73">
        <f>AF105-AS105-BF105</f>
        <v>0</v>
      </c>
      <c r="BH105" s="74">
        <f>S105*D105</f>
        <v>199600</v>
      </c>
      <c r="BI105" s="75">
        <f>BH105-AS105-BF105</f>
        <v>0</v>
      </c>
      <c r="BJ105" s="175">
        <f>SUM(Q105/D105)</f>
        <v>1</v>
      </c>
      <c r="BK105" s="1081">
        <f>AG105-BO105</f>
        <v>195608</v>
      </c>
      <c r="BL105" s="1081">
        <f>48000*4</f>
        <v>192000</v>
      </c>
      <c r="BM105" s="1107">
        <f t="shared" ref="BM105:BM106" si="242">SUM(BK105-BL105)</f>
        <v>3608</v>
      </c>
      <c r="BN105" s="1084"/>
      <c r="BO105" s="1103">
        <f>AG105*2%</f>
        <v>3992</v>
      </c>
      <c r="BP105" s="862"/>
      <c r="BQ105" s="862"/>
      <c r="BR105" s="862"/>
      <c r="BS105" s="862"/>
      <c r="BT105" s="862"/>
      <c r="BU105" s="862"/>
      <c r="BV105" s="862"/>
      <c r="BW105" s="1128">
        <f t="shared" ref="BW105:BW107" si="243">SUM(AN105*12.5%)</f>
        <v>0</v>
      </c>
      <c r="BX105" s="862"/>
      <c r="BY105" s="862"/>
      <c r="BZ105" s="862"/>
      <c r="CA105" s="73">
        <f t="shared" ref="CA105:CA107" si="244">SUM(BO105:BZ105)</f>
        <v>3992</v>
      </c>
      <c r="CB105" s="1103"/>
      <c r="CC105" s="862"/>
      <c r="CD105" s="862"/>
      <c r="CE105" s="862"/>
      <c r="CF105" s="862"/>
      <c r="CG105" s="862"/>
      <c r="CH105" s="862"/>
      <c r="CI105" s="862"/>
      <c r="CJ105" s="1128"/>
      <c r="CK105" s="862"/>
      <c r="CL105" s="862"/>
      <c r="CM105" s="862"/>
      <c r="CN105" s="73">
        <f t="shared" ref="CN105:CN107" si="245">SUM(CB105:CM105)</f>
        <v>0</v>
      </c>
    </row>
    <row r="106" spans="1:98" s="7" customFormat="1" ht="24.75" customHeight="1" thickBot="1" x14ac:dyDescent="0.25">
      <c r="A106" s="41"/>
      <c r="B106" s="141" t="s">
        <v>92</v>
      </c>
      <c r="C106" s="29" t="s">
        <v>25</v>
      </c>
      <c r="D106" s="226">
        <v>2</v>
      </c>
      <c r="E106" s="1206">
        <v>2</v>
      </c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1">
        <f>SUM(E106:P106)</f>
        <v>2</v>
      </c>
      <c r="R106" s="83" t="s">
        <v>16</v>
      </c>
      <c r="S106" s="142">
        <v>35000</v>
      </c>
      <c r="T106" s="1322">
        <v>35000</v>
      </c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69">
        <f t="shared" si="232"/>
        <v>70000</v>
      </c>
      <c r="AG106" s="1128">
        <f t="shared" si="233"/>
        <v>70000</v>
      </c>
      <c r="AH106" s="70">
        <f t="shared" si="233"/>
        <v>0</v>
      </c>
      <c r="AI106" s="70">
        <f t="shared" si="233"/>
        <v>0</v>
      </c>
      <c r="AJ106" s="70">
        <f t="shared" si="234"/>
        <v>0</v>
      </c>
      <c r="AK106" s="70">
        <f t="shared" si="234"/>
        <v>0</v>
      </c>
      <c r="AL106" s="70">
        <f t="shared" si="234"/>
        <v>0</v>
      </c>
      <c r="AM106" s="70">
        <f t="shared" si="234"/>
        <v>0</v>
      </c>
      <c r="AN106" s="70">
        <f t="shared" si="234"/>
        <v>0</v>
      </c>
      <c r="AO106" s="70">
        <f t="shared" si="234"/>
        <v>0</v>
      </c>
      <c r="AP106" s="70">
        <f t="shared" si="234"/>
        <v>0</v>
      </c>
      <c r="AQ106" s="70">
        <f t="shared" si="234"/>
        <v>0</v>
      </c>
      <c r="AR106" s="70">
        <f t="shared" si="234"/>
        <v>0</v>
      </c>
      <c r="AS106" s="71">
        <f>SUM(AG106:AR106)</f>
        <v>70000</v>
      </c>
      <c r="AT106" s="1129">
        <v>0</v>
      </c>
      <c r="AU106" s="70">
        <f t="shared" si="235"/>
        <v>0</v>
      </c>
      <c r="AV106" s="70">
        <f t="shared" si="235"/>
        <v>0</v>
      </c>
      <c r="AW106" s="70">
        <f t="shared" si="236"/>
        <v>0</v>
      </c>
      <c r="AX106" s="70">
        <f t="shared" si="236"/>
        <v>0</v>
      </c>
      <c r="AY106" s="70">
        <f t="shared" si="236"/>
        <v>0</v>
      </c>
      <c r="AZ106" s="70">
        <f t="shared" si="236"/>
        <v>0</v>
      </c>
      <c r="BA106" s="70">
        <f t="shared" si="236"/>
        <v>0</v>
      </c>
      <c r="BB106" s="70">
        <f t="shared" si="236"/>
        <v>0</v>
      </c>
      <c r="BC106" s="70">
        <f t="shared" si="236"/>
        <v>0</v>
      </c>
      <c r="BD106" s="70">
        <f t="shared" si="236"/>
        <v>0</v>
      </c>
      <c r="BE106" s="70">
        <f t="shared" si="236"/>
        <v>0</v>
      </c>
      <c r="BF106" s="72">
        <f>SUM(AT106:BE106)</f>
        <v>0</v>
      </c>
      <c r="BG106" s="73">
        <f>AF106-AS106-BF106</f>
        <v>0</v>
      </c>
      <c r="BH106" s="74">
        <f>S106*D106</f>
        <v>70000</v>
      </c>
      <c r="BI106" s="75">
        <f>BH106-AS106-BF106</f>
        <v>0</v>
      </c>
      <c r="BJ106" s="175">
        <f>SUM(Q106/D106)</f>
        <v>1</v>
      </c>
      <c r="BK106" s="1081">
        <f>AG106-BO106</f>
        <v>68600</v>
      </c>
      <c r="BL106" s="1081">
        <f>30000*2</f>
        <v>60000</v>
      </c>
      <c r="BM106" s="1107">
        <f t="shared" si="242"/>
        <v>8600</v>
      </c>
      <c r="BN106" s="1084"/>
      <c r="BO106" s="1103">
        <f>AG106*2%</f>
        <v>1400</v>
      </c>
      <c r="BP106" s="862"/>
      <c r="BQ106" s="862"/>
      <c r="BR106" s="862"/>
      <c r="BS106" s="862"/>
      <c r="BT106" s="862"/>
      <c r="BU106" s="862"/>
      <c r="BV106" s="862"/>
      <c r="BW106" s="1128">
        <f t="shared" si="243"/>
        <v>0</v>
      </c>
      <c r="BX106" s="862"/>
      <c r="BY106" s="862"/>
      <c r="BZ106" s="862"/>
      <c r="CA106" s="73">
        <f t="shared" si="244"/>
        <v>1400</v>
      </c>
      <c r="CB106" s="1103"/>
      <c r="CC106" s="862"/>
      <c r="CD106" s="862"/>
      <c r="CE106" s="862"/>
      <c r="CF106" s="862"/>
      <c r="CG106" s="862"/>
      <c r="CH106" s="862"/>
      <c r="CI106" s="862"/>
      <c r="CJ106" s="1128"/>
      <c r="CK106" s="862"/>
      <c r="CL106" s="862"/>
      <c r="CM106" s="862"/>
      <c r="CN106" s="73">
        <f t="shared" si="245"/>
        <v>0</v>
      </c>
    </row>
    <row r="107" spans="1:98" s="38" customFormat="1" ht="24.75" customHeight="1" thickBot="1" x14ac:dyDescent="0.25">
      <c r="A107" s="554">
        <v>10</v>
      </c>
      <c r="B107" s="44" t="s">
        <v>4</v>
      </c>
      <c r="C107" s="44"/>
      <c r="D107" s="227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7"/>
      <c r="R107" s="77"/>
      <c r="S107" s="45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78">
        <f t="shared" ref="AF107:BF107" si="246">SUM(AF103:AF106)</f>
        <v>1433600</v>
      </c>
      <c r="AG107" s="78">
        <f>SUM(AG103:AG106)-200000</f>
        <v>1218600</v>
      </c>
      <c r="AH107" s="78">
        <f t="shared" si="246"/>
        <v>0</v>
      </c>
      <c r="AI107" s="78">
        <f t="shared" si="246"/>
        <v>0</v>
      </c>
      <c r="AJ107" s="78">
        <f t="shared" ref="AJ107:AR107" si="247">SUM(AJ103:AJ106)</f>
        <v>0</v>
      </c>
      <c r="AK107" s="78">
        <f t="shared" si="247"/>
        <v>0</v>
      </c>
      <c r="AL107" s="78">
        <f t="shared" si="247"/>
        <v>0</v>
      </c>
      <c r="AM107" s="78">
        <f t="shared" si="247"/>
        <v>0</v>
      </c>
      <c r="AN107" s="78">
        <f t="shared" si="247"/>
        <v>0</v>
      </c>
      <c r="AO107" s="78">
        <f t="shared" si="247"/>
        <v>0</v>
      </c>
      <c r="AP107" s="78">
        <f t="shared" si="247"/>
        <v>0</v>
      </c>
      <c r="AQ107" s="78">
        <f t="shared" si="247"/>
        <v>0</v>
      </c>
      <c r="AR107" s="78">
        <f t="shared" si="247"/>
        <v>0</v>
      </c>
      <c r="AS107" s="78">
        <f>SUM(AS103:AS106)-200000</f>
        <v>1218600</v>
      </c>
      <c r="AT107" s="78">
        <v>0</v>
      </c>
      <c r="AU107" s="78">
        <f t="shared" si="246"/>
        <v>0</v>
      </c>
      <c r="AV107" s="78">
        <f t="shared" si="246"/>
        <v>0</v>
      </c>
      <c r="AW107" s="78">
        <f t="shared" ref="AW107:BE107" si="248">SUM(AW103:AW106)</f>
        <v>0</v>
      </c>
      <c r="AX107" s="78">
        <f t="shared" si="248"/>
        <v>0</v>
      </c>
      <c r="AY107" s="78">
        <f t="shared" si="248"/>
        <v>0</v>
      </c>
      <c r="AZ107" s="78">
        <f t="shared" si="248"/>
        <v>0</v>
      </c>
      <c r="BA107" s="78">
        <f t="shared" si="248"/>
        <v>0</v>
      </c>
      <c r="BB107" s="78">
        <f t="shared" si="248"/>
        <v>0</v>
      </c>
      <c r="BC107" s="78">
        <f t="shared" si="248"/>
        <v>0</v>
      </c>
      <c r="BD107" s="78">
        <f t="shared" si="248"/>
        <v>0</v>
      </c>
      <c r="BE107" s="78">
        <f t="shared" si="248"/>
        <v>0</v>
      </c>
      <c r="BF107" s="78">
        <f t="shared" si="246"/>
        <v>0</v>
      </c>
      <c r="BG107" s="79">
        <f>SUM(BG103:BG106)</f>
        <v>15000</v>
      </c>
      <c r="BH107" s="78">
        <f>SUM(BH103:BH106)</f>
        <v>1433600</v>
      </c>
      <c r="BI107" s="78">
        <f>SUM(BI103:BI106)</f>
        <v>15000</v>
      </c>
      <c r="BJ107" s="176">
        <f>SUM(BJ103:BJ106)/4</f>
        <v>1</v>
      </c>
      <c r="BK107" s="1107">
        <f>SUM(BK103:BK106)</f>
        <v>1275328</v>
      </c>
      <c r="BL107" s="1107">
        <f t="shared" ref="BL107" si="249">35000*5</f>
        <v>175000</v>
      </c>
      <c r="BM107" s="1083">
        <f>SUM(BM103:BM106)</f>
        <v>33328</v>
      </c>
      <c r="BN107" s="1084"/>
      <c r="BO107" s="862"/>
      <c r="BP107" s="862"/>
      <c r="BQ107" s="862"/>
      <c r="BR107" s="862"/>
      <c r="BS107" s="862"/>
      <c r="BT107" s="862"/>
      <c r="BU107" s="862"/>
      <c r="BV107" s="862"/>
      <c r="BW107" s="1128">
        <f t="shared" si="243"/>
        <v>0</v>
      </c>
      <c r="BX107" s="862"/>
      <c r="BY107" s="862"/>
      <c r="BZ107" s="862"/>
      <c r="CA107" s="73">
        <f t="shared" si="244"/>
        <v>0</v>
      </c>
      <c r="CB107" s="862"/>
      <c r="CC107" s="862"/>
      <c r="CD107" s="862"/>
      <c r="CE107" s="862"/>
      <c r="CF107" s="862"/>
      <c r="CG107" s="862"/>
      <c r="CH107" s="862"/>
      <c r="CI107" s="862"/>
      <c r="CJ107" s="1128"/>
      <c r="CK107" s="862"/>
      <c r="CL107" s="862"/>
      <c r="CM107" s="862"/>
      <c r="CN107" s="73">
        <f t="shared" si="245"/>
        <v>0</v>
      </c>
    </row>
    <row r="108" spans="1:98" s="20" customFormat="1" ht="24.75" customHeight="1" x14ac:dyDescent="0.2">
      <c r="A108" s="50"/>
      <c r="D108" s="22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AE108" s="40"/>
      <c r="AS108" s="51"/>
      <c r="BF108" s="52">
        <f>SUM(AS107+BF107)</f>
        <v>1218600</v>
      </c>
      <c r="BG108" s="53">
        <f>AF107-AS107-BF107</f>
        <v>215000</v>
      </c>
      <c r="BH108" s="54">
        <f>SUM(BI107+AS107)</f>
        <v>1233600</v>
      </c>
      <c r="BI108" s="55">
        <f>SUM(BG107)</f>
        <v>15000</v>
      </c>
      <c r="BJ108" s="40" t="s">
        <v>38</v>
      </c>
      <c r="BK108" s="40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</row>
    <row r="109" spans="1:98" s="20" customFormat="1" ht="24.75" customHeight="1" x14ac:dyDescent="0.2">
      <c r="A109" s="50"/>
      <c r="D109" s="22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AE109" s="40"/>
      <c r="AS109" s="40"/>
      <c r="AT109" s="123">
        <f>SUM(AG107+AT107)</f>
        <v>1218600</v>
      </c>
      <c r="AU109" s="123">
        <f t="shared" ref="AU109:BE109" si="250">SUM(AH107+AU107)</f>
        <v>0</v>
      </c>
      <c r="AV109" s="123">
        <f t="shared" si="250"/>
        <v>0</v>
      </c>
      <c r="AW109" s="123">
        <f t="shared" si="250"/>
        <v>0</v>
      </c>
      <c r="AX109" s="123">
        <f t="shared" si="250"/>
        <v>0</v>
      </c>
      <c r="AY109" s="123">
        <f t="shared" si="250"/>
        <v>0</v>
      </c>
      <c r="AZ109" s="123">
        <f t="shared" si="250"/>
        <v>0</v>
      </c>
      <c r="BA109" s="123">
        <f t="shared" si="250"/>
        <v>0</v>
      </c>
      <c r="BB109" s="123">
        <f t="shared" si="250"/>
        <v>0</v>
      </c>
      <c r="BC109" s="123">
        <f t="shared" si="250"/>
        <v>0</v>
      </c>
      <c r="BD109" s="123">
        <f t="shared" si="250"/>
        <v>0</v>
      </c>
      <c r="BE109" s="123">
        <f t="shared" si="250"/>
        <v>0</v>
      </c>
      <c r="BF109" s="123">
        <f>SUM(AT109:BE109)</f>
        <v>1218600</v>
      </c>
      <c r="BG109" s="40"/>
      <c r="BH109" s="56"/>
      <c r="BI109" s="57">
        <f>SUM(BI107-BI108)</f>
        <v>0</v>
      </c>
      <c r="BJ109" s="40" t="s">
        <v>37</v>
      </c>
      <c r="BK109" s="40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</row>
    <row r="110" spans="1:98" s="20" customFormat="1" ht="16.5" customHeight="1" x14ac:dyDescent="0.2">
      <c r="A110" s="1730" t="s">
        <v>8</v>
      </c>
      <c r="B110" s="1731"/>
      <c r="C110" s="124" t="s">
        <v>110</v>
      </c>
      <c r="D110" s="224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7"/>
      <c r="AF110" s="23"/>
      <c r="AG110" s="136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8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8"/>
      <c r="BG110" s="138"/>
      <c r="BH110" s="135"/>
      <c r="BI110" s="139"/>
      <c r="BJ110" s="135"/>
      <c r="BK110" s="136"/>
      <c r="BL110" s="136"/>
      <c r="BM110" s="136"/>
      <c r="BN110" s="136"/>
      <c r="BO110" s="136"/>
      <c r="BP110" s="137"/>
      <c r="BQ110" s="136"/>
      <c r="BR110" s="136"/>
      <c r="BS110" s="136"/>
      <c r="BT110" s="136"/>
      <c r="BU110" s="136"/>
      <c r="BV110" s="138"/>
      <c r="BW110" s="138"/>
      <c r="BX110" s="138"/>
      <c r="BY110" s="135"/>
      <c r="BZ110" s="139"/>
      <c r="CA110" s="138"/>
      <c r="CB110" s="138"/>
      <c r="CC110" s="24"/>
      <c r="CD110" s="24"/>
      <c r="CE110" s="24"/>
      <c r="CF110" s="24"/>
      <c r="CG110" s="24"/>
      <c r="CH110" s="140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</row>
    <row r="111" spans="1:98" s="8" customFormat="1" ht="48.75" customHeight="1" x14ac:dyDescent="0.2">
      <c r="A111" s="1703" t="s">
        <v>10</v>
      </c>
      <c r="B111" s="1706" t="s">
        <v>11</v>
      </c>
      <c r="C111" s="1706" t="s">
        <v>22</v>
      </c>
      <c r="D111" s="1721" t="s">
        <v>12</v>
      </c>
      <c r="E111" s="1721"/>
      <c r="F111" s="1721"/>
      <c r="G111" s="1721"/>
      <c r="H111" s="1721"/>
      <c r="I111" s="1721"/>
      <c r="J111" s="1721"/>
      <c r="K111" s="1721"/>
      <c r="L111" s="1721"/>
      <c r="M111" s="1721"/>
      <c r="N111" s="1721"/>
      <c r="O111" s="1721"/>
      <c r="P111" s="1721"/>
      <c r="Q111" s="1721"/>
      <c r="R111" s="1706" t="s">
        <v>20</v>
      </c>
      <c r="S111" s="1717" t="s">
        <v>17</v>
      </c>
      <c r="T111" s="1718"/>
      <c r="U111" s="1718"/>
      <c r="V111" s="1718"/>
      <c r="W111" s="1718"/>
      <c r="X111" s="1718"/>
      <c r="Y111" s="1718"/>
      <c r="Z111" s="1718"/>
      <c r="AA111" s="1718"/>
      <c r="AB111" s="1718"/>
      <c r="AC111" s="1718"/>
      <c r="AD111" s="1718"/>
      <c r="AE111" s="1719"/>
      <c r="AF111" s="1720" t="s">
        <v>6</v>
      </c>
      <c r="AG111" s="1720"/>
      <c r="AH111" s="1720"/>
      <c r="AI111" s="1720"/>
      <c r="AJ111" s="1720"/>
      <c r="AK111" s="1720"/>
      <c r="AL111" s="1720"/>
      <c r="AM111" s="1720"/>
      <c r="AN111" s="1720"/>
      <c r="AO111" s="1720"/>
      <c r="AP111" s="1720"/>
      <c r="AQ111" s="1720"/>
      <c r="AR111" s="1720"/>
      <c r="AS111" s="1720"/>
      <c r="AT111" s="1722" t="s">
        <v>41</v>
      </c>
      <c r="AU111" s="1723"/>
      <c r="AV111" s="1723"/>
      <c r="AW111" s="1723"/>
      <c r="AX111" s="1723"/>
      <c r="AY111" s="1723"/>
      <c r="AZ111" s="1723"/>
      <c r="BA111" s="1723"/>
      <c r="BB111" s="1723"/>
      <c r="BC111" s="1723"/>
      <c r="BD111" s="1723"/>
      <c r="BE111" s="1723"/>
      <c r="BF111" s="1724"/>
      <c r="BG111" s="1706" t="s">
        <v>38</v>
      </c>
      <c r="BH111" s="1706" t="s">
        <v>256</v>
      </c>
      <c r="BI111" s="1709" t="s">
        <v>39</v>
      </c>
      <c r="BJ111" s="135"/>
      <c r="BK111" s="135"/>
      <c r="BL111" s="135"/>
      <c r="BM111" s="135"/>
      <c r="BN111" s="135"/>
      <c r="BO111" s="1733" t="s">
        <v>41</v>
      </c>
      <c r="BP111" s="1734"/>
      <c r="BQ111" s="1734"/>
      <c r="BR111" s="1734"/>
      <c r="BS111" s="1734"/>
      <c r="BT111" s="1734"/>
      <c r="BU111" s="1734"/>
      <c r="BV111" s="1734"/>
      <c r="BW111" s="1734"/>
      <c r="BX111" s="1734"/>
      <c r="BY111" s="1734"/>
      <c r="BZ111" s="1734"/>
      <c r="CA111" s="1734"/>
      <c r="CB111" s="1734"/>
      <c r="CC111" s="1734"/>
      <c r="CD111" s="1734"/>
      <c r="CE111" s="1734"/>
      <c r="CF111" s="1734"/>
      <c r="CG111" s="1734"/>
      <c r="CH111" s="1734"/>
      <c r="CI111" s="1734"/>
      <c r="CJ111" s="1734"/>
      <c r="CK111" s="1734"/>
      <c r="CL111" s="1734"/>
      <c r="CM111" s="1734"/>
      <c r="CN111" s="1735"/>
    </row>
    <row r="112" spans="1:98" s="8" customFormat="1" ht="48.75" customHeight="1" x14ac:dyDescent="0.2">
      <c r="A112" s="1704"/>
      <c r="B112" s="1707"/>
      <c r="C112" s="1707"/>
      <c r="D112" s="1728" t="s">
        <v>18</v>
      </c>
      <c r="E112" s="1714" t="s">
        <v>19</v>
      </c>
      <c r="F112" s="1715"/>
      <c r="G112" s="1715"/>
      <c r="H112" s="1715"/>
      <c r="I112" s="1715"/>
      <c r="J112" s="1715"/>
      <c r="K112" s="1715"/>
      <c r="L112" s="1715"/>
      <c r="M112" s="1715"/>
      <c r="N112" s="1715"/>
      <c r="O112" s="1715"/>
      <c r="P112" s="1715"/>
      <c r="Q112" s="1715"/>
      <c r="R112" s="1707"/>
      <c r="S112" s="1712" t="s">
        <v>18</v>
      </c>
      <c r="T112" s="1714" t="s">
        <v>19</v>
      </c>
      <c r="U112" s="1715"/>
      <c r="V112" s="1715"/>
      <c r="W112" s="1715"/>
      <c r="X112" s="1715"/>
      <c r="Y112" s="1715"/>
      <c r="Z112" s="1715"/>
      <c r="AA112" s="1715"/>
      <c r="AB112" s="1715"/>
      <c r="AC112" s="1715"/>
      <c r="AD112" s="1715"/>
      <c r="AE112" s="1716"/>
      <c r="AF112" s="1712" t="s">
        <v>18</v>
      </c>
      <c r="AG112" s="1714" t="s">
        <v>19</v>
      </c>
      <c r="AH112" s="1715"/>
      <c r="AI112" s="1715"/>
      <c r="AJ112" s="1715"/>
      <c r="AK112" s="1715"/>
      <c r="AL112" s="1715"/>
      <c r="AM112" s="1715"/>
      <c r="AN112" s="1715"/>
      <c r="AO112" s="1715"/>
      <c r="AP112" s="1715"/>
      <c r="AQ112" s="1715"/>
      <c r="AR112" s="1715"/>
      <c r="AS112" s="1716"/>
      <c r="AT112" s="1725"/>
      <c r="AU112" s="1726"/>
      <c r="AV112" s="1726"/>
      <c r="AW112" s="1726"/>
      <c r="AX112" s="1726"/>
      <c r="AY112" s="1726"/>
      <c r="AZ112" s="1726"/>
      <c r="BA112" s="1726"/>
      <c r="BB112" s="1726"/>
      <c r="BC112" s="1726"/>
      <c r="BD112" s="1726"/>
      <c r="BE112" s="1726"/>
      <c r="BF112" s="1727"/>
      <c r="BG112" s="1707"/>
      <c r="BH112" s="1707"/>
      <c r="BI112" s="1710"/>
      <c r="BJ112" s="135"/>
      <c r="BK112" s="1736">
        <f>SUM(BK114/60)</f>
        <v>0</v>
      </c>
      <c r="BL112" s="1736"/>
      <c r="BM112" s="1736"/>
      <c r="BN112" s="23"/>
      <c r="BO112" s="1737" t="s">
        <v>686</v>
      </c>
      <c r="BP112" s="1738"/>
      <c r="BQ112" s="1738"/>
      <c r="BR112" s="1738"/>
      <c r="BS112" s="1738"/>
      <c r="BT112" s="1738"/>
      <c r="BU112" s="1738"/>
      <c r="BV112" s="1738"/>
      <c r="BW112" s="1738"/>
      <c r="BX112" s="1738"/>
      <c r="BY112" s="1738"/>
      <c r="BZ112" s="1738"/>
      <c r="CA112" s="1739"/>
      <c r="CB112" s="1740" t="s">
        <v>687</v>
      </c>
      <c r="CC112" s="1741"/>
      <c r="CD112" s="1741"/>
      <c r="CE112" s="1741"/>
      <c r="CF112" s="1741"/>
      <c r="CG112" s="1741"/>
      <c r="CH112" s="1741"/>
      <c r="CI112" s="1741"/>
      <c r="CJ112" s="1741"/>
      <c r="CK112" s="1741"/>
      <c r="CL112" s="1741"/>
      <c r="CM112" s="1741"/>
      <c r="CN112" s="1742"/>
    </row>
    <row r="113" spans="1:98" s="6" customFormat="1" ht="28.5" customHeight="1" x14ac:dyDescent="0.2">
      <c r="A113" s="1705"/>
      <c r="B113" s="1708"/>
      <c r="C113" s="1708"/>
      <c r="D113" s="1729"/>
      <c r="E113" s="26">
        <v>1</v>
      </c>
      <c r="F113" s="26">
        <v>2</v>
      </c>
      <c r="G113" s="26">
        <v>3</v>
      </c>
      <c r="H113" s="26">
        <v>4</v>
      </c>
      <c r="I113" s="26">
        <v>5</v>
      </c>
      <c r="J113" s="26">
        <v>6</v>
      </c>
      <c r="K113" s="26">
        <v>7</v>
      </c>
      <c r="L113" s="26">
        <v>8</v>
      </c>
      <c r="M113" s="26">
        <v>9</v>
      </c>
      <c r="N113" s="26">
        <v>10</v>
      </c>
      <c r="O113" s="26">
        <v>11</v>
      </c>
      <c r="P113" s="26">
        <v>12</v>
      </c>
      <c r="Q113" s="26" t="s">
        <v>21</v>
      </c>
      <c r="R113" s="1708"/>
      <c r="S113" s="1713"/>
      <c r="T113" s="26">
        <v>1</v>
      </c>
      <c r="U113" s="26">
        <v>2</v>
      </c>
      <c r="V113" s="26">
        <v>3</v>
      </c>
      <c r="W113" s="26">
        <v>4</v>
      </c>
      <c r="X113" s="26">
        <v>5</v>
      </c>
      <c r="Y113" s="26">
        <v>6</v>
      </c>
      <c r="Z113" s="26">
        <v>7</v>
      </c>
      <c r="AA113" s="26">
        <v>8</v>
      </c>
      <c r="AB113" s="26">
        <v>9</v>
      </c>
      <c r="AC113" s="26">
        <v>10</v>
      </c>
      <c r="AD113" s="26">
        <v>11</v>
      </c>
      <c r="AE113" s="26">
        <v>12</v>
      </c>
      <c r="AF113" s="1713"/>
      <c r="AG113" s="26">
        <v>1</v>
      </c>
      <c r="AH113" s="26">
        <v>2</v>
      </c>
      <c r="AI113" s="26">
        <v>3</v>
      </c>
      <c r="AJ113" s="26">
        <v>4</v>
      </c>
      <c r="AK113" s="26">
        <v>5</v>
      </c>
      <c r="AL113" s="26">
        <v>6</v>
      </c>
      <c r="AM113" s="26">
        <v>7</v>
      </c>
      <c r="AN113" s="26">
        <v>8</v>
      </c>
      <c r="AO113" s="26">
        <v>9</v>
      </c>
      <c r="AP113" s="26">
        <v>10</v>
      </c>
      <c r="AQ113" s="26">
        <v>11</v>
      </c>
      <c r="AR113" s="26">
        <v>12</v>
      </c>
      <c r="AS113" s="26" t="s">
        <v>13</v>
      </c>
      <c r="AT113" s="173">
        <v>1</v>
      </c>
      <c r="AU113" s="173">
        <v>2</v>
      </c>
      <c r="AV113" s="173">
        <v>3</v>
      </c>
      <c r="AW113" s="173">
        <v>4</v>
      </c>
      <c r="AX113" s="173">
        <v>5</v>
      </c>
      <c r="AY113" s="173">
        <v>6</v>
      </c>
      <c r="AZ113" s="173">
        <v>7</v>
      </c>
      <c r="BA113" s="173">
        <v>8</v>
      </c>
      <c r="BB113" s="173">
        <v>9</v>
      </c>
      <c r="BC113" s="173">
        <v>10</v>
      </c>
      <c r="BD113" s="173">
        <v>11</v>
      </c>
      <c r="BE113" s="173">
        <v>12</v>
      </c>
      <c r="BF113" s="26" t="s">
        <v>13</v>
      </c>
      <c r="BG113" s="1708"/>
      <c r="BH113" s="1708"/>
      <c r="BI113" s="1711"/>
      <c r="BJ113" s="7"/>
      <c r="BK113" s="1743" t="s">
        <v>19</v>
      </c>
      <c r="BL113" s="1744"/>
      <c r="BM113" s="1745"/>
      <c r="BN113" s="621"/>
      <c r="BO113" s="173">
        <v>1</v>
      </c>
      <c r="BP113" s="173">
        <v>2</v>
      </c>
      <c r="BQ113" s="173">
        <v>3</v>
      </c>
      <c r="BR113" s="173">
        <v>4</v>
      </c>
      <c r="BS113" s="173">
        <v>5</v>
      </c>
      <c r="BT113" s="173">
        <v>6</v>
      </c>
      <c r="BU113" s="173">
        <v>7</v>
      </c>
      <c r="BV113" s="173">
        <v>8</v>
      </c>
      <c r="BW113" s="173">
        <v>9</v>
      </c>
      <c r="BX113" s="173">
        <v>10</v>
      </c>
      <c r="BY113" s="173">
        <v>11</v>
      </c>
      <c r="BZ113" s="173">
        <v>12</v>
      </c>
      <c r="CA113" s="26" t="s">
        <v>13</v>
      </c>
      <c r="CB113" s="173">
        <v>1</v>
      </c>
      <c r="CC113" s="173">
        <v>2</v>
      </c>
      <c r="CD113" s="173">
        <v>3</v>
      </c>
      <c r="CE113" s="173">
        <v>4</v>
      </c>
      <c r="CF113" s="173">
        <v>5</v>
      </c>
      <c r="CG113" s="173">
        <v>6</v>
      </c>
      <c r="CH113" s="173">
        <v>7</v>
      </c>
      <c r="CI113" s="173">
        <v>8</v>
      </c>
      <c r="CJ113" s="173">
        <v>9</v>
      </c>
      <c r="CK113" s="173">
        <v>10</v>
      </c>
      <c r="CL113" s="173">
        <v>11</v>
      </c>
      <c r="CM113" s="173">
        <v>12</v>
      </c>
      <c r="CN113" s="26" t="s">
        <v>13</v>
      </c>
    </row>
    <row r="114" spans="1:98" s="1150" customFormat="1" ht="24.75" customHeight="1" x14ac:dyDescent="0.2">
      <c r="A114" s="1132"/>
      <c r="B114" s="1415" t="s">
        <v>133</v>
      </c>
      <c r="C114" s="1134" t="s">
        <v>25</v>
      </c>
      <c r="D114" s="1420">
        <v>80</v>
      </c>
      <c r="E114" s="837">
        <v>40</v>
      </c>
      <c r="F114" s="837">
        <v>40</v>
      </c>
      <c r="G114" s="1136"/>
      <c r="H114" s="1136"/>
      <c r="I114" s="1136"/>
      <c r="J114" s="1136"/>
      <c r="K114" s="1136"/>
      <c r="L114" s="1136"/>
      <c r="M114" s="1136"/>
      <c r="N114" s="1136"/>
      <c r="O114" s="1136"/>
      <c r="P114" s="1136"/>
      <c r="Q114" s="1137">
        <f>SUM(E114:P114)</f>
        <v>80</v>
      </c>
      <c r="R114" s="1416" t="s">
        <v>31</v>
      </c>
      <c r="S114" s="1421">
        <v>10300</v>
      </c>
      <c r="T114" s="1140">
        <v>9000</v>
      </c>
      <c r="U114" s="1140">
        <v>9000</v>
      </c>
      <c r="V114" s="1140"/>
      <c r="W114" s="1140"/>
      <c r="X114" s="1141"/>
      <c r="Y114" s="1141"/>
      <c r="Z114" s="1141"/>
      <c r="AA114" s="1141"/>
      <c r="AB114" s="1141"/>
      <c r="AC114" s="1141"/>
      <c r="AD114" s="1141"/>
      <c r="AE114" s="1141"/>
      <c r="AF114" s="1142">
        <f t="shared" ref="AF114:AF116" si="251">SUM(Q114*S114)</f>
        <v>824000</v>
      </c>
      <c r="AG114" s="1128">
        <f t="shared" ref="AG114:AH116" si="252">T114*E114</f>
        <v>360000</v>
      </c>
      <c r="AH114" s="1128">
        <f t="shared" si="252"/>
        <v>360000</v>
      </c>
      <c r="AI114" s="1128">
        <f t="shared" ref="AI114:AR116" si="253">V114*G114</f>
        <v>0</v>
      </c>
      <c r="AJ114" s="1128">
        <f t="shared" si="253"/>
        <v>0</v>
      </c>
      <c r="AK114" s="1128">
        <f t="shared" si="253"/>
        <v>0</v>
      </c>
      <c r="AL114" s="1128">
        <f t="shared" si="253"/>
        <v>0</v>
      </c>
      <c r="AM114" s="1128">
        <f t="shared" si="253"/>
        <v>0</v>
      </c>
      <c r="AN114" s="1128">
        <f t="shared" si="253"/>
        <v>0</v>
      </c>
      <c r="AO114" s="1128">
        <f t="shared" si="253"/>
        <v>0</v>
      </c>
      <c r="AP114" s="1128">
        <f t="shared" si="253"/>
        <v>0</v>
      </c>
      <c r="AQ114" s="1128">
        <f t="shared" si="253"/>
        <v>0</v>
      </c>
      <c r="AR114" s="1128">
        <f t="shared" si="253"/>
        <v>0</v>
      </c>
      <c r="AS114" s="1143">
        <f>SUM(AG114:AR114)</f>
        <v>720000</v>
      </c>
      <c r="AT114" s="1128">
        <f t="shared" ref="AT114:AU115" si="254">SUM(AG114*4%)</f>
        <v>14400</v>
      </c>
      <c r="AU114" s="1128">
        <f t="shared" si="254"/>
        <v>14400</v>
      </c>
      <c r="AV114" s="1128">
        <v>0</v>
      </c>
      <c r="AW114" s="1128">
        <f>SUM(AJ114*4%)</f>
        <v>0</v>
      </c>
      <c r="AX114" s="1128">
        <f t="shared" ref="AX114:BE116" si="255">SUM(AK114*14%)</f>
        <v>0</v>
      </c>
      <c r="AY114" s="1128">
        <f t="shared" si="255"/>
        <v>0</v>
      </c>
      <c r="AZ114" s="1128">
        <f t="shared" si="255"/>
        <v>0</v>
      </c>
      <c r="BA114" s="1128">
        <f t="shared" si="255"/>
        <v>0</v>
      </c>
      <c r="BB114" s="1128">
        <f t="shared" si="255"/>
        <v>0</v>
      </c>
      <c r="BC114" s="1128">
        <f t="shared" si="255"/>
        <v>0</v>
      </c>
      <c r="BD114" s="1128">
        <f t="shared" si="255"/>
        <v>0</v>
      </c>
      <c r="BE114" s="1128">
        <f t="shared" si="255"/>
        <v>0</v>
      </c>
      <c r="BF114" s="1144">
        <f>SUM(AT114:BE114)</f>
        <v>28800</v>
      </c>
      <c r="BG114" s="1144">
        <f>AF114-AS114-BF114</f>
        <v>75200</v>
      </c>
      <c r="BH114" s="1145">
        <f>S114*D114</f>
        <v>824000</v>
      </c>
      <c r="BI114" s="1146">
        <f>BH114-AS114-BF114</f>
        <v>75200</v>
      </c>
      <c r="BJ114" s="1418">
        <f>SUM(Q114/D114)</f>
        <v>1</v>
      </c>
      <c r="BK114" s="1128">
        <f>AI114-BQ114-CD114</f>
        <v>0</v>
      </c>
      <c r="BL114" s="1128">
        <f>40*9000</f>
        <v>360000</v>
      </c>
      <c r="BM114" s="1143">
        <f>BK114-BL114</f>
        <v>-360000</v>
      </c>
      <c r="BN114" s="1149"/>
      <c r="BO114" s="1128"/>
      <c r="BP114" s="1128"/>
      <c r="BQ114" s="1128">
        <f>AI114*2%</f>
        <v>0</v>
      </c>
      <c r="BR114" s="1128"/>
      <c r="BS114" s="1128"/>
      <c r="BT114" s="1128"/>
      <c r="BU114" s="1128"/>
      <c r="BV114" s="1128"/>
      <c r="BW114" s="1128">
        <f t="shared" ref="BW114:BW115" si="256">SUM(AN114*12.5%)</f>
        <v>0</v>
      </c>
      <c r="BX114" s="1128"/>
      <c r="BY114" s="1128"/>
      <c r="BZ114" s="1128"/>
      <c r="CA114" s="1144">
        <f t="shared" ref="CA114" si="257">SUM(BO114:BZ114)</f>
        <v>0</v>
      </c>
      <c r="CB114" s="1128"/>
      <c r="CC114" s="1128"/>
      <c r="CD114" s="1128">
        <f>AI114*10%</f>
        <v>0</v>
      </c>
      <c r="CE114" s="1128"/>
      <c r="CF114" s="1128"/>
      <c r="CG114" s="1128"/>
      <c r="CH114" s="1128"/>
      <c r="CI114" s="1128"/>
      <c r="CJ114" s="1128"/>
      <c r="CK114" s="1128"/>
      <c r="CL114" s="1128"/>
      <c r="CM114" s="1128"/>
      <c r="CN114" s="1144">
        <f t="shared" ref="CN114:CN115" si="258">SUM(CB114:CM114)</f>
        <v>0</v>
      </c>
    </row>
    <row r="115" spans="1:98" s="1150" customFormat="1" ht="24.75" customHeight="1" x14ac:dyDescent="0.2">
      <c r="A115" s="1132"/>
      <c r="B115" s="1415" t="s">
        <v>134</v>
      </c>
      <c r="C115" s="1134" t="s">
        <v>25</v>
      </c>
      <c r="D115" s="1420">
        <v>80</v>
      </c>
      <c r="E115" s="837">
        <v>40</v>
      </c>
      <c r="F115" s="837">
        <v>40</v>
      </c>
      <c r="G115" s="1136"/>
      <c r="H115" s="1136"/>
      <c r="I115" s="1136"/>
      <c r="J115" s="1136"/>
      <c r="K115" s="1136"/>
      <c r="L115" s="1136"/>
      <c r="M115" s="1136"/>
      <c r="N115" s="1136"/>
      <c r="O115" s="1136"/>
      <c r="P115" s="1136"/>
      <c r="Q115" s="1137">
        <f>SUM(E115:P115)</f>
        <v>80</v>
      </c>
      <c r="R115" s="1416" t="s">
        <v>31</v>
      </c>
      <c r="S115" s="1421">
        <v>28500</v>
      </c>
      <c r="T115" s="1140">
        <v>25000</v>
      </c>
      <c r="U115" s="1140">
        <v>25000</v>
      </c>
      <c r="V115" s="1140"/>
      <c r="W115" s="1140"/>
      <c r="X115" s="1141"/>
      <c r="Y115" s="1141"/>
      <c r="Z115" s="1141"/>
      <c r="AA115" s="1141"/>
      <c r="AB115" s="1141"/>
      <c r="AC115" s="1141"/>
      <c r="AD115" s="1141"/>
      <c r="AE115" s="1141"/>
      <c r="AF115" s="1142">
        <f t="shared" si="251"/>
        <v>2280000</v>
      </c>
      <c r="AG115" s="1128">
        <f t="shared" si="252"/>
        <v>1000000</v>
      </c>
      <c r="AH115" s="1128">
        <f t="shared" si="252"/>
        <v>1000000</v>
      </c>
      <c r="AI115" s="1128">
        <f t="shared" si="253"/>
        <v>0</v>
      </c>
      <c r="AJ115" s="1128">
        <f t="shared" si="253"/>
        <v>0</v>
      </c>
      <c r="AK115" s="1128">
        <f t="shared" si="253"/>
        <v>0</v>
      </c>
      <c r="AL115" s="1128">
        <f t="shared" si="253"/>
        <v>0</v>
      </c>
      <c r="AM115" s="1128">
        <f t="shared" si="253"/>
        <v>0</v>
      </c>
      <c r="AN115" s="1128">
        <f t="shared" si="253"/>
        <v>0</v>
      </c>
      <c r="AO115" s="1128">
        <f t="shared" si="253"/>
        <v>0</v>
      </c>
      <c r="AP115" s="1128">
        <f t="shared" si="253"/>
        <v>0</v>
      </c>
      <c r="AQ115" s="1128">
        <f t="shared" si="253"/>
        <v>0</v>
      </c>
      <c r="AR115" s="1128">
        <f t="shared" si="253"/>
        <v>0</v>
      </c>
      <c r="AS115" s="1143">
        <f>SUM(AG115:AR115)</f>
        <v>2000000</v>
      </c>
      <c r="AT115" s="1128">
        <f t="shared" si="254"/>
        <v>40000</v>
      </c>
      <c r="AU115" s="1128">
        <f>SUM(AH115*4%)</f>
        <v>40000</v>
      </c>
      <c r="AV115" s="1128">
        <v>0</v>
      </c>
      <c r="AW115" s="1128">
        <f>SUM(AJ115*4%)</f>
        <v>0</v>
      </c>
      <c r="AX115" s="1128">
        <f t="shared" si="255"/>
        <v>0</v>
      </c>
      <c r="AY115" s="1128">
        <f t="shared" si="255"/>
        <v>0</v>
      </c>
      <c r="AZ115" s="1128">
        <f t="shared" si="255"/>
        <v>0</v>
      </c>
      <c r="BA115" s="1128">
        <f t="shared" si="255"/>
        <v>0</v>
      </c>
      <c r="BB115" s="1128">
        <f t="shared" si="255"/>
        <v>0</v>
      </c>
      <c r="BC115" s="1128">
        <f t="shared" si="255"/>
        <v>0</v>
      </c>
      <c r="BD115" s="1128">
        <f t="shared" si="255"/>
        <v>0</v>
      </c>
      <c r="BE115" s="1128">
        <f t="shared" si="255"/>
        <v>0</v>
      </c>
      <c r="BF115" s="1144">
        <f>SUM(AT115:BE115)</f>
        <v>80000</v>
      </c>
      <c r="BG115" s="1144">
        <f>AF115-AS115-BF115</f>
        <v>200000</v>
      </c>
      <c r="BH115" s="1145">
        <f>S115*D115</f>
        <v>2280000</v>
      </c>
      <c r="BI115" s="1146">
        <f>BH115-AS115-BF115</f>
        <v>200000</v>
      </c>
      <c r="BJ115" s="1418">
        <f>SUM(Q115/D115)</f>
        <v>1</v>
      </c>
      <c r="BK115" s="1128">
        <f>AI115-BQ115-CD115</f>
        <v>0</v>
      </c>
      <c r="BL115" s="1128">
        <f>40*24000</f>
        <v>960000</v>
      </c>
      <c r="BM115" s="1143">
        <f>SUM(BK115-BL115)</f>
        <v>-960000</v>
      </c>
      <c r="BN115" s="1149"/>
      <c r="BO115" s="1128"/>
      <c r="BP115" s="1128"/>
      <c r="BQ115" s="1128">
        <f>AI115*2%</f>
        <v>0</v>
      </c>
      <c r="BR115" s="1128"/>
      <c r="BS115" s="1128"/>
      <c r="BT115" s="1128"/>
      <c r="BU115" s="1128"/>
      <c r="BV115" s="1128"/>
      <c r="BW115" s="1128">
        <f t="shared" si="256"/>
        <v>0</v>
      </c>
      <c r="BX115" s="1128"/>
      <c r="BY115" s="1128"/>
      <c r="BZ115" s="1128"/>
      <c r="CA115" s="1144">
        <f t="shared" ref="CA115" si="259">SUM(BO115:BZ115)</f>
        <v>0</v>
      </c>
      <c r="CB115" s="1128"/>
      <c r="CC115" s="1128"/>
      <c r="CD115" s="1128">
        <f>AI115*10%</f>
        <v>0</v>
      </c>
      <c r="CE115" s="1128"/>
      <c r="CF115" s="1128"/>
      <c r="CG115" s="1128"/>
      <c r="CH115" s="1128"/>
      <c r="CI115" s="1128"/>
      <c r="CJ115" s="1128"/>
      <c r="CK115" s="1128"/>
      <c r="CL115" s="1128"/>
      <c r="CM115" s="1128"/>
      <c r="CN115" s="1144">
        <f t="shared" si="258"/>
        <v>0</v>
      </c>
    </row>
    <row r="116" spans="1:98" s="7" customFormat="1" ht="24.75" customHeight="1" thickBot="1" x14ac:dyDescent="0.25">
      <c r="A116" s="41"/>
      <c r="B116" s="76" t="s">
        <v>32</v>
      </c>
      <c r="C116" s="29" t="s">
        <v>25</v>
      </c>
      <c r="D116" s="226">
        <v>4</v>
      </c>
      <c r="E116" s="82">
        <v>2</v>
      </c>
      <c r="F116" s="30">
        <v>2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1">
        <f>SUM(E116:P116)</f>
        <v>4</v>
      </c>
      <c r="R116" s="83" t="s">
        <v>16</v>
      </c>
      <c r="S116" s="142">
        <v>35000</v>
      </c>
      <c r="T116" s="84">
        <v>30000</v>
      </c>
      <c r="U116" s="84">
        <v>30000</v>
      </c>
      <c r="V116" s="84"/>
      <c r="W116" s="84"/>
      <c r="X116" s="33"/>
      <c r="Y116" s="33"/>
      <c r="Z116" s="33"/>
      <c r="AA116" s="33"/>
      <c r="AB116" s="33"/>
      <c r="AC116" s="33"/>
      <c r="AD116" s="33"/>
      <c r="AE116" s="33"/>
      <c r="AF116" s="69">
        <f t="shared" si="251"/>
        <v>140000</v>
      </c>
      <c r="AG116" s="1130">
        <f t="shared" si="252"/>
        <v>60000</v>
      </c>
      <c r="AH116" s="70">
        <f t="shared" si="252"/>
        <v>60000</v>
      </c>
      <c r="AI116" s="70">
        <f t="shared" si="253"/>
        <v>0</v>
      </c>
      <c r="AJ116" s="70">
        <f t="shared" si="253"/>
        <v>0</v>
      </c>
      <c r="AK116" s="70">
        <f t="shared" si="253"/>
        <v>0</v>
      </c>
      <c r="AL116" s="70">
        <f t="shared" si="253"/>
        <v>0</v>
      </c>
      <c r="AM116" s="70">
        <f t="shared" si="253"/>
        <v>0</v>
      </c>
      <c r="AN116" s="70">
        <f t="shared" si="253"/>
        <v>0</v>
      </c>
      <c r="AO116" s="70">
        <f t="shared" si="253"/>
        <v>0</v>
      </c>
      <c r="AP116" s="70">
        <f t="shared" si="253"/>
        <v>0</v>
      </c>
      <c r="AQ116" s="70">
        <f t="shared" si="253"/>
        <v>0</v>
      </c>
      <c r="AR116" s="70">
        <f t="shared" si="253"/>
        <v>0</v>
      </c>
      <c r="AS116" s="71">
        <f>SUM(AG116:AR116)</f>
        <v>120000</v>
      </c>
      <c r="AT116" s="70">
        <f>SUM(AG116*4%)</f>
        <v>2400</v>
      </c>
      <c r="AU116" s="70">
        <f>SUM(AH116*4%)</f>
        <v>2400</v>
      </c>
      <c r="AV116" s="70">
        <v>0</v>
      </c>
      <c r="AW116" s="70">
        <f>SUM(AJ116*4%)</f>
        <v>0</v>
      </c>
      <c r="AX116" s="70">
        <f t="shared" si="255"/>
        <v>0</v>
      </c>
      <c r="AY116" s="70">
        <f t="shared" si="255"/>
        <v>0</v>
      </c>
      <c r="AZ116" s="70">
        <f t="shared" si="255"/>
        <v>0</v>
      </c>
      <c r="BA116" s="70">
        <f t="shared" si="255"/>
        <v>0</v>
      </c>
      <c r="BB116" s="70">
        <f t="shared" si="255"/>
        <v>0</v>
      </c>
      <c r="BC116" s="70">
        <f t="shared" si="255"/>
        <v>0</v>
      </c>
      <c r="BD116" s="70">
        <f t="shared" si="255"/>
        <v>0</v>
      </c>
      <c r="BE116" s="70">
        <f t="shared" si="255"/>
        <v>0</v>
      </c>
      <c r="BF116" s="72">
        <f>SUM(AT116:BE116)</f>
        <v>4800</v>
      </c>
      <c r="BG116" s="73">
        <f>AF116-AS116-BF116</f>
        <v>15200</v>
      </c>
      <c r="BH116" s="74">
        <f>S116*D116</f>
        <v>140000</v>
      </c>
      <c r="BI116" s="75">
        <f>BH116-AS116-BF116</f>
        <v>15200</v>
      </c>
      <c r="BJ116" s="175">
        <f>SUM(Q116/D116)</f>
        <v>1</v>
      </c>
      <c r="BK116" s="1081">
        <f>AI116-BQ116</f>
        <v>0</v>
      </c>
      <c r="BL116" s="1081">
        <f>30000*2</f>
        <v>60000</v>
      </c>
      <c r="BM116" s="1107">
        <f>SUM(BK116-BL116)</f>
        <v>-60000</v>
      </c>
      <c r="BN116" s="1084"/>
      <c r="BO116" s="862"/>
      <c r="BP116" s="862"/>
      <c r="BQ116" s="1103">
        <f>AI116*2%</f>
        <v>0</v>
      </c>
      <c r="BR116" s="862"/>
      <c r="BS116" s="862"/>
      <c r="BT116" s="862"/>
      <c r="BU116" s="862"/>
      <c r="BV116" s="862"/>
      <c r="BW116" s="1129">
        <f t="shared" ref="BW116:BW117" si="260">SUM(AN116*12.5%)</f>
        <v>0</v>
      </c>
      <c r="BX116" s="862"/>
      <c r="BY116" s="862"/>
      <c r="BZ116" s="862"/>
      <c r="CA116" s="73">
        <f t="shared" ref="CA116:CA117" si="261">SUM(BO116:BZ116)</f>
        <v>0</v>
      </c>
      <c r="CB116" s="862"/>
      <c r="CC116" s="862"/>
      <c r="CD116" s="1103">
        <v>0</v>
      </c>
      <c r="CE116" s="862"/>
      <c r="CF116" s="862"/>
      <c r="CG116" s="862"/>
      <c r="CH116" s="862"/>
      <c r="CI116" s="862"/>
      <c r="CJ116" s="1081"/>
      <c r="CK116" s="862"/>
      <c r="CL116" s="862"/>
      <c r="CM116" s="862"/>
      <c r="CN116" s="73">
        <f t="shared" ref="CN116:CN117" si="262">SUM(CB116:CM116)</f>
        <v>0</v>
      </c>
    </row>
    <row r="117" spans="1:98" s="38" customFormat="1" ht="24.75" customHeight="1" thickBot="1" x14ac:dyDescent="0.25">
      <c r="A117" s="554">
        <v>11</v>
      </c>
      <c r="B117" s="44" t="s">
        <v>4</v>
      </c>
      <c r="C117" s="44"/>
      <c r="D117" s="227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7"/>
      <c r="R117" s="77"/>
      <c r="S117" s="45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78">
        <f t="shared" ref="AF117:BF117" si="263">SUM(AF114:AF116)</f>
        <v>3244000</v>
      </c>
      <c r="AG117" s="78">
        <f>SUM(AG114:AG116)-100000</f>
        <v>1320000</v>
      </c>
      <c r="AH117" s="78">
        <f>SUM(AH114:AH116)-100000</f>
        <v>1320000</v>
      </c>
      <c r="AI117" s="78">
        <f>SUM(AI114:AI116)</f>
        <v>0</v>
      </c>
      <c r="AJ117" s="78">
        <f t="shared" ref="AJ117:AR117" si="264">SUM(AJ114:AJ116)</f>
        <v>0</v>
      </c>
      <c r="AK117" s="78">
        <f t="shared" si="264"/>
        <v>0</v>
      </c>
      <c r="AL117" s="78">
        <f t="shared" si="264"/>
        <v>0</v>
      </c>
      <c r="AM117" s="78">
        <f t="shared" si="264"/>
        <v>0</v>
      </c>
      <c r="AN117" s="78">
        <f t="shared" si="264"/>
        <v>0</v>
      </c>
      <c r="AO117" s="78">
        <f t="shared" si="264"/>
        <v>0</v>
      </c>
      <c r="AP117" s="78">
        <f t="shared" si="264"/>
        <v>0</v>
      </c>
      <c r="AQ117" s="78">
        <f t="shared" si="264"/>
        <v>0</v>
      </c>
      <c r="AR117" s="78">
        <f t="shared" si="264"/>
        <v>0</v>
      </c>
      <c r="AS117" s="78">
        <f>SUM(AS114:AS116)-200000</f>
        <v>2640000</v>
      </c>
      <c r="AT117" s="78">
        <f t="shared" si="263"/>
        <v>56800</v>
      </c>
      <c r="AU117" s="78">
        <f t="shared" si="263"/>
        <v>56800</v>
      </c>
      <c r="AV117" s="78">
        <f t="shared" ref="AV117:BE117" si="265">SUM(AV114:AV116)</f>
        <v>0</v>
      </c>
      <c r="AW117" s="78">
        <f t="shared" si="265"/>
        <v>0</v>
      </c>
      <c r="AX117" s="78">
        <f t="shared" si="265"/>
        <v>0</v>
      </c>
      <c r="AY117" s="78">
        <f t="shared" si="265"/>
        <v>0</v>
      </c>
      <c r="AZ117" s="78">
        <f t="shared" si="265"/>
        <v>0</v>
      </c>
      <c r="BA117" s="78">
        <f t="shared" si="265"/>
        <v>0</v>
      </c>
      <c r="BB117" s="78">
        <f t="shared" si="265"/>
        <v>0</v>
      </c>
      <c r="BC117" s="78">
        <f t="shared" si="265"/>
        <v>0</v>
      </c>
      <c r="BD117" s="78">
        <f t="shared" si="265"/>
        <v>0</v>
      </c>
      <c r="BE117" s="78">
        <f t="shared" si="265"/>
        <v>0</v>
      </c>
      <c r="BF117" s="78">
        <f t="shared" si="263"/>
        <v>113600</v>
      </c>
      <c r="BG117" s="79">
        <f>SUM(BG114:BG116)</f>
        <v>290400</v>
      </c>
      <c r="BH117" s="78">
        <f>SUM(BH114:BH116)</f>
        <v>3244000</v>
      </c>
      <c r="BI117" s="78">
        <f>SUM(BI114:BI116)</f>
        <v>290400</v>
      </c>
      <c r="BJ117" s="176">
        <f>SUM(BJ114:BJ116)/3</f>
        <v>1</v>
      </c>
      <c r="BK117" s="1107">
        <f>SUM(BK114:BK116)</f>
        <v>0</v>
      </c>
      <c r="BL117" s="1107">
        <f t="shared" ref="BL117" si="266">35000*5</f>
        <v>175000</v>
      </c>
      <c r="BM117" s="1083">
        <f>SUM(BM114:BM116)</f>
        <v>-1380000</v>
      </c>
      <c r="BN117" s="1084"/>
      <c r="BO117" s="862"/>
      <c r="BP117" s="862"/>
      <c r="BQ117" s="862"/>
      <c r="BR117" s="862"/>
      <c r="BS117" s="862"/>
      <c r="BT117" s="862"/>
      <c r="BU117" s="862"/>
      <c r="BV117" s="862"/>
      <c r="BW117" s="1129">
        <f t="shared" si="260"/>
        <v>0</v>
      </c>
      <c r="BX117" s="862"/>
      <c r="BY117" s="862"/>
      <c r="BZ117" s="862"/>
      <c r="CA117" s="73">
        <f t="shared" si="261"/>
        <v>0</v>
      </c>
      <c r="CB117" s="862"/>
      <c r="CC117" s="862"/>
      <c r="CD117" s="862"/>
      <c r="CE117" s="862"/>
      <c r="CF117" s="862"/>
      <c r="CG117" s="862"/>
      <c r="CH117" s="862"/>
      <c r="CI117" s="862"/>
      <c r="CJ117" s="1081"/>
      <c r="CK117" s="862"/>
      <c r="CL117" s="862"/>
      <c r="CM117" s="862"/>
      <c r="CN117" s="73">
        <f t="shared" si="262"/>
        <v>0</v>
      </c>
    </row>
    <row r="118" spans="1:98" s="20" customFormat="1" ht="24.75" customHeight="1" x14ac:dyDescent="0.2">
      <c r="A118" s="50"/>
      <c r="D118" s="22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AE118" s="40"/>
      <c r="AS118" s="51"/>
      <c r="BF118" s="52">
        <f>SUM(AS117+BF117)</f>
        <v>2753600</v>
      </c>
      <c r="BG118" s="53">
        <f>AF117-AS117-BF117</f>
        <v>490400</v>
      </c>
      <c r="BH118" s="54">
        <f>SUM(BI117+AS117+BF117)</f>
        <v>3044000</v>
      </c>
      <c r="BI118" s="55">
        <f>SUM(BG117)</f>
        <v>290400</v>
      </c>
      <c r="BJ118" s="40" t="s">
        <v>38</v>
      </c>
      <c r="BK118" s="40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</row>
    <row r="119" spans="1:98" s="20" customFormat="1" ht="24.75" customHeight="1" x14ac:dyDescent="0.2">
      <c r="A119" s="50"/>
      <c r="D119" s="22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AE119" s="40"/>
      <c r="AS119" s="40"/>
      <c r="AT119" s="123">
        <f>SUM(AG117+AT117)</f>
        <v>1376800</v>
      </c>
      <c r="AU119" s="123">
        <f t="shared" ref="AU119:BE119" si="267">SUM(AH117+AU117)</f>
        <v>1376800</v>
      </c>
      <c r="AV119" s="123">
        <f t="shared" si="267"/>
        <v>0</v>
      </c>
      <c r="AW119" s="123">
        <f t="shared" si="267"/>
        <v>0</v>
      </c>
      <c r="AX119" s="123">
        <f t="shared" si="267"/>
        <v>0</v>
      </c>
      <c r="AY119" s="123">
        <f t="shared" si="267"/>
        <v>0</v>
      </c>
      <c r="AZ119" s="123">
        <f t="shared" si="267"/>
        <v>0</v>
      </c>
      <c r="BA119" s="123">
        <f t="shared" si="267"/>
        <v>0</v>
      </c>
      <c r="BB119" s="123">
        <f t="shared" si="267"/>
        <v>0</v>
      </c>
      <c r="BC119" s="123">
        <f t="shared" si="267"/>
        <v>0</v>
      </c>
      <c r="BD119" s="123">
        <f t="shared" si="267"/>
        <v>0</v>
      </c>
      <c r="BE119" s="123">
        <f t="shared" si="267"/>
        <v>0</v>
      </c>
      <c r="BF119" s="123">
        <f>SUM(AT119:BE119)</f>
        <v>2753600</v>
      </c>
      <c r="BG119" s="40"/>
      <c r="BH119" s="56"/>
      <c r="BI119" s="57">
        <f>SUM(BI117-BI118)</f>
        <v>0</v>
      </c>
      <c r="BJ119" s="40" t="s">
        <v>37</v>
      </c>
      <c r="BK119" s="40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</row>
    <row r="120" spans="1:98" s="20" customFormat="1" ht="16.5" customHeight="1" x14ac:dyDescent="0.2">
      <c r="A120" s="1730" t="s">
        <v>8</v>
      </c>
      <c r="B120" s="1731"/>
      <c r="C120" s="124" t="s">
        <v>111</v>
      </c>
      <c r="D120" s="224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7"/>
      <c r="AF120" s="23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8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8"/>
      <c r="BG120" s="138"/>
      <c r="BH120" s="135"/>
      <c r="BI120" s="139"/>
      <c r="BJ120" s="135"/>
      <c r="BK120" s="136"/>
      <c r="BL120" s="136"/>
      <c r="BM120" s="136"/>
      <c r="BN120" s="136"/>
      <c r="BO120" s="136"/>
      <c r="BP120" s="137"/>
      <c r="BQ120" s="136"/>
      <c r="BR120" s="136"/>
      <c r="BS120" s="136"/>
      <c r="BT120" s="136"/>
      <c r="BU120" s="136"/>
      <c r="BV120" s="138"/>
      <c r="BW120" s="138"/>
      <c r="BX120" s="138"/>
      <c r="BY120" s="135"/>
      <c r="BZ120" s="139"/>
      <c r="CA120" s="138"/>
      <c r="CB120" s="138"/>
      <c r="CC120" s="24"/>
      <c r="CD120" s="24"/>
      <c r="CE120" s="24"/>
      <c r="CF120" s="24"/>
      <c r="CG120" s="24"/>
      <c r="CH120" s="140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</row>
    <row r="121" spans="1:98" s="8" customFormat="1" ht="48.75" customHeight="1" x14ac:dyDescent="0.2">
      <c r="A121" s="1703" t="s">
        <v>10</v>
      </c>
      <c r="B121" s="1706" t="s">
        <v>11</v>
      </c>
      <c r="C121" s="1706" t="s">
        <v>22</v>
      </c>
      <c r="D121" s="1721" t="s">
        <v>12</v>
      </c>
      <c r="E121" s="1721"/>
      <c r="F121" s="1721"/>
      <c r="G121" s="1721"/>
      <c r="H121" s="1721"/>
      <c r="I121" s="1721"/>
      <c r="J121" s="1721"/>
      <c r="K121" s="1721"/>
      <c r="L121" s="1721"/>
      <c r="M121" s="1721"/>
      <c r="N121" s="1721"/>
      <c r="O121" s="1721"/>
      <c r="P121" s="1721"/>
      <c r="Q121" s="1721"/>
      <c r="R121" s="1706" t="s">
        <v>20</v>
      </c>
      <c r="S121" s="1717" t="s">
        <v>17</v>
      </c>
      <c r="T121" s="1718"/>
      <c r="U121" s="1718"/>
      <c r="V121" s="1718"/>
      <c r="W121" s="1718"/>
      <c r="X121" s="1718"/>
      <c r="Y121" s="1718"/>
      <c r="Z121" s="1718"/>
      <c r="AA121" s="1718"/>
      <c r="AB121" s="1718"/>
      <c r="AC121" s="1718"/>
      <c r="AD121" s="1718"/>
      <c r="AE121" s="1719"/>
      <c r="AF121" s="1720" t="s">
        <v>6</v>
      </c>
      <c r="AG121" s="1720"/>
      <c r="AH121" s="1720"/>
      <c r="AI121" s="1720"/>
      <c r="AJ121" s="1720"/>
      <c r="AK121" s="1720"/>
      <c r="AL121" s="1720"/>
      <c r="AM121" s="1720"/>
      <c r="AN121" s="1720"/>
      <c r="AO121" s="1720"/>
      <c r="AP121" s="1720"/>
      <c r="AQ121" s="1720"/>
      <c r="AR121" s="1720"/>
      <c r="AS121" s="1720"/>
      <c r="AT121" s="1722" t="s">
        <v>41</v>
      </c>
      <c r="AU121" s="1723"/>
      <c r="AV121" s="1723"/>
      <c r="AW121" s="1723"/>
      <c r="AX121" s="1723"/>
      <c r="AY121" s="1723"/>
      <c r="AZ121" s="1723"/>
      <c r="BA121" s="1723"/>
      <c r="BB121" s="1723"/>
      <c r="BC121" s="1723"/>
      <c r="BD121" s="1723"/>
      <c r="BE121" s="1723"/>
      <c r="BF121" s="1724"/>
      <c r="BG121" s="1706" t="s">
        <v>38</v>
      </c>
      <c r="BH121" s="1706" t="s">
        <v>256</v>
      </c>
      <c r="BI121" s="1709" t="s">
        <v>39</v>
      </c>
      <c r="BJ121" s="135"/>
      <c r="BK121" s="135"/>
      <c r="BL121" s="135"/>
      <c r="BM121" s="135"/>
      <c r="BN121" s="135"/>
      <c r="BO121" s="1733" t="s">
        <v>41</v>
      </c>
      <c r="BP121" s="1734"/>
      <c r="BQ121" s="1734"/>
      <c r="BR121" s="1734"/>
      <c r="BS121" s="1734"/>
      <c r="BT121" s="1734"/>
      <c r="BU121" s="1734"/>
      <c r="BV121" s="1734"/>
      <c r="BW121" s="1734"/>
      <c r="BX121" s="1734"/>
      <c r="BY121" s="1734"/>
      <c r="BZ121" s="1734"/>
      <c r="CA121" s="1734"/>
      <c r="CB121" s="1734"/>
      <c r="CC121" s="1734"/>
      <c r="CD121" s="1734"/>
      <c r="CE121" s="1734"/>
      <c r="CF121" s="1734"/>
      <c r="CG121" s="1734"/>
      <c r="CH121" s="1734"/>
      <c r="CI121" s="1734"/>
      <c r="CJ121" s="1734"/>
      <c r="CK121" s="1734"/>
      <c r="CL121" s="1734"/>
      <c r="CM121" s="1734"/>
      <c r="CN121" s="1735"/>
    </row>
    <row r="122" spans="1:98" s="8" customFormat="1" ht="48.75" customHeight="1" x14ac:dyDescent="0.2">
      <c r="A122" s="1704"/>
      <c r="B122" s="1707"/>
      <c r="C122" s="1707"/>
      <c r="D122" s="1728" t="s">
        <v>18</v>
      </c>
      <c r="E122" s="1714" t="s">
        <v>19</v>
      </c>
      <c r="F122" s="1715"/>
      <c r="G122" s="1715"/>
      <c r="H122" s="1715"/>
      <c r="I122" s="1715"/>
      <c r="J122" s="1715"/>
      <c r="K122" s="1715"/>
      <c r="L122" s="1715"/>
      <c r="M122" s="1715"/>
      <c r="N122" s="1715"/>
      <c r="O122" s="1715"/>
      <c r="P122" s="1715"/>
      <c r="Q122" s="1715"/>
      <c r="R122" s="1707"/>
      <c r="S122" s="1712" t="s">
        <v>18</v>
      </c>
      <c r="T122" s="1714" t="s">
        <v>19</v>
      </c>
      <c r="U122" s="1715"/>
      <c r="V122" s="1715"/>
      <c r="W122" s="1715"/>
      <c r="X122" s="1715"/>
      <c r="Y122" s="1715"/>
      <c r="Z122" s="1715"/>
      <c r="AA122" s="1715"/>
      <c r="AB122" s="1715"/>
      <c r="AC122" s="1715"/>
      <c r="AD122" s="1715"/>
      <c r="AE122" s="1716"/>
      <c r="AF122" s="1712" t="s">
        <v>18</v>
      </c>
      <c r="AG122" s="1714" t="s">
        <v>19</v>
      </c>
      <c r="AH122" s="1715"/>
      <c r="AI122" s="1715"/>
      <c r="AJ122" s="1715"/>
      <c r="AK122" s="1715"/>
      <c r="AL122" s="1715"/>
      <c r="AM122" s="1715"/>
      <c r="AN122" s="1715"/>
      <c r="AO122" s="1715"/>
      <c r="AP122" s="1715"/>
      <c r="AQ122" s="1715"/>
      <c r="AR122" s="1715"/>
      <c r="AS122" s="1716"/>
      <c r="AT122" s="1725"/>
      <c r="AU122" s="1726"/>
      <c r="AV122" s="1726"/>
      <c r="AW122" s="1726"/>
      <c r="AX122" s="1726"/>
      <c r="AY122" s="1726"/>
      <c r="AZ122" s="1726"/>
      <c r="BA122" s="1726"/>
      <c r="BB122" s="1726"/>
      <c r="BC122" s="1726"/>
      <c r="BD122" s="1726"/>
      <c r="BE122" s="1726"/>
      <c r="BF122" s="1727"/>
      <c r="BG122" s="1707"/>
      <c r="BH122" s="1707"/>
      <c r="BI122" s="1710"/>
      <c r="BJ122" s="135"/>
      <c r="BK122" s="1736">
        <f>SUM(BK124/60)</f>
        <v>8583.3333333333339</v>
      </c>
      <c r="BL122" s="1736"/>
      <c r="BM122" s="1736"/>
      <c r="BN122" s="23"/>
      <c r="BO122" s="1737" t="s">
        <v>686</v>
      </c>
      <c r="BP122" s="1738"/>
      <c r="BQ122" s="1738"/>
      <c r="BR122" s="1738"/>
      <c r="BS122" s="1738"/>
      <c r="BT122" s="1738"/>
      <c r="BU122" s="1738"/>
      <c r="BV122" s="1738"/>
      <c r="BW122" s="1738"/>
      <c r="BX122" s="1738"/>
      <c r="BY122" s="1738"/>
      <c r="BZ122" s="1738"/>
      <c r="CA122" s="1739"/>
      <c r="CB122" s="1740" t="s">
        <v>687</v>
      </c>
      <c r="CC122" s="1741"/>
      <c r="CD122" s="1741"/>
      <c r="CE122" s="1741"/>
      <c r="CF122" s="1741"/>
      <c r="CG122" s="1741"/>
      <c r="CH122" s="1741"/>
      <c r="CI122" s="1741"/>
      <c r="CJ122" s="1741"/>
      <c r="CK122" s="1741"/>
      <c r="CL122" s="1741"/>
      <c r="CM122" s="1741"/>
      <c r="CN122" s="1742"/>
    </row>
    <row r="123" spans="1:98" s="6" customFormat="1" ht="28.5" customHeight="1" x14ac:dyDescent="0.2">
      <c r="A123" s="1705"/>
      <c r="B123" s="1708"/>
      <c r="C123" s="1708"/>
      <c r="D123" s="1729"/>
      <c r="E123" s="26">
        <v>1</v>
      </c>
      <c r="F123" s="26">
        <v>2</v>
      </c>
      <c r="G123" s="26">
        <v>3</v>
      </c>
      <c r="H123" s="26">
        <v>4</v>
      </c>
      <c r="I123" s="26">
        <v>5</v>
      </c>
      <c r="J123" s="26">
        <v>6</v>
      </c>
      <c r="K123" s="26">
        <v>7</v>
      </c>
      <c r="L123" s="26">
        <v>8</v>
      </c>
      <c r="M123" s="26">
        <v>9</v>
      </c>
      <c r="N123" s="26">
        <v>10</v>
      </c>
      <c r="O123" s="26">
        <v>11</v>
      </c>
      <c r="P123" s="26">
        <v>12</v>
      </c>
      <c r="Q123" s="26" t="s">
        <v>21</v>
      </c>
      <c r="R123" s="1708"/>
      <c r="S123" s="1713"/>
      <c r="T123" s="26">
        <v>1</v>
      </c>
      <c r="U123" s="26">
        <v>2</v>
      </c>
      <c r="V123" s="26">
        <v>3</v>
      </c>
      <c r="W123" s="26">
        <v>4</v>
      </c>
      <c r="X123" s="26">
        <v>5</v>
      </c>
      <c r="Y123" s="26">
        <v>6</v>
      </c>
      <c r="Z123" s="26">
        <v>7</v>
      </c>
      <c r="AA123" s="26">
        <v>8</v>
      </c>
      <c r="AB123" s="26">
        <v>9</v>
      </c>
      <c r="AC123" s="26">
        <v>10</v>
      </c>
      <c r="AD123" s="26">
        <v>11</v>
      </c>
      <c r="AE123" s="26">
        <v>12</v>
      </c>
      <c r="AF123" s="1713"/>
      <c r="AG123" s="26">
        <v>1</v>
      </c>
      <c r="AH123" s="26">
        <v>2</v>
      </c>
      <c r="AI123" s="26">
        <v>3</v>
      </c>
      <c r="AJ123" s="26">
        <v>4</v>
      </c>
      <c r="AK123" s="26">
        <v>5</v>
      </c>
      <c r="AL123" s="26">
        <v>6</v>
      </c>
      <c r="AM123" s="26">
        <v>7</v>
      </c>
      <c r="AN123" s="26">
        <v>8</v>
      </c>
      <c r="AO123" s="26">
        <v>9</v>
      </c>
      <c r="AP123" s="26">
        <v>10</v>
      </c>
      <c r="AQ123" s="26">
        <v>11</v>
      </c>
      <c r="AR123" s="26">
        <v>12</v>
      </c>
      <c r="AS123" s="26" t="s">
        <v>13</v>
      </c>
      <c r="AT123" s="173">
        <v>1</v>
      </c>
      <c r="AU123" s="173">
        <v>2</v>
      </c>
      <c r="AV123" s="173">
        <v>3</v>
      </c>
      <c r="AW123" s="173">
        <v>4</v>
      </c>
      <c r="AX123" s="173">
        <v>5</v>
      </c>
      <c r="AY123" s="173">
        <v>6</v>
      </c>
      <c r="AZ123" s="173">
        <v>7</v>
      </c>
      <c r="BA123" s="173">
        <v>8</v>
      </c>
      <c r="BB123" s="173">
        <v>9</v>
      </c>
      <c r="BC123" s="173">
        <v>10</v>
      </c>
      <c r="BD123" s="173">
        <v>11</v>
      </c>
      <c r="BE123" s="173">
        <v>12</v>
      </c>
      <c r="BF123" s="26" t="s">
        <v>13</v>
      </c>
      <c r="BG123" s="1708"/>
      <c r="BH123" s="1708"/>
      <c r="BI123" s="1711"/>
      <c r="BJ123" s="7"/>
      <c r="BK123" s="1743" t="s">
        <v>19</v>
      </c>
      <c r="BL123" s="1744"/>
      <c r="BM123" s="1745"/>
      <c r="BN123" s="621"/>
      <c r="BO123" s="173">
        <v>1</v>
      </c>
      <c r="BP123" s="173">
        <v>2</v>
      </c>
      <c r="BQ123" s="173">
        <v>3</v>
      </c>
      <c r="BR123" s="173">
        <v>4</v>
      </c>
      <c r="BS123" s="173">
        <v>5</v>
      </c>
      <c r="BT123" s="173">
        <v>6</v>
      </c>
      <c r="BU123" s="173">
        <v>7</v>
      </c>
      <c r="BV123" s="173">
        <v>8</v>
      </c>
      <c r="BW123" s="173">
        <v>9</v>
      </c>
      <c r="BX123" s="173">
        <v>10</v>
      </c>
      <c r="BY123" s="173">
        <v>11</v>
      </c>
      <c r="BZ123" s="173">
        <v>12</v>
      </c>
      <c r="CA123" s="26" t="s">
        <v>13</v>
      </c>
      <c r="CB123" s="173">
        <v>1</v>
      </c>
      <c r="CC123" s="173">
        <v>2</v>
      </c>
      <c r="CD123" s="173">
        <v>3</v>
      </c>
      <c r="CE123" s="173">
        <v>4</v>
      </c>
      <c r="CF123" s="173">
        <v>5</v>
      </c>
      <c r="CG123" s="173">
        <v>6</v>
      </c>
      <c r="CH123" s="173">
        <v>7</v>
      </c>
      <c r="CI123" s="173">
        <v>8</v>
      </c>
      <c r="CJ123" s="173">
        <v>9</v>
      </c>
      <c r="CK123" s="173">
        <v>10</v>
      </c>
      <c r="CL123" s="173">
        <v>11</v>
      </c>
      <c r="CM123" s="173">
        <v>12</v>
      </c>
      <c r="CN123" s="26" t="s">
        <v>13</v>
      </c>
    </row>
    <row r="124" spans="1:98" s="7" customFormat="1" ht="24.75" customHeight="1" x14ac:dyDescent="0.2">
      <c r="A124" s="41"/>
      <c r="B124" s="141" t="s">
        <v>89</v>
      </c>
      <c r="C124" s="29" t="s">
        <v>25</v>
      </c>
      <c r="D124" s="555">
        <v>100</v>
      </c>
      <c r="E124" s="82">
        <v>50</v>
      </c>
      <c r="F124" s="1080">
        <v>50</v>
      </c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1">
        <f>SUM(E124:P124)</f>
        <v>100</v>
      </c>
      <c r="R124" s="83" t="s">
        <v>31</v>
      </c>
      <c r="S124" s="556">
        <v>10300</v>
      </c>
      <c r="T124" s="84">
        <v>9000</v>
      </c>
      <c r="U124" s="1154">
        <v>10300</v>
      </c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69">
        <f t="shared" ref="AF124:AF126" si="268">SUM(Q124*S124)</f>
        <v>1030000</v>
      </c>
      <c r="AG124" s="70">
        <f t="shared" ref="AG124:AI126" si="269">T124*E124</f>
        <v>450000</v>
      </c>
      <c r="AH124" s="1081">
        <f t="shared" si="269"/>
        <v>515000</v>
      </c>
      <c r="AI124" s="70">
        <f t="shared" si="269"/>
        <v>0</v>
      </c>
      <c r="AJ124" s="70">
        <f t="shared" ref="AJ124:AR126" si="270">W124*H124</f>
        <v>0</v>
      </c>
      <c r="AK124" s="70">
        <f t="shared" si="270"/>
        <v>0</v>
      </c>
      <c r="AL124" s="70">
        <f t="shared" si="270"/>
        <v>0</v>
      </c>
      <c r="AM124" s="70">
        <f t="shared" si="270"/>
        <v>0</v>
      </c>
      <c r="AN124" s="70">
        <f t="shared" si="270"/>
        <v>0</v>
      </c>
      <c r="AO124" s="70">
        <f t="shared" si="270"/>
        <v>0</v>
      </c>
      <c r="AP124" s="70">
        <f t="shared" si="270"/>
        <v>0</v>
      </c>
      <c r="AQ124" s="70">
        <f t="shared" si="270"/>
        <v>0</v>
      </c>
      <c r="AR124" s="70">
        <f t="shared" si="270"/>
        <v>0</v>
      </c>
      <c r="AS124" s="71">
        <f>SUM(AG124:AR124)</f>
        <v>965000</v>
      </c>
      <c r="AT124" s="70">
        <f>SUM(AG124*4%)</f>
        <v>18000</v>
      </c>
      <c r="AU124" s="70"/>
      <c r="AV124" s="70">
        <f t="shared" ref="AV124:AV126" si="271">SUM(AI124*14%)</f>
        <v>0</v>
      </c>
      <c r="AW124" s="70">
        <f t="shared" ref="AW124:BE126" si="272">SUM(AJ124*14%)</f>
        <v>0</v>
      </c>
      <c r="AX124" s="70">
        <f t="shared" si="272"/>
        <v>0</v>
      </c>
      <c r="AY124" s="70">
        <f t="shared" si="272"/>
        <v>0</v>
      </c>
      <c r="AZ124" s="70">
        <f t="shared" si="272"/>
        <v>0</v>
      </c>
      <c r="BA124" s="70">
        <f t="shared" si="272"/>
        <v>0</v>
      </c>
      <c r="BB124" s="70">
        <f t="shared" si="272"/>
        <v>0</v>
      </c>
      <c r="BC124" s="70">
        <f t="shared" si="272"/>
        <v>0</v>
      </c>
      <c r="BD124" s="70">
        <f t="shared" si="272"/>
        <v>0</v>
      </c>
      <c r="BE124" s="70">
        <f t="shared" si="272"/>
        <v>0</v>
      </c>
      <c r="BF124" s="72">
        <f>SUM(AT124:BE124)</f>
        <v>18000</v>
      </c>
      <c r="BG124" s="73">
        <f>AF124-AS124</f>
        <v>65000</v>
      </c>
      <c r="BH124" s="74">
        <f>S124*D124</f>
        <v>1030000</v>
      </c>
      <c r="BI124" s="75">
        <f>BH124-AS124-BF124</f>
        <v>47000</v>
      </c>
      <c r="BJ124" s="175">
        <f>SUM(Q124/D124)</f>
        <v>1</v>
      </c>
      <c r="BK124" s="1081">
        <f>AH124-AU124</f>
        <v>515000</v>
      </c>
      <c r="BL124" s="1081">
        <f>50*9000</f>
        <v>450000</v>
      </c>
      <c r="BM124" s="1083">
        <f>BK124-BL124</f>
        <v>65000</v>
      </c>
      <c r="BN124" s="1084"/>
      <c r="BO124" s="862"/>
      <c r="BP124" s="862"/>
      <c r="BQ124" s="862"/>
      <c r="BR124" s="862"/>
      <c r="BS124" s="862"/>
      <c r="BT124" s="862"/>
      <c r="BU124" s="862"/>
      <c r="BV124" s="862"/>
      <c r="BW124" s="1081">
        <f t="shared" ref="BW124:BW125" si="273">SUM(AN124*12.5%)</f>
        <v>0</v>
      </c>
      <c r="BX124" s="862"/>
      <c r="BY124" s="862"/>
      <c r="BZ124" s="862"/>
      <c r="CA124" s="73">
        <f t="shared" ref="CA124" si="274">SUM(BO124:BZ124)</f>
        <v>0</v>
      </c>
      <c r="CB124" s="862"/>
      <c r="CC124" s="862"/>
      <c r="CD124" s="862"/>
      <c r="CE124" s="862"/>
      <c r="CF124" s="862"/>
      <c r="CG124" s="862"/>
      <c r="CH124" s="862"/>
      <c r="CI124" s="862"/>
      <c r="CJ124" s="1081"/>
      <c r="CK124" s="862"/>
      <c r="CL124" s="862"/>
      <c r="CM124" s="862"/>
      <c r="CN124" s="73">
        <f t="shared" ref="CN124:CN125" si="275">SUM(CB124:CM124)</f>
        <v>0</v>
      </c>
    </row>
    <row r="125" spans="1:98" s="7" customFormat="1" ht="24.75" customHeight="1" x14ac:dyDescent="0.2">
      <c r="A125" s="41"/>
      <c r="B125" s="141" t="s">
        <v>90</v>
      </c>
      <c r="C125" s="29" t="s">
        <v>25</v>
      </c>
      <c r="D125" s="555">
        <v>100</v>
      </c>
      <c r="E125" s="82">
        <v>50</v>
      </c>
      <c r="F125" s="1080">
        <v>50</v>
      </c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1">
        <f>SUM(E125:P125)</f>
        <v>100</v>
      </c>
      <c r="R125" s="83" t="s">
        <v>31</v>
      </c>
      <c r="S125" s="556">
        <v>28500</v>
      </c>
      <c r="T125" s="84">
        <v>25000</v>
      </c>
      <c r="U125" s="1154">
        <v>28000</v>
      </c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69">
        <f t="shared" si="268"/>
        <v>2850000</v>
      </c>
      <c r="AG125" s="70">
        <f t="shared" si="269"/>
        <v>1250000</v>
      </c>
      <c r="AH125" s="1081">
        <f t="shared" si="269"/>
        <v>1400000</v>
      </c>
      <c r="AI125" s="70">
        <f t="shared" si="269"/>
        <v>0</v>
      </c>
      <c r="AJ125" s="70">
        <f t="shared" si="270"/>
        <v>0</v>
      </c>
      <c r="AK125" s="70">
        <f t="shared" si="270"/>
        <v>0</v>
      </c>
      <c r="AL125" s="70">
        <f t="shared" si="270"/>
        <v>0</v>
      </c>
      <c r="AM125" s="70">
        <f t="shared" si="270"/>
        <v>0</v>
      </c>
      <c r="AN125" s="70">
        <f t="shared" si="270"/>
        <v>0</v>
      </c>
      <c r="AO125" s="70">
        <f t="shared" si="270"/>
        <v>0</v>
      </c>
      <c r="AP125" s="70">
        <f t="shared" si="270"/>
        <v>0</v>
      </c>
      <c r="AQ125" s="70">
        <f t="shared" si="270"/>
        <v>0</v>
      </c>
      <c r="AR125" s="70">
        <f t="shared" si="270"/>
        <v>0</v>
      </c>
      <c r="AS125" s="71">
        <f>SUM(AG125:AR125)</f>
        <v>2650000</v>
      </c>
      <c r="AT125" s="70">
        <f>SUM(AG125*4%)</f>
        <v>50000</v>
      </c>
      <c r="AU125" s="70"/>
      <c r="AV125" s="70">
        <f t="shared" si="271"/>
        <v>0</v>
      </c>
      <c r="AW125" s="70">
        <f t="shared" si="272"/>
        <v>0</v>
      </c>
      <c r="AX125" s="70">
        <f t="shared" si="272"/>
        <v>0</v>
      </c>
      <c r="AY125" s="70">
        <f t="shared" si="272"/>
        <v>0</v>
      </c>
      <c r="AZ125" s="70">
        <f t="shared" si="272"/>
        <v>0</v>
      </c>
      <c r="BA125" s="70">
        <f t="shared" si="272"/>
        <v>0</v>
      </c>
      <c r="BB125" s="70">
        <f t="shared" si="272"/>
        <v>0</v>
      </c>
      <c r="BC125" s="70">
        <f t="shared" si="272"/>
        <v>0</v>
      </c>
      <c r="BD125" s="70">
        <f t="shared" si="272"/>
        <v>0</v>
      </c>
      <c r="BE125" s="70">
        <f t="shared" si="272"/>
        <v>0</v>
      </c>
      <c r="BF125" s="72">
        <f>SUM(AT125:BE125)</f>
        <v>50000</v>
      </c>
      <c r="BG125" s="73">
        <f t="shared" ref="BG125:BG126" si="276">AF125-AS125</f>
        <v>200000</v>
      </c>
      <c r="BH125" s="74">
        <f>S125*D125</f>
        <v>2850000</v>
      </c>
      <c r="BI125" s="75">
        <f t="shared" ref="BI125:BI126" si="277">BH125-AS125-BF125</f>
        <v>150000</v>
      </c>
      <c r="BJ125" s="175">
        <f>SUM(Q125/D125)</f>
        <v>1</v>
      </c>
      <c r="BK125" s="1081">
        <f>AH125-AU125</f>
        <v>1400000</v>
      </c>
      <c r="BL125" s="1081">
        <f>50 *24500</f>
        <v>1225000</v>
      </c>
      <c r="BM125" s="1083">
        <f t="shared" ref="BM125:BM126" si="278">BK125-BL125</f>
        <v>175000</v>
      </c>
      <c r="BN125" s="1084"/>
      <c r="BO125" s="862"/>
      <c r="BP125" s="862"/>
      <c r="BQ125" s="862"/>
      <c r="BR125" s="862"/>
      <c r="BS125" s="862"/>
      <c r="BT125" s="862"/>
      <c r="BU125" s="862"/>
      <c r="BV125" s="862"/>
      <c r="BW125" s="1081">
        <f t="shared" si="273"/>
        <v>0</v>
      </c>
      <c r="BX125" s="862"/>
      <c r="BY125" s="862"/>
      <c r="BZ125" s="862"/>
      <c r="CA125" s="73">
        <f t="shared" ref="CA125" si="279">SUM(BO125:BZ125)</f>
        <v>0</v>
      </c>
      <c r="CB125" s="862"/>
      <c r="CC125" s="862"/>
      <c r="CD125" s="862"/>
      <c r="CE125" s="862"/>
      <c r="CF125" s="862"/>
      <c r="CG125" s="862"/>
      <c r="CH125" s="862"/>
      <c r="CI125" s="862"/>
      <c r="CJ125" s="1081"/>
      <c r="CK125" s="862"/>
      <c r="CL125" s="862"/>
      <c r="CM125" s="862"/>
      <c r="CN125" s="73">
        <f t="shared" si="275"/>
        <v>0</v>
      </c>
    </row>
    <row r="126" spans="1:98" s="7" customFormat="1" ht="24.75" customHeight="1" thickBot="1" x14ac:dyDescent="0.25">
      <c r="A126" s="41"/>
      <c r="B126" s="141" t="s">
        <v>32</v>
      </c>
      <c r="C126" s="29" t="s">
        <v>25</v>
      </c>
      <c r="D126" s="231">
        <v>4</v>
      </c>
      <c r="E126" s="82"/>
      <c r="F126" s="108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1">
        <f>SUM(E126:P126)</f>
        <v>0</v>
      </c>
      <c r="R126" s="83" t="s">
        <v>16</v>
      </c>
      <c r="S126" s="142">
        <v>35000</v>
      </c>
      <c r="T126" s="84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69">
        <f t="shared" si="268"/>
        <v>0</v>
      </c>
      <c r="AG126" s="70">
        <f t="shared" si="269"/>
        <v>0</v>
      </c>
      <c r="AH126" s="1081">
        <f t="shared" si="269"/>
        <v>0</v>
      </c>
      <c r="AI126" s="70">
        <f t="shared" si="269"/>
        <v>0</v>
      </c>
      <c r="AJ126" s="70">
        <f t="shared" si="270"/>
        <v>0</v>
      </c>
      <c r="AK126" s="70">
        <f t="shared" si="270"/>
        <v>0</v>
      </c>
      <c r="AL126" s="70">
        <f t="shared" si="270"/>
        <v>0</v>
      </c>
      <c r="AM126" s="70">
        <f t="shared" si="270"/>
        <v>0</v>
      </c>
      <c r="AN126" s="70">
        <f t="shared" si="270"/>
        <v>0</v>
      </c>
      <c r="AO126" s="70">
        <f t="shared" si="270"/>
        <v>0</v>
      </c>
      <c r="AP126" s="70">
        <f t="shared" si="270"/>
        <v>0</v>
      </c>
      <c r="AQ126" s="70">
        <f t="shared" si="270"/>
        <v>0</v>
      </c>
      <c r="AR126" s="70">
        <f t="shared" si="270"/>
        <v>0</v>
      </c>
      <c r="AS126" s="71">
        <f>SUM(AG126:AR126)</f>
        <v>0</v>
      </c>
      <c r="AT126" s="70">
        <f>SUM(AG126*4%)</f>
        <v>0</v>
      </c>
      <c r="AU126" s="70"/>
      <c r="AV126" s="70">
        <f t="shared" si="271"/>
        <v>0</v>
      </c>
      <c r="AW126" s="70">
        <f t="shared" si="272"/>
        <v>0</v>
      </c>
      <c r="AX126" s="70">
        <f t="shared" si="272"/>
        <v>0</v>
      </c>
      <c r="AY126" s="70">
        <f t="shared" si="272"/>
        <v>0</v>
      </c>
      <c r="AZ126" s="70">
        <f t="shared" si="272"/>
        <v>0</v>
      </c>
      <c r="BA126" s="70">
        <f t="shared" si="272"/>
        <v>0</v>
      </c>
      <c r="BB126" s="70">
        <f t="shared" si="272"/>
        <v>0</v>
      </c>
      <c r="BC126" s="70">
        <f t="shared" si="272"/>
        <v>0</v>
      </c>
      <c r="BD126" s="70">
        <f t="shared" si="272"/>
        <v>0</v>
      </c>
      <c r="BE126" s="70">
        <f t="shared" si="272"/>
        <v>0</v>
      </c>
      <c r="BF126" s="72">
        <f>SUM(AT126:BE126)</f>
        <v>0</v>
      </c>
      <c r="BG126" s="73">
        <f t="shared" si="276"/>
        <v>0</v>
      </c>
      <c r="BH126" s="74">
        <f>S126*D126</f>
        <v>140000</v>
      </c>
      <c r="BI126" s="75">
        <f t="shared" si="277"/>
        <v>140000</v>
      </c>
      <c r="BJ126" s="175">
        <f>SUM(Q126/D126)</f>
        <v>0</v>
      </c>
      <c r="BK126" s="1081"/>
      <c r="BL126" s="1081"/>
      <c r="BM126" s="1083">
        <f t="shared" si="278"/>
        <v>0</v>
      </c>
      <c r="BN126" s="1084"/>
      <c r="BO126" s="862"/>
      <c r="BP126" s="862"/>
      <c r="BQ126" s="862"/>
      <c r="BR126" s="862"/>
      <c r="BS126" s="862"/>
      <c r="BT126" s="862"/>
      <c r="BU126" s="862"/>
      <c r="BV126" s="862"/>
      <c r="BW126" s="1081">
        <f t="shared" ref="BW126:BW127" si="280">SUM(AN126*12.5%)</f>
        <v>0</v>
      </c>
      <c r="BX126" s="862"/>
      <c r="BY126" s="862"/>
      <c r="BZ126" s="862"/>
      <c r="CA126" s="73">
        <f t="shared" ref="CA126:CA127" si="281">SUM(BO126:BZ126)</f>
        <v>0</v>
      </c>
      <c r="CB126" s="862"/>
      <c r="CC126" s="862"/>
      <c r="CD126" s="862"/>
      <c r="CE126" s="862"/>
      <c r="CF126" s="862"/>
      <c r="CG126" s="862"/>
      <c r="CH126" s="862"/>
      <c r="CI126" s="862"/>
      <c r="CJ126" s="1081"/>
      <c r="CK126" s="862"/>
      <c r="CL126" s="862"/>
      <c r="CM126" s="862"/>
      <c r="CN126" s="73">
        <f t="shared" ref="CN126:CN127" si="282">SUM(CB126:CM126)</f>
        <v>0</v>
      </c>
    </row>
    <row r="127" spans="1:98" s="38" customFormat="1" ht="24.75" customHeight="1" thickBot="1" x14ac:dyDescent="0.25">
      <c r="A127" s="554">
        <v>12</v>
      </c>
      <c r="B127" s="44" t="s">
        <v>4</v>
      </c>
      <c r="C127" s="44"/>
      <c r="D127" s="227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7"/>
      <c r="R127" s="77"/>
      <c r="S127" s="45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78">
        <f t="shared" ref="AF127:BF127" si="283">SUM(AF124:AF126)</f>
        <v>3880000</v>
      </c>
      <c r="AG127" s="78">
        <f>SUM(AG124:AG126)-100000</f>
        <v>1600000</v>
      </c>
      <c r="AH127" s="1475">
        <f>SUM(AH124:AH126)-200000</f>
        <v>1715000</v>
      </c>
      <c r="AI127" s="78">
        <f t="shared" si="283"/>
        <v>0</v>
      </c>
      <c r="AJ127" s="78">
        <f t="shared" ref="AJ127:AR127" si="284">SUM(AJ124:AJ126)</f>
        <v>0</v>
      </c>
      <c r="AK127" s="78">
        <f t="shared" si="284"/>
        <v>0</v>
      </c>
      <c r="AL127" s="78">
        <f t="shared" si="284"/>
        <v>0</v>
      </c>
      <c r="AM127" s="78">
        <f t="shared" si="284"/>
        <v>0</v>
      </c>
      <c r="AN127" s="78">
        <f t="shared" si="284"/>
        <v>0</v>
      </c>
      <c r="AO127" s="78">
        <f t="shared" si="284"/>
        <v>0</v>
      </c>
      <c r="AP127" s="78">
        <f t="shared" si="284"/>
        <v>0</v>
      </c>
      <c r="AQ127" s="78">
        <f t="shared" si="284"/>
        <v>0</v>
      </c>
      <c r="AR127" s="78">
        <f t="shared" si="284"/>
        <v>0</v>
      </c>
      <c r="AS127" s="78">
        <f>SUM(AS124:AS126)-300000</f>
        <v>3315000</v>
      </c>
      <c r="AT127" s="78">
        <f t="shared" si="283"/>
        <v>68000</v>
      </c>
      <c r="AU127" s="78"/>
      <c r="AV127" s="78">
        <f t="shared" si="283"/>
        <v>0</v>
      </c>
      <c r="AW127" s="78">
        <f t="shared" ref="AW127:BE127" si="285">SUM(AW124:AW126)</f>
        <v>0</v>
      </c>
      <c r="AX127" s="78">
        <f t="shared" si="285"/>
        <v>0</v>
      </c>
      <c r="AY127" s="78">
        <f t="shared" si="285"/>
        <v>0</v>
      </c>
      <c r="AZ127" s="78">
        <f t="shared" si="285"/>
        <v>0</v>
      </c>
      <c r="BA127" s="78">
        <f t="shared" si="285"/>
        <v>0</v>
      </c>
      <c r="BB127" s="78">
        <f t="shared" si="285"/>
        <v>0</v>
      </c>
      <c r="BC127" s="78">
        <f t="shared" si="285"/>
        <v>0</v>
      </c>
      <c r="BD127" s="78">
        <f t="shared" si="285"/>
        <v>0</v>
      </c>
      <c r="BE127" s="78">
        <f t="shared" si="285"/>
        <v>0</v>
      </c>
      <c r="BF127" s="78">
        <f t="shared" si="283"/>
        <v>68000</v>
      </c>
      <c r="BG127" s="79">
        <f>SUM(BG124:BG126)</f>
        <v>265000</v>
      </c>
      <c r="BH127" s="78">
        <f>SUM(BH124:BH126)</f>
        <v>4020000</v>
      </c>
      <c r="BI127" s="78">
        <f>SUM(BI124:BI126)</f>
        <v>337000</v>
      </c>
      <c r="BJ127" s="176">
        <f>SUM(BJ124:BJ126)/2</f>
        <v>1</v>
      </c>
      <c r="BK127" s="1107">
        <f>SUM(BK124:BK126)</f>
        <v>1915000</v>
      </c>
      <c r="BL127" s="1107">
        <f>SUM(BL124:BL126)</f>
        <v>1675000</v>
      </c>
      <c r="BM127" s="1083">
        <f>SUM(BM124:BM126)</f>
        <v>240000</v>
      </c>
      <c r="BN127" s="1084"/>
      <c r="BO127" s="862"/>
      <c r="BP127" s="862"/>
      <c r="BQ127" s="862"/>
      <c r="BR127" s="862"/>
      <c r="BS127" s="862"/>
      <c r="BT127" s="862"/>
      <c r="BU127" s="862"/>
      <c r="BV127" s="862"/>
      <c r="BW127" s="1081">
        <f t="shared" si="280"/>
        <v>0</v>
      </c>
      <c r="BX127" s="862"/>
      <c r="BY127" s="862"/>
      <c r="BZ127" s="862"/>
      <c r="CA127" s="73">
        <f t="shared" si="281"/>
        <v>0</v>
      </c>
      <c r="CB127" s="862"/>
      <c r="CC127" s="862"/>
      <c r="CD127" s="862"/>
      <c r="CE127" s="862"/>
      <c r="CF127" s="862"/>
      <c r="CG127" s="862"/>
      <c r="CH127" s="862"/>
      <c r="CI127" s="862"/>
      <c r="CJ127" s="1081"/>
      <c r="CK127" s="862"/>
      <c r="CL127" s="862"/>
      <c r="CM127" s="862"/>
      <c r="CN127" s="73">
        <f t="shared" si="282"/>
        <v>0</v>
      </c>
    </row>
    <row r="128" spans="1:98" s="20" customFormat="1" ht="24.75" customHeight="1" x14ac:dyDescent="0.2">
      <c r="A128" s="50"/>
      <c r="D128" s="22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AE128" s="40"/>
      <c r="AS128" s="51"/>
      <c r="BF128" s="52">
        <f>SUM(AS127+BF127)</f>
        <v>3383000</v>
      </c>
      <c r="BG128" s="53">
        <f>AF127-AS127</f>
        <v>565000</v>
      </c>
      <c r="BH128" s="54">
        <f>SUM(BI127+AS127+BF127)</f>
        <v>3720000</v>
      </c>
      <c r="BI128" s="55">
        <f>SUM(BG127)</f>
        <v>265000</v>
      </c>
      <c r="BJ128" s="40" t="s">
        <v>38</v>
      </c>
      <c r="BK128" s="40"/>
      <c r="BL128" s="236">
        <v>1</v>
      </c>
      <c r="BM128" s="236">
        <v>10200</v>
      </c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</row>
    <row r="129" spans="1:98" s="20" customFormat="1" ht="24.75" customHeight="1" x14ac:dyDescent="0.2">
      <c r="A129" s="50"/>
      <c r="D129" s="22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AE129" s="40"/>
      <c r="AH129" s="404"/>
      <c r="AS129" s="40"/>
      <c r="AT129" s="123">
        <f>SUM(AG127+AT127)</f>
        <v>1668000</v>
      </c>
      <c r="AU129" s="123">
        <f t="shared" ref="AU129:BE129" si="286">SUM(AH127+AU127)</f>
        <v>1715000</v>
      </c>
      <c r="AV129" s="123"/>
      <c r="AW129" s="123">
        <f t="shared" si="286"/>
        <v>0</v>
      </c>
      <c r="AX129" s="123">
        <f t="shared" si="286"/>
        <v>0</v>
      </c>
      <c r="AY129" s="123">
        <f t="shared" si="286"/>
        <v>0</v>
      </c>
      <c r="AZ129" s="123">
        <f t="shared" si="286"/>
        <v>0</v>
      </c>
      <c r="BA129" s="123">
        <f t="shared" si="286"/>
        <v>0</v>
      </c>
      <c r="BB129" s="123">
        <f t="shared" si="286"/>
        <v>0</v>
      </c>
      <c r="BC129" s="123">
        <f t="shared" si="286"/>
        <v>0</v>
      </c>
      <c r="BD129" s="123">
        <f t="shared" si="286"/>
        <v>0</v>
      </c>
      <c r="BE129" s="123">
        <f t="shared" si="286"/>
        <v>0</v>
      </c>
      <c r="BF129" s="123">
        <f>SUM(AT129:BE129)</f>
        <v>3383000</v>
      </c>
      <c r="BG129" s="40"/>
      <c r="BH129" s="56"/>
      <c r="BI129" s="57">
        <f>SUM(BI127-BI128)</f>
        <v>72000</v>
      </c>
      <c r="BJ129" s="40" t="s">
        <v>37</v>
      </c>
      <c r="BK129" s="40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</row>
    <row r="130" spans="1:98" s="20" customFormat="1" ht="16.5" customHeight="1" x14ac:dyDescent="0.2">
      <c r="A130" s="1730" t="s">
        <v>8</v>
      </c>
      <c r="B130" s="1731"/>
      <c r="C130" s="124" t="s">
        <v>112</v>
      </c>
      <c r="D130" s="224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7"/>
      <c r="AF130" s="23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8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8"/>
      <c r="BG130" s="138"/>
      <c r="BH130" s="135"/>
      <c r="BI130" s="139"/>
      <c r="BJ130" s="135"/>
      <c r="BK130" s="136"/>
      <c r="BL130" s="136"/>
      <c r="BM130" s="136"/>
      <c r="BN130" s="136"/>
      <c r="BO130" s="136"/>
      <c r="BP130" s="137"/>
      <c r="BQ130" s="136"/>
      <c r="BR130" s="136"/>
      <c r="BS130" s="136"/>
      <c r="BT130" s="136"/>
      <c r="BU130" s="136"/>
      <c r="BV130" s="138"/>
      <c r="BW130" s="138"/>
      <c r="BX130" s="138"/>
      <c r="BY130" s="135"/>
      <c r="BZ130" s="139"/>
      <c r="CA130" s="138"/>
      <c r="CB130" s="138"/>
      <c r="CC130" s="24"/>
      <c r="CD130" s="24"/>
      <c r="CE130" s="24"/>
      <c r="CF130" s="24"/>
      <c r="CG130" s="24"/>
      <c r="CH130" s="140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</row>
    <row r="131" spans="1:98" s="8" customFormat="1" ht="48.75" customHeight="1" x14ac:dyDescent="0.2">
      <c r="A131" s="1703" t="s">
        <v>10</v>
      </c>
      <c r="B131" s="1706" t="s">
        <v>11</v>
      </c>
      <c r="C131" s="1706" t="s">
        <v>22</v>
      </c>
      <c r="D131" s="1721" t="s">
        <v>12</v>
      </c>
      <c r="E131" s="1721"/>
      <c r="F131" s="1721"/>
      <c r="G131" s="1721"/>
      <c r="H131" s="1721"/>
      <c r="I131" s="1721"/>
      <c r="J131" s="1721"/>
      <c r="K131" s="1721"/>
      <c r="L131" s="1721"/>
      <c r="M131" s="1721"/>
      <c r="N131" s="1721"/>
      <c r="O131" s="1721"/>
      <c r="P131" s="1721"/>
      <c r="Q131" s="1721"/>
      <c r="R131" s="1706" t="s">
        <v>20</v>
      </c>
      <c r="S131" s="1717" t="s">
        <v>17</v>
      </c>
      <c r="T131" s="1718"/>
      <c r="U131" s="1718"/>
      <c r="V131" s="1718"/>
      <c r="W131" s="1718"/>
      <c r="X131" s="1718"/>
      <c r="Y131" s="1718"/>
      <c r="Z131" s="1718"/>
      <c r="AA131" s="1718"/>
      <c r="AB131" s="1718"/>
      <c r="AC131" s="1718"/>
      <c r="AD131" s="1718"/>
      <c r="AE131" s="1719"/>
      <c r="AF131" s="1720" t="s">
        <v>6</v>
      </c>
      <c r="AG131" s="1720"/>
      <c r="AH131" s="1720"/>
      <c r="AI131" s="1720"/>
      <c r="AJ131" s="1720"/>
      <c r="AK131" s="1720"/>
      <c r="AL131" s="1720"/>
      <c r="AM131" s="1720"/>
      <c r="AN131" s="1720"/>
      <c r="AO131" s="1720"/>
      <c r="AP131" s="1720"/>
      <c r="AQ131" s="1720"/>
      <c r="AR131" s="1720"/>
      <c r="AS131" s="1720"/>
      <c r="AT131" s="1722" t="s">
        <v>41</v>
      </c>
      <c r="AU131" s="1723"/>
      <c r="AV131" s="1723"/>
      <c r="AW131" s="1723"/>
      <c r="AX131" s="1723"/>
      <c r="AY131" s="1723"/>
      <c r="AZ131" s="1723"/>
      <c r="BA131" s="1723"/>
      <c r="BB131" s="1723"/>
      <c r="BC131" s="1723"/>
      <c r="BD131" s="1723"/>
      <c r="BE131" s="1723"/>
      <c r="BF131" s="1724"/>
      <c r="BG131" s="1706" t="s">
        <v>38</v>
      </c>
      <c r="BH131" s="1706" t="s">
        <v>256</v>
      </c>
      <c r="BI131" s="1709" t="s">
        <v>39</v>
      </c>
      <c r="BJ131" s="135"/>
      <c r="BK131" s="1378">
        <v>337700</v>
      </c>
      <c r="BL131" s="135"/>
      <c r="BM131" s="135"/>
      <c r="BN131" s="135"/>
      <c r="BO131" s="1733" t="s">
        <v>41</v>
      </c>
      <c r="BP131" s="1734"/>
      <c r="BQ131" s="1734"/>
      <c r="BR131" s="1734"/>
      <c r="BS131" s="1734"/>
      <c r="BT131" s="1734"/>
      <c r="BU131" s="1734"/>
      <c r="BV131" s="1734"/>
      <c r="BW131" s="1734"/>
      <c r="BX131" s="1734"/>
      <c r="BY131" s="1734"/>
      <c r="BZ131" s="1734"/>
      <c r="CA131" s="1734"/>
      <c r="CB131" s="1734"/>
      <c r="CC131" s="1734"/>
      <c r="CD131" s="1734"/>
      <c r="CE131" s="1734"/>
      <c r="CF131" s="1734"/>
      <c r="CG131" s="1734"/>
      <c r="CH131" s="1734"/>
      <c r="CI131" s="1734"/>
      <c r="CJ131" s="1734"/>
      <c r="CK131" s="1734"/>
      <c r="CL131" s="1734"/>
      <c r="CM131" s="1734"/>
      <c r="CN131" s="1735"/>
    </row>
    <row r="132" spans="1:98" s="8" customFormat="1" ht="48.75" customHeight="1" x14ac:dyDescent="0.2">
      <c r="A132" s="1704"/>
      <c r="B132" s="1707"/>
      <c r="C132" s="1707"/>
      <c r="D132" s="1728" t="s">
        <v>18</v>
      </c>
      <c r="E132" s="1714" t="s">
        <v>19</v>
      </c>
      <c r="F132" s="1715"/>
      <c r="G132" s="1715"/>
      <c r="H132" s="1715"/>
      <c r="I132" s="1715"/>
      <c r="J132" s="1715"/>
      <c r="K132" s="1715"/>
      <c r="L132" s="1715"/>
      <c r="M132" s="1715"/>
      <c r="N132" s="1715"/>
      <c r="O132" s="1715"/>
      <c r="P132" s="1715"/>
      <c r="Q132" s="1715"/>
      <c r="R132" s="1707"/>
      <c r="S132" s="1712" t="s">
        <v>18</v>
      </c>
      <c r="T132" s="1714" t="s">
        <v>19</v>
      </c>
      <c r="U132" s="1715"/>
      <c r="V132" s="1715"/>
      <c r="W132" s="1715"/>
      <c r="X132" s="1715"/>
      <c r="Y132" s="1715"/>
      <c r="Z132" s="1715"/>
      <c r="AA132" s="1715"/>
      <c r="AB132" s="1715"/>
      <c r="AC132" s="1715"/>
      <c r="AD132" s="1715"/>
      <c r="AE132" s="1716"/>
      <c r="AF132" s="1712" t="s">
        <v>18</v>
      </c>
      <c r="AG132" s="1714" t="s">
        <v>19</v>
      </c>
      <c r="AH132" s="1715"/>
      <c r="AI132" s="1715"/>
      <c r="AJ132" s="1715"/>
      <c r="AK132" s="1715"/>
      <c r="AL132" s="1715"/>
      <c r="AM132" s="1715"/>
      <c r="AN132" s="1715"/>
      <c r="AO132" s="1715"/>
      <c r="AP132" s="1715"/>
      <c r="AQ132" s="1715"/>
      <c r="AR132" s="1715"/>
      <c r="AS132" s="1716"/>
      <c r="AT132" s="1725"/>
      <c r="AU132" s="1726"/>
      <c r="AV132" s="1726"/>
      <c r="AW132" s="1726"/>
      <c r="AX132" s="1726"/>
      <c r="AY132" s="1726"/>
      <c r="AZ132" s="1726"/>
      <c r="BA132" s="1726"/>
      <c r="BB132" s="1726"/>
      <c r="BC132" s="1726"/>
      <c r="BD132" s="1726"/>
      <c r="BE132" s="1726"/>
      <c r="BF132" s="1727"/>
      <c r="BG132" s="1707"/>
      <c r="BH132" s="1707"/>
      <c r="BI132" s="1710"/>
      <c r="BJ132" s="135"/>
      <c r="BK132" s="1736">
        <f>BI127-BK131</f>
        <v>-700</v>
      </c>
      <c r="BL132" s="1736"/>
      <c r="BM132" s="1736"/>
      <c r="BN132" s="23"/>
      <c r="BO132" s="1737" t="s">
        <v>686</v>
      </c>
      <c r="BP132" s="1738"/>
      <c r="BQ132" s="1738"/>
      <c r="BR132" s="1738"/>
      <c r="BS132" s="1738"/>
      <c r="BT132" s="1738"/>
      <c r="BU132" s="1738"/>
      <c r="BV132" s="1738"/>
      <c r="BW132" s="1738"/>
      <c r="BX132" s="1738"/>
      <c r="BY132" s="1738"/>
      <c r="BZ132" s="1738"/>
      <c r="CA132" s="1739"/>
      <c r="CB132" s="1740" t="s">
        <v>687</v>
      </c>
      <c r="CC132" s="1741"/>
      <c r="CD132" s="1741"/>
      <c r="CE132" s="1741"/>
      <c r="CF132" s="1741"/>
      <c r="CG132" s="1741"/>
      <c r="CH132" s="1741"/>
      <c r="CI132" s="1741"/>
      <c r="CJ132" s="1741"/>
      <c r="CK132" s="1741"/>
      <c r="CL132" s="1741"/>
      <c r="CM132" s="1741"/>
      <c r="CN132" s="1742"/>
    </row>
    <row r="133" spans="1:98" s="6" customFormat="1" ht="28.5" customHeight="1" x14ac:dyDescent="0.2">
      <c r="A133" s="1705"/>
      <c r="B133" s="1708"/>
      <c r="C133" s="1708"/>
      <c r="D133" s="1729"/>
      <c r="E133" s="26">
        <v>1</v>
      </c>
      <c r="F133" s="26">
        <v>2</v>
      </c>
      <c r="G133" s="26">
        <v>3</v>
      </c>
      <c r="H133" s="26"/>
      <c r="I133" s="26"/>
      <c r="J133" s="26"/>
      <c r="K133" s="26"/>
      <c r="L133" s="26"/>
      <c r="M133" s="26"/>
      <c r="N133" s="26"/>
      <c r="O133" s="26"/>
      <c r="P133" s="26"/>
      <c r="Q133" s="26" t="s">
        <v>21</v>
      </c>
      <c r="R133" s="1708"/>
      <c r="S133" s="1713"/>
      <c r="T133" s="26">
        <v>1</v>
      </c>
      <c r="U133" s="26">
        <v>2</v>
      </c>
      <c r="V133" s="26">
        <v>3</v>
      </c>
      <c r="W133" s="26">
        <v>4</v>
      </c>
      <c r="X133" s="26">
        <v>5</v>
      </c>
      <c r="Y133" s="26">
        <v>6</v>
      </c>
      <c r="Z133" s="26">
        <v>7</v>
      </c>
      <c r="AA133" s="26">
        <v>8</v>
      </c>
      <c r="AB133" s="26">
        <v>9</v>
      </c>
      <c r="AC133" s="26">
        <v>10</v>
      </c>
      <c r="AD133" s="26">
        <v>11</v>
      </c>
      <c r="AE133" s="26">
        <v>12</v>
      </c>
      <c r="AF133" s="1713"/>
      <c r="AG133" s="26">
        <v>1</v>
      </c>
      <c r="AH133" s="26">
        <v>2</v>
      </c>
      <c r="AI133" s="26">
        <v>3</v>
      </c>
      <c r="AJ133" s="26">
        <v>4</v>
      </c>
      <c r="AK133" s="26">
        <v>5</v>
      </c>
      <c r="AL133" s="26">
        <v>6</v>
      </c>
      <c r="AM133" s="26">
        <v>7</v>
      </c>
      <c r="AN133" s="26">
        <v>8</v>
      </c>
      <c r="AO133" s="26">
        <v>9</v>
      </c>
      <c r="AP133" s="26">
        <v>10</v>
      </c>
      <c r="AQ133" s="26">
        <v>11</v>
      </c>
      <c r="AR133" s="26">
        <v>12</v>
      </c>
      <c r="AS133" s="26" t="s">
        <v>13</v>
      </c>
      <c r="AT133" s="173">
        <v>1</v>
      </c>
      <c r="AU133" s="173">
        <v>2</v>
      </c>
      <c r="AV133" s="173">
        <v>3</v>
      </c>
      <c r="AW133" s="173">
        <v>4</v>
      </c>
      <c r="AX133" s="173">
        <v>5</v>
      </c>
      <c r="AY133" s="173">
        <v>6</v>
      </c>
      <c r="AZ133" s="173">
        <v>7</v>
      </c>
      <c r="BA133" s="173">
        <v>8</v>
      </c>
      <c r="BB133" s="173">
        <v>9</v>
      </c>
      <c r="BC133" s="173">
        <v>10</v>
      </c>
      <c r="BD133" s="173">
        <v>11</v>
      </c>
      <c r="BE133" s="173">
        <v>12</v>
      </c>
      <c r="BF133" s="26" t="s">
        <v>13</v>
      </c>
      <c r="BG133" s="1708"/>
      <c r="BH133" s="1708"/>
      <c r="BI133" s="1711"/>
      <c r="BJ133" s="7"/>
      <c r="BK133" s="1743" t="s">
        <v>19</v>
      </c>
      <c r="BL133" s="1744"/>
      <c r="BM133" s="1745"/>
      <c r="BN133" s="621"/>
      <c r="BO133" s="173">
        <v>1</v>
      </c>
      <c r="BP133" s="173">
        <v>2</v>
      </c>
      <c r="BQ133" s="173">
        <v>3</v>
      </c>
      <c r="BR133" s="173">
        <v>4</v>
      </c>
      <c r="BS133" s="173">
        <v>5</v>
      </c>
      <c r="BT133" s="173">
        <v>6</v>
      </c>
      <c r="BU133" s="173">
        <v>7</v>
      </c>
      <c r="BV133" s="173">
        <v>8</v>
      </c>
      <c r="BW133" s="173">
        <v>9</v>
      </c>
      <c r="BX133" s="173">
        <v>10</v>
      </c>
      <c r="BY133" s="173">
        <v>11</v>
      </c>
      <c r="BZ133" s="173">
        <v>12</v>
      </c>
      <c r="CA133" s="26" t="s">
        <v>13</v>
      </c>
      <c r="CB133" s="173">
        <v>1</v>
      </c>
      <c r="CC133" s="173">
        <v>2</v>
      </c>
      <c r="CD133" s="173">
        <v>3</v>
      </c>
      <c r="CE133" s="173">
        <v>4</v>
      </c>
      <c r="CF133" s="173">
        <v>5</v>
      </c>
      <c r="CG133" s="173">
        <v>6</v>
      </c>
      <c r="CH133" s="173">
        <v>7</v>
      </c>
      <c r="CI133" s="173">
        <v>8</v>
      </c>
      <c r="CJ133" s="173">
        <v>9</v>
      </c>
      <c r="CK133" s="173">
        <v>10</v>
      </c>
      <c r="CL133" s="173">
        <v>11</v>
      </c>
      <c r="CM133" s="173">
        <v>12</v>
      </c>
      <c r="CN133" s="26" t="s">
        <v>13</v>
      </c>
    </row>
    <row r="134" spans="1:98" s="37" customFormat="1" ht="24.75" customHeight="1" x14ac:dyDescent="0.2">
      <c r="A134" s="28"/>
      <c r="B134" s="141" t="s">
        <v>89</v>
      </c>
      <c r="C134" s="29" t="s">
        <v>25</v>
      </c>
      <c r="D134" s="555">
        <v>30</v>
      </c>
      <c r="E134" s="893">
        <v>30</v>
      </c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1">
        <f>SUM(E134:P134)</f>
        <v>30</v>
      </c>
      <c r="R134" s="83" t="s">
        <v>31</v>
      </c>
      <c r="S134" s="142">
        <v>10300</v>
      </c>
      <c r="T134" s="628">
        <v>9000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629">
        <f t="shared" ref="AF134:AF137" si="287">SUM(Q134*S134)</f>
        <v>309000</v>
      </c>
      <c r="AG134" s="70">
        <f t="shared" ref="AG134:AI137" si="288">T134*E134</f>
        <v>270000</v>
      </c>
      <c r="AH134" s="70">
        <f t="shared" si="288"/>
        <v>0</v>
      </c>
      <c r="AI134" s="70">
        <f t="shared" si="288"/>
        <v>0</v>
      </c>
      <c r="AJ134" s="70">
        <f t="shared" ref="AJ134:AR137" si="289">W134*H134</f>
        <v>0</v>
      </c>
      <c r="AK134" s="70">
        <f t="shared" si="289"/>
        <v>0</v>
      </c>
      <c r="AL134" s="70">
        <f t="shared" si="289"/>
        <v>0</v>
      </c>
      <c r="AM134" s="70">
        <f t="shared" si="289"/>
        <v>0</v>
      </c>
      <c r="AN134" s="70">
        <f t="shared" si="289"/>
        <v>0</v>
      </c>
      <c r="AO134" s="70">
        <f t="shared" si="289"/>
        <v>0</v>
      </c>
      <c r="AP134" s="70">
        <f t="shared" si="289"/>
        <v>0</v>
      </c>
      <c r="AQ134" s="70">
        <f t="shared" si="289"/>
        <v>0</v>
      </c>
      <c r="AR134" s="70">
        <f t="shared" si="289"/>
        <v>0</v>
      </c>
      <c r="AS134" s="71">
        <f>SUM(AG134:AR134)</f>
        <v>270000</v>
      </c>
      <c r="AT134" s="70">
        <f>SUM(AG134*4%)</f>
        <v>10800</v>
      </c>
      <c r="AU134" s="70">
        <f t="shared" ref="AU134:AV137" si="290">SUM(AH134*14%)</f>
        <v>0</v>
      </c>
      <c r="AV134" s="70">
        <f t="shared" si="290"/>
        <v>0</v>
      </c>
      <c r="AW134" s="70">
        <f t="shared" ref="AW134:BE137" si="291">SUM(AJ134*14%)</f>
        <v>0</v>
      </c>
      <c r="AX134" s="70">
        <f t="shared" si="291"/>
        <v>0</v>
      </c>
      <c r="AY134" s="70">
        <f t="shared" si="291"/>
        <v>0</v>
      </c>
      <c r="AZ134" s="70">
        <f t="shared" si="291"/>
        <v>0</v>
      </c>
      <c r="BA134" s="70">
        <f t="shared" si="291"/>
        <v>0</v>
      </c>
      <c r="BB134" s="70">
        <f t="shared" si="291"/>
        <v>0</v>
      </c>
      <c r="BC134" s="70">
        <f t="shared" si="291"/>
        <v>0</v>
      </c>
      <c r="BD134" s="70">
        <f t="shared" si="291"/>
        <v>0</v>
      </c>
      <c r="BE134" s="70">
        <f t="shared" si="291"/>
        <v>0</v>
      </c>
      <c r="BF134" s="72">
        <f>SUM(AT134:BE134)</f>
        <v>10800</v>
      </c>
      <c r="BG134" s="73">
        <f>AF134-AS134-BF134</f>
        <v>28200</v>
      </c>
      <c r="BH134" s="74">
        <f>S134*D134</f>
        <v>309000</v>
      </c>
      <c r="BI134" s="75">
        <f>BH134-AS134-BF134</f>
        <v>28200</v>
      </c>
      <c r="BJ134" s="891">
        <f>SUM(Q134/D134)</f>
        <v>1</v>
      </c>
      <c r="BK134" s="1081"/>
      <c r="BL134" s="1081"/>
      <c r="BM134" s="1083"/>
      <c r="BN134" s="1084"/>
      <c r="BO134" s="862"/>
      <c r="BP134" s="862"/>
      <c r="BQ134" s="862"/>
      <c r="BR134" s="862"/>
      <c r="BS134" s="862"/>
      <c r="BT134" s="862"/>
      <c r="BU134" s="862"/>
      <c r="BV134" s="862"/>
      <c r="BW134" s="1081">
        <f t="shared" ref="BW134:BW135" si="292">SUM(AN134*12.5%)</f>
        <v>0</v>
      </c>
      <c r="BX134" s="862"/>
      <c r="BY134" s="862"/>
      <c r="BZ134" s="862"/>
      <c r="CA134" s="73">
        <f t="shared" ref="CA134" si="293">SUM(BO134:BZ134)</f>
        <v>0</v>
      </c>
      <c r="CB134" s="862"/>
      <c r="CC134" s="862"/>
      <c r="CD134" s="862"/>
      <c r="CE134" s="862"/>
      <c r="CF134" s="862"/>
      <c r="CG134" s="862"/>
      <c r="CH134" s="862"/>
      <c r="CI134" s="862"/>
      <c r="CJ134" s="1081"/>
      <c r="CK134" s="862"/>
      <c r="CL134" s="862"/>
      <c r="CM134" s="862"/>
      <c r="CN134" s="73">
        <f t="shared" ref="CN134:CN135" si="294">SUM(CB134:CM134)</f>
        <v>0</v>
      </c>
    </row>
    <row r="135" spans="1:98" s="37" customFormat="1" ht="24.75" customHeight="1" x14ac:dyDescent="0.2">
      <c r="A135" s="28"/>
      <c r="B135" s="141" t="s">
        <v>90</v>
      </c>
      <c r="C135" s="29" t="s">
        <v>25</v>
      </c>
      <c r="D135" s="555">
        <v>30</v>
      </c>
      <c r="E135" s="893">
        <v>30</v>
      </c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1">
        <f>SUM(E135:P135)</f>
        <v>30</v>
      </c>
      <c r="R135" s="83" t="s">
        <v>31</v>
      </c>
      <c r="S135" s="142">
        <v>28500</v>
      </c>
      <c r="T135" s="628">
        <v>25000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629">
        <f t="shared" si="287"/>
        <v>855000</v>
      </c>
      <c r="AG135" s="70">
        <f t="shared" si="288"/>
        <v>750000</v>
      </c>
      <c r="AH135" s="70">
        <f t="shared" si="288"/>
        <v>0</v>
      </c>
      <c r="AI135" s="70">
        <f t="shared" si="288"/>
        <v>0</v>
      </c>
      <c r="AJ135" s="70">
        <f t="shared" si="289"/>
        <v>0</v>
      </c>
      <c r="AK135" s="70">
        <f t="shared" si="289"/>
        <v>0</v>
      </c>
      <c r="AL135" s="70">
        <f t="shared" si="289"/>
        <v>0</v>
      </c>
      <c r="AM135" s="70">
        <f t="shared" si="289"/>
        <v>0</v>
      </c>
      <c r="AN135" s="70">
        <f t="shared" si="289"/>
        <v>0</v>
      </c>
      <c r="AO135" s="70">
        <f t="shared" si="289"/>
        <v>0</v>
      </c>
      <c r="AP135" s="70">
        <f t="shared" si="289"/>
        <v>0</v>
      </c>
      <c r="AQ135" s="70">
        <f t="shared" si="289"/>
        <v>0</v>
      </c>
      <c r="AR135" s="70">
        <f t="shared" si="289"/>
        <v>0</v>
      </c>
      <c r="AS135" s="71">
        <f>SUM(AG135:AR135)</f>
        <v>750000</v>
      </c>
      <c r="AT135" s="70">
        <f t="shared" ref="AT135:AT137" si="295">SUM(AG135*4%)</f>
        <v>30000</v>
      </c>
      <c r="AU135" s="70">
        <f t="shared" si="290"/>
        <v>0</v>
      </c>
      <c r="AV135" s="70">
        <f t="shared" si="290"/>
        <v>0</v>
      </c>
      <c r="AW135" s="70">
        <f t="shared" si="291"/>
        <v>0</v>
      </c>
      <c r="AX135" s="70">
        <f t="shared" si="291"/>
        <v>0</v>
      </c>
      <c r="AY135" s="70">
        <f t="shared" si="291"/>
        <v>0</v>
      </c>
      <c r="AZ135" s="70">
        <f t="shared" si="291"/>
        <v>0</v>
      </c>
      <c r="BA135" s="70">
        <f t="shared" si="291"/>
        <v>0</v>
      </c>
      <c r="BB135" s="70">
        <f t="shared" si="291"/>
        <v>0</v>
      </c>
      <c r="BC135" s="70">
        <f t="shared" si="291"/>
        <v>0</v>
      </c>
      <c r="BD135" s="70">
        <f t="shared" si="291"/>
        <v>0</v>
      </c>
      <c r="BE135" s="70">
        <f t="shared" si="291"/>
        <v>0</v>
      </c>
      <c r="BF135" s="72">
        <f>SUM(AT135:BE135)</f>
        <v>30000</v>
      </c>
      <c r="BG135" s="73">
        <f>AF135-AS135-BF135</f>
        <v>75000</v>
      </c>
      <c r="BH135" s="74">
        <f>S135*D135</f>
        <v>855000</v>
      </c>
      <c r="BI135" s="75">
        <f>BH135-AS135-BF135</f>
        <v>75000</v>
      </c>
      <c r="BJ135" s="891">
        <f>SUM(Q135/D135)</f>
        <v>1</v>
      </c>
      <c r="BK135" s="1081"/>
      <c r="BL135" s="1081"/>
      <c r="BM135" s="1083"/>
      <c r="BN135" s="1084"/>
      <c r="BO135" s="862"/>
      <c r="BP135" s="862"/>
      <c r="BQ135" s="862"/>
      <c r="BR135" s="862"/>
      <c r="BS135" s="862"/>
      <c r="BT135" s="862"/>
      <c r="BU135" s="862"/>
      <c r="BV135" s="862"/>
      <c r="BW135" s="1081">
        <f t="shared" si="292"/>
        <v>0</v>
      </c>
      <c r="BX135" s="862"/>
      <c r="BY135" s="862"/>
      <c r="BZ135" s="862"/>
      <c r="CA135" s="73">
        <f t="shared" ref="CA135" si="296">SUM(BO135:BZ135)</f>
        <v>0</v>
      </c>
      <c r="CB135" s="862"/>
      <c r="CC135" s="862"/>
      <c r="CD135" s="862"/>
      <c r="CE135" s="862"/>
      <c r="CF135" s="862"/>
      <c r="CG135" s="862"/>
      <c r="CH135" s="862"/>
      <c r="CI135" s="862"/>
      <c r="CJ135" s="1081"/>
      <c r="CK135" s="862"/>
      <c r="CL135" s="862"/>
      <c r="CM135" s="862"/>
      <c r="CN135" s="73">
        <f t="shared" si="294"/>
        <v>0</v>
      </c>
    </row>
    <row r="136" spans="1:98" s="37" customFormat="1" ht="24.75" customHeight="1" x14ac:dyDescent="0.2">
      <c r="A136" s="28"/>
      <c r="B136" s="141" t="s">
        <v>109</v>
      </c>
      <c r="C136" s="29" t="s">
        <v>25</v>
      </c>
      <c r="D136" s="555">
        <v>4</v>
      </c>
      <c r="E136" s="893">
        <v>4</v>
      </c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1">
        <f>SUM(E136:P136)</f>
        <v>4</v>
      </c>
      <c r="R136" s="83" t="s">
        <v>2</v>
      </c>
      <c r="S136" s="142">
        <v>49900</v>
      </c>
      <c r="T136" s="628">
        <v>45000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629">
        <f t="shared" si="287"/>
        <v>199600</v>
      </c>
      <c r="AG136" s="70">
        <f t="shared" si="288"/>
        <v>180000</v>
      </c>
      <c r="AH136" s="70">
        <f t="shared" si="288"/>
        <v>0</v>
      </c>
      <c r="AI136" s="70">
        <f t="shared" si="288"/>
        <v>0</v>
      </c>
      <c r="AJ136" s="70">
        <f t="shared" si="289"/>
        <v>0</v>
      </c>
      <c r="AK136" s="70">
        <f t="shared" si="289"/>
        <v>0</v>
      </c>
      <c r="AL136" s="70">
        <f t="shared" si="289"/>
        <v>0</v>
      </c>
      <c r="AM136" s="70">
        <f t="shared" si="289"/>
        <v>0</v>
      </c>
      <c r="AN136" s="70">
        <f t="shared" si="289"/>
        <v>0</v>
      </c>
      <c r="AO136" s="70">
        <f t="shared" si="289"/>
        <v>0</v>
      </c>
      <c r="AP136" s="70">
        <f t="shared" si="289"/>
        <v>0</v>
      </c>
      <c r="AQ136" s="70">
        <f t="shared" si="289"/>
        <v>0</v>
      </c>
      <c r="AR136" s="70">
        <f t="shared" si="289"/>
        <v>0</v>
      </c>
      <c r="AS136" s="71">
        <f>SUM(AG136:AR136)</f>
        <v>180000</v>
      </c>
      <c r="AT136" s="70">
        <f t="shared" si="295"/>
        <v>7200</v>
      </c>
      <c r="AU136" s="70">
        <f t="shared" si="290"/>
        <v>0</v>
      </c>
      <c r="AV136" s="70">
        <f t="shared" si="290"/>
        <v>0</v>
      </c>
      <c r="AW136" s="70">
        <f t="shared" si="291"/>
        <v>0</v>
      </c>
      <c r="AX136" s="70">
        <f t="shared" si="291"/>
        <v>0</v>
      </c>
      <c r="AY136" s="70">
        <f t="shared" si="291"/>
        <v>0</v>
      </c>
      <c r="AZ136" s="70">
        <f t="shared" si="291"/>
        <v>0</v>
      </c>
      <c r="BA136" s="70">
        <f t="shared" si="291"/>
        <v>0</v>
      </c>
      <c r="BB136" s="70">
        <f t="shared" si="291"/>
        <v>0</v>
      </c>
      <c r="BC136" s="70">
        <f t="shared" si="291"/>
        <v>0</v>
      </c>
      <c r="BD136" s="70">
        <f t="shared" si="291"/>
        <v>0</v>
      </c>
      <c r="BE136" s="70">
        <f t="shared" si="291"/>
        <v>0</v>
      </c>
      <c r="BF136" s="72">
        <f>SUM(AT136:BE136)</f>
        <v>7200</v>
      </c>
      <c r="BG136" s="73">
        <f>AF136-AS136-BF136</f>
        <v>12400</v>
      </c>
      <c r="BH136" s="74">
        <f>S136*D136</f>
        <v>199600</v>
      </c>
      <c r="BI136" s="75">
        <f>BH136-AS136-BF136</f>
        <v>12400</v>
      </c>
      <c r="BJ136" s="891">
        <f>SUM(Q136/D136)</f>
        <v>1</v>
      </c>
      <c r="BK136" s="1081"/>
      <c r="BL136" s="1081"/>
      <c r="BM136" s="1083"/>
      <c r="BN136" s="1084"/>
      <c r="BO136" s="862"/>
      <c r="BP136" s="862"/>
      <c r="BQ136" s="862"/>
      <c r="BR136" s="862"/>
      <c r="BS136" s="862"/>
      <c r="BT136" s="862"/>
      <c r="BU136" s="862"/>
      <c r="BV136" s="862"/>
      <c r="BW136" s="1081">
        <f t="shared" ref="BW136:BW138" si="297">SUM(AN136*12.5%)</f>
        <v>0</v>
      </c>
      <c r="BX136" s="862"/>
      <c r="BY136" s="862"/>
      <c r="BZ136" s="862"/>
      <c r="CA136" s="73">
        <f t="shared" ref="CA136:CA138" si="298">SUM(BO136:BZ136)</f>
        <v>0</v>
      </c>
      <c r="CB136" s="862"/>
      <c r="CC136" s="862"/>
      <c r="CD136" s="862"/>
      <c r="CE136" s="862"/>
      <c r="CF136" s="862"/>
      <c r="CG136" s="862"/>
      <c r="CH136" s="862"/>
      <c r="CI136" s="862"/>
      <c r="CJ136" s="1081"/>
      <c r="CK136" s="862"/>
      <c r="CL136" s="862"/>
      <c r="CM136" s="862"/>
      <c r="CN136" s="73">
        <f t="shared" ref="CN136:CN138" si="299">SUM(CB136:CM136)</f>
        <v>0</v>
      </c>
    </row>
    <row r="137" spans="1:98" s="37" customFormat="1" ht="24.75" customHeight="1" thickBot="1" x14ac:dyDescent="0.25">
      <c r="A137" s="28"/>
      <c r="B137" s="141" t="s">
        <v>32</v>
      </c>
      <c r="C137" s="29" t="s">
        <v>25</v>
      </c>
      <c r="D137" s="231">
        <v>2</v>
      </c>
      <c r="E137" s="893">
        <v>2</v>
      </c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1">
        <f>SUM(E137:P137)</f>
        <v>2</v>
      </c>
      <c r="R137" s="83" t="s">
        <v>16</v>
      </c>
      <c r="S137" s="142">
        <v>35000</v>
      </c>
      <c r="T137" s="628">
        <v>30000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629">
        <f t="shared" si="287"/>
        <v>70000</v>
      </c>
      <c r="AG137" s="70">
        <f t="shared" si="288"/>
        <v>60000</v>
      </c>
      <c r="AH137" s="70">
        <f t="shared" si="288"/>
        <v>0</v>
      </c>
      <c r="AI137" s="70">
        <f t="shared" si="288"/>
        <v>0</v>
      </c>
      <c r="AJ137" s="70">
        <f t="shared" si="289"/>
        <v>0</v>
      </c>
      <c r="AK137" s="70">
        <f t="shared" si="289"/>
        <v>0</v>
      </c>
      <c r="AL137" s="70">
        <f t="shared" si="289"/>
        <v>0</v>
      </c>
      <c r="AM137" s="70">
        <f t="shared" si="289"/>
        <v>0</v>
      </c>
      <c r="AN137" s="70">
        <f t="shared" si="289"/>
        <v>0</v>
      </c>
      <c r="AO137" s="70">
        <f t="shared" si="289"/>
        <v>0</v>
      </c>
      <c r="AP137" s="70">
        <f t="shared" si="289"/>
        <v>0</v>
      </c>
      <c r="AQ137" s="70">
        <f t="shared" si="289"/>
        <v>0</v>
      </c>
      <c r="AR137" s="70">
        <f t="shared" si="289"/>
        <v>0</v>
      </c>
      <c r="AS137" s="71">
        <f>SUM(AG137:AR137)</f>
        <v>60000</v>
      </c>
      <c r="AT137" s="70">
        <f t="shared" si="295"/>
        <v>2400</v>
      </c>
      <c r="AU137" s="70">
        <f t="shared" si="290"/>
        <v>0</v>
      </c>
      <c r="AV137" s="70">
        <f t="shared" si="290"/>
        <v>0</v>
      </c>
      <c r="AW137" s="70">
        <f t="shared" si="291"/>
        <v>0</v>
      </c>
      <c r="AX137" s="70">
        <f t="shared" si="291"/>
        <v>0</v>
      </c>
      <c r="AY137" s="70">
        <f t="shared" si="291"/>
        <v>0</v>
      </c>
      <c r="AZ137" s="70">
        <f t="shared" si="291"/>
        <v>0</v>
      </c>
      <c r="BA137" s="70">
        <f t="shared" si="291"/>
        <v>0</v>
      </c>
      <c r="BB137" s="70">
        <f t="shared" si="291"/>
        <v>0</v>
      </c>
      <c r="BC137" s="70">
        <f t="shared" si="291"/>
        <v>0</v>
      </c>
      <c r="BD137" s="70">
        <f t="shared" si="291"/>
        <v>0</v>
      </c>
      <c r="BE137" s="70">
        <f t="shared" si="291"/>
        <v>0</v>
      </c>
      <c r="BF137" s="72">
        <f>SUM(AT137:BE137)</f>
        <v>2400</v>
      </c>
      <c r="BG137" s="73">
        <f>AF137-AS137-BF137</f>
        <v>7600</v>
      </c>
      <c r="BH137" s="74">
        <f>S137*D137</f>
        <v>70000</v>
      </c>
      <c r="BI137" s="75">
        <f>BH137-AS137-BF137</f>
        <v>7600</v>
      </c>
      <c r="BJ137" s="891">
        <f>SUM(Q137/D137)</f>
        <v>1</v>
      </c>
      <c r="BK137" s="1081"/>
      <c r="BL137" s="1081"/>
      <c r="BM137" s="1083"/>
      <c r="BN137" s="1084"/>
      <c r="BO137" s="862"/>
      <c r="BP137" s="862"/>
      <c r="BQ137" s="862"/>
      <c r="BR137" s="862"/>
      <c r="BS137" s="862"/>
      <c r="BT137" s="862"/>
      <c r="BU137" s="862"/>
      <c r="BV137" s="862"/>
      <c r="BW137" s="1081">
        <f t="shared" si="297"/>
        <v>0</v>
      </c>
      <c r="BX137" s="862"/>
      <c r="BY137" s="862"/>
      <c r="BZ137" s="862"/>
      <c r="CA137" s="73">
        <f t="shared" si="298"/>
        <v>0</v>
      </c>
      <c r="CB137" s="862"/>
      <c r="CC137" s="862"/>
      <c r="CD137" s="862"/>
      <c r="CE137" s="862"/>
      <c r="CF137" s="862"/>
      <c r="CG137" s="862"/>
      <c r="CH137" s="862"/>
      <c r="CI137" s="862"/>
      <c r="CJ137" s="1081"/>
      <c r="CK137" s="862"/>
      <c r="CL137" s="862"/>
      <c r="CM137" s="862"/>
      <c r="CN137" s="73">
        <f t="shared" si="299"/>
        <v>0</v>
      </c>
    </row>
    <row r="138" spans="1:98" s="38" customFormat="1" ht="24.75" customHeight="1" thickBot="1" x14ac:dyDescent="0.25">
      <c r="A138" s="554">
        <v>13</v>
      </c>
      <c r="B138" s="44" t="s">
        <v>4</v>
      </c>
      <c r="C138" s="44"/>
      <c r="D138" s="227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7"/>
      <c r="R138" s="77"/>
      <c r="S138" s="45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78">
        <f t="shared" ref="AF138:BF138" si="300">SUM(AF134:AF137)</f>
        <v>1433600</v>
      </c>
      <c r="AG138" s="78">
        <f>SUM(AG134:AG137)-300000</f>
        <v>960000</v>
      </c>
      <c r="AH138" s="78">
        <f t="shared" si="300"/>
        <v>0</v>
      </c>
      <c r="AI138" s="78">
        <f t="shared" si="300"/>
        <v>0</v>
      </c>
      <c r="AJ138" s="78">
        <f t="shared" ref="AJ138:AR138" si="301">SUM(AJ134:AJ137)</f>
        <v>0</v>
      </c>
      <c r="AK138" s="78">
        <f t="shared" si="301"/>
        <v>0</v>
      </c>
      <c r="AL138" s="78">
        <f t="shared" si="301"/>
        <v>0</v>
      </c>
      <c r="AM138" s="78">
        <f t="shared" si="301"/>
        <v>0</v>
      </c>
      <c r="AN138" s="78">
        <f t="shared" si="301"/>
        <v>0</v>
      </c>
      <c r="AO138" s="78">
        <f t="shared" si="301"/>
        <v>0</v>
      </c>
      <c r="AP138" s="78">
        <f t="shared" si="301"/>
        <v>0</v>
      </c>
      <c r="AQ138" s="78">
        <f t="shared" si="301"/>
        <v>0</v>
      </c>
      <c r="AR138" s="78">
        <f t="shared" si="301"/>
        <v>0</v>
      </c>
      <c r="AS138" s="78">
        <f>SUM(AS134:AS137)-300000</f>
        <v>960000</v>
      </c>
      <c r="AT138" s="78">
        <f t="shared" si="300"/>
        <v>50400</v>
      </c>
      <c r="AU138" s="78">
        <f t="shared" si="300"/>
        <v>0</v>
      </c>
      <c r="AV138" s="78">
        <f t="shared" si="300"/>
        <v>0</v>
      </c>
      <c r="AW138" s="78">
        <f t="shared" ref="AW138:BE138" si="302">SUM(AW134:AW137)</f>
        <v>0</v>
      </c>
      <c r="AX138" s="78">
        <f t="shared" si="302"/>
        <v>0</v>
      </c>
      <c r="AY138" s="78">
        <f t="shared" si="302"/>
        <v>0</v>
      </c>
      <c r="AZ138" s="78">
        <f t="shared" si="302"/>
        <v>0</v>
      </c>
      <c r="BA138" s="78">
        <f t="shared" si="302"/>
        <v>0</v>
      </c>
      <c r="BB138" s="78">
        <f t="shared" si="302"/>
        <v>0</v>
      </c>
      <c r="BC138" s="78">
        <f t="shared" si="302"/>
        <v>0</v>
      </c>
      <c r="BD138" s="78">
        <f t="shared" si="302"/>
        <v>0</v>
      </c>
      <c r="BE138" s="78">
        <f t="shared" si="302"/>
        <v>0</v>
      </c>
      <c r="BF138" s="78">
        <f t="shared" si="300"/>
        <v>50400</v>
      </c>
      <c r="BG138" s="79">
        <f>SUM(BG134:BG137)</f>
        <v>123200</v>
      </c>
      <c r="BH138" s="78">
        <f>SUM(BH134:BH137)</f>
        <v>1433600</v>
      </c>
      <c r="BI138" s="78">
        <f>SUM(BI134:BI137)</f>
        <v>123200</v>
      </c>
      <c r="BJ138" s="176">
        <f>SUM(BJ134:BJ137)/4</f>
        <v>1</v>
      </c>
      <c r="BK138" s="1081"/>
      <c r="BL138" s="1081"/>
      <c r="BM138" s="1083"/>
      <c r="BN138" s="1084"/>
      <c r="BO138" s="862"/>
      <c r="BP138" s="862"/>
      <c r="BQ138" s="862"/>
      <c r="BR138" s="862"/>
      <c r="BS138" s="862"/>
      <c r="BT138" s="862"/>
      <c r="BU138" s="862"/>
      <c r="BV138" s="862"/>
      <c r="BW138" s="1081">
        <f t="shared" si="297"/>
        <v>0</v>
      </c>
      <c r="BX138" s="862"/>
      <c r="BY138" s="862"/>
      <c r="BZ138" s="862"/>
      <c r="CA138" s="73">
        <f t="shared" si="298"/>
        <v>0</v>
      </c>
      <c r="CB138" s="862"/>
      <c r="CC138" s="862"/>
      <c r="CD138" s="862"/>
      <c r="CE138" s="862"/>
      <c r="CF138" s="862"/>
      <c r="CG138" s="862"/>
      <c r="CH138" s="862"/>
      <c r="CI138" s="862"/>
      <c r="CJ138" s="1081"/>
      <c r="CK138" s="862"/>
      <c r="CL138" s="862"/>
      <c r="CM138" s="862"/>
      <c r="CN138" s="73">
        <f t="shared" si="299"/>
        <v>0</v>
      </c>
    </row>
    <row r="139" spans="1:98" s="20" customFormat="1" ht="24.75" customHeight="1" x14ac:dyDescent="0.2">
      <c r="A139" s="50"/>
      <c r="D139" s="22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AE139" s="40"/>
      <c r="AS139" s="51"/>
      <c r="BF139" s="52">
        <f>SUM(AS138+BF138)</f>
        <v>1010400</v>
      </c>
      <c r="BG139" s="53">
        <f>AF138-AS138-BF138</f>
        <v>423200</v>
      </c>
      <c r="BH139" s="54">
        <f>SUM(BI138+AS138+BF138)</f>
        <v>1133600</v>
      </c>
      <c r="BI139" s="55">
        <f>SUM(BG138)</f>
        <v>123200</v>
      </c>
      <c r="BJ139" s="40" t="s">
        <v>38</v>
      </c>
      <c r="BK139" s="40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</row>
    <row r="140" spans="1:98" s="20" customFormat="1" ht="24.75" customHeight="1" x14ac:dyDescent="0.2">
      <c r="A140" s="50"/>
      <c r="D140" s="22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AE140" s="40"/>
      <c r="AS140" s="40"/>
      <c r="AT140" s="123">
        <f>SUM(AG138+AT138)</f>
        <v>1010400</v>
      </c>
      <c r="AU140" s="123">
        <f t="shared" ref="AU140:BE140" si="303">SUM(AH138+AU138)</f>
        <v>0</v>
      </c>
      <c r="AV140" s="123">
        <f t="shared" si="303"/>
        <v>0</v>
      </c>
      <c r="AW140" s="123">
        <f t="shared" si="303"/>
        <v>0</v>
      </c>
      <c r="AX140" s="123">
        <f t="shared" si="303"/>
        <v>0</v>
      </c>
      <c r="AY140" s="123">
        <f t="shared" si="303"/>
        <v>0</v>
      </c>
      <c r="AZ140" s="123">
        <f t="shared" si="303"/>
        <v>0</v>
      </c>
      <c r="BA140" s="123">
        <f t="shared" si="303"/>
        <v>0</v>
      </c>
      <c r="BB140" s="123">
        <f t="shared" si="303"/>
        <v>0</v>
      </c>
      <c r="BC140" s="123">
        <f t="shared" si="303"/>
        <v>0</v>
      </c>
      <c r="BD140" s="123">
        <f t="shared" si="303"/>
        <v>0</v>
      </c>
      <c r="BE140" s="123">
        <f t="shared" si="303"/>
        <v>0</v>
      </c>
      <c r="BF140" s="123">
        <f>SUM(AT140:BE140)</f>
        <v>1010400</v>
      </c>
      <c r="BG140" s="40"/>
      <c r="BH140" s="56"/>
      <c r="BI140" s="57">
        <f>SUM(BI138-BI139)</f>
        <v>0</v>
      </c>
      <c r="BJ140" s="40" t="s">
        <v>37</v>
      </c>
      <c r="BK140" s="40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</row>
    <row r="141" spans="1:98" s="20" customFormat="1" ht="16.5" customHeight="1" x14ac:dyDescent="0.2">
      <c r="A141" s="1730" t="s">
        <v>8</v>
      </c>
      <c r="B141" s="1731"/>
      <c r="C141" s="124" t="s">
        <v>114</v>
      </c>
      <c r="D141" s="224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7"/>
      <c r="AF141" s="23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8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8"/>
      <c r="BG141" s="138"/>
      <c r="BH141" s="135"/>
      <c r="BI141" s="139"/>
      <c r="BJ141" s="135"/>
      <c r="BK141" s="136"/>
      <c r="BL141" s="136"/>
      <c r="BM141" s="136"/>
      <c r="BN141" s="136"/>
      <c r="BO141" s="136"/>
      <c r="BP141" s="137"/>
      <c r="BQ141" s="136"/>
      <c r="BR141" s="136"/>
      <c r="BS141" s="136"/>
      <c r="BT141" s="136"/>
      <c r="BU141" s="136"/>
      <c r="BV141" s="138"/>
      <c r="BW141" s="138"/>
      <c r="BX141" s="138"/>
      <c r="BY141" s="135"/>
      <c r="BZ141" s="139"/>
      <c r="CA141" s="138"/>
      <c r="CB141" s="138"/>
      <c r="CC141" s="24"/>
      <c r="CD141" s="24"/>
      <c r="CE141" s="24"/>
      <c r="CF141" s="24"/>
      <c r="CG141" s="24"/>
      <c r="CH141" s="140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</row>
    <row r="142" spans="1:98" s="8" customFormat="1" ht="48.75" customHeight="1" x14ac:dyDescent="0.2">
      <c r="A142" s="1703" t="s">
        <v>10</v>
      </c>
      <c r="B142" s="1706" t="s">
        <v>11</v>
      </c>
      <c r="C142" s="1706" t="s">
        <v>22</v>
      </c>
      <c r="D142" s="1721" t="s">
        <v>12</v>
      </c>
      <c r="E142" s="1721"/>
      <c r="F142" s="1721"/>
      <c r="G142" s="1721"/>
      <c r="H142" s="1721"/>
      <c r="I142" s="1721"/>
      <c r="J142" s="1721"/>
      <c r="K142" s="1721"/>
      <c r="L142" s="1721"/>
      <c r="M142" s="1721"/>
      <c r="N142" s="1721"/>
      <c r="O142" s="1721"/>
      <c r="P142" s="1721"/>
      <c r="Q142" s="1721"/>
      <c r="R142" s="1706" t="s">
        <v>20</v>
      </c>
      <c r="S142" s="1717" t="s">
        <v>17</v>
      </c>
      <c r="T142" s="1718"/>
      <c r="U142" s="1718"/>
      <c r="V142" s="1718"/>
      <c r="W142" s="1718"/>
      <c r="X142" s="1718"/>
      <c r="Y142" s="1718"/>
      <c r="Z142" s="1718"/>
      <c r="AA142" s="1718"/>
      <c r="AB142" s="1718"/>
      <c r="AC142" s="1718"/>
      <c r="AD142" s="1718"/>
      <c r="AE142" s="1719"/>
      <c r="AF142" s="1720" t="s">
        <v>6</v>
      </c>
      <c r="AG142" s="1720"/>
      <c r="AH142" s="1720"/>
      <c r="AI142" s="1720"/>
      <c r="AJ142" s="1720"/>
      <c r="AK142" s="1720"/>
      <c r="AL142" s="1720"/>
      <c r="AM142" s="1720"/>
      <c r="AN142" s="1720"/>
      <c r="AO142" s="1720"/>
      <c r="AP142" s="1720"/>
      <c r="AQ142" s="1720"/>
      <c r="AR142" s="1720"/>
      <c r="AS142" s="1720"/>
      <c r="AT142" s="1722" t="s">
        <v>41</v>
      </c>
      <c r="AU142" s="1723"/>
      <c r="AV142" s="1723"/>
      <c r="AW142" s="1723"/>
      <c r="AX142" s="1723"/>
      <c r="AY142" s="1723"/>
      <c r="AZ142" s="1723"/>
      <c r="BA142" s="1723"/>
      <c r="BB142" s="1723"/>
      <c r="BC142" s="1723"/>
      <c r="BD142" s="1723"/>
      <c r="BE142" s="1723"/>
      <c r="BF142" s="1724"/>
      <c r="BG142" s="1706" t="s">
        <v>38</v>
      </c>
      <c r="BH142" s="1706" t="s">
        <v>256</v>
      </c>
      <c r="BI142" s="1709" t="s">
        <v>39</v>
      </c>
      <c r="BJ142" s="135"/>
      <c r="BK142" s="135"/>
      <c r="BL142" s="135"/>
      <c r="BM142" s="135"/>
      <c r="BN142" s="135"/>
      <c r="BO142" s="1733" t="s">
        <v>41</v>
      </c>
      <c r="BP142" s="1734"/>
      <c r="BQ142" s="1734"/>
      <c r="BR142" s="1734"/>
      <c r="BS142" s="1734"/>
      <c r="BT142" s="1734"/>
      <c r="BU142" s="1734"/>
      <c r="BV142" s="1734"/>
      <c r="BW142" s="1734"/>
      <c r="BX142" s="1734"/>
      <c r="BY142" s="1734"/>
      <c r="BZ142" s="1734"/>
      <c r="CA142" s="1734"/>
      <c r="CB142" s="1734"/>
      <c r="CC142" s="1734"/>
      <c r="CD142" s="1734"/>
      <c r="CE142" s="1734"/>
      <c r="CF142" s="1734"/>
      <c r="CG142" s="1734"/>
      <c r="CH142" s="1734"/>
      <c r="CI142" s="1734"/>
      <c r="CJ142" s="1734"/>
      <c r="CK142" s="1734"/>
      <c r="CL142" s="1734"/>
      <c r="CM142" s="1734"/>
      <c r="CN142" s="1735"/>
    </row>
    <row r="143" spans="1:98" s="8" customFormat="1" ht="48.75" customHeight="1" x14ac:dyDescent="0.2">
      <c r="A143" s="1704"/>
      <c r="B143" s="1707"/>
      <c r="C143" s="1707"/>
      <c r="D143" s="1728" t="s">
        <v>18</v>
      </c>
      <c r="E143" s="1714" t="s">
        <v>19</v>
      </c>
      <c r="F143" s="1715"/>
      <c r="G143" s="1715"/>
      <c r="H143" s="1715"/>
      <c r="I143" s="1715"/>
      <c r="J143" s="1715"/>
      <c r="K143" s="1715"/>
      <c r="L143" s="1715"/>
      <c r="M143" s="1715"/>
      <c r="N143" s="1715"/>
      <c r="O143" s="1715"/>
      <c r="P143" s="1715"/>
      <c r="Q143" s="1715"/>
      <c r="R143" s="1707"/>
      <c r="S143" s="1712" t="s">
        <v>18</v>
      </c>
      <c r="T143" s="1714" t="s">
        <v>19</v>
      </c>
      <c r="U143" s="1715"/>
      <c r="V143" s="1715"/>
      <c r="W143" s="1715"/>
      <c r="X143" s="1715"/>
      <c r="Y143" s="1715"/>
      <c r="Z143" s="1715"/>
      <c r="AA143" s="1715"/>
      <c r="AB143" s="1715"/>
      <c r="AC143" s="1715"/>
      <c r="AD143" s="1715"/>
      <c r="AE143" s="1716"/>
      <c r="AF143" s="1712" t="s">
        <v>18</v>
      </c>
      <c r="AG143" s="1714" t="s">
        <v>19</v>
      </c>
      <c r="AH143" s="1715"/>
      <c r="AI143" s="1715"/>
      <c r="AJ143" s="1715"/>
      <c r="AK143" s="1715"/>
      <c r="AL143" s="1715"/>
      <c r="AM143" s="1715"/>
      <c r="AN143" s="1715"/>
      <c r="AO143" s="1715"/>
      <c r="AP143" s="1715"/>
      <c r="AQ143" s="1715"/>
      <c r="AR143" s="1715"/>
      <c r="AS143" s="1716"/>
      <c r="AT143" s="1725"/>
      <c r="AU143" s="1726"/>
      <c r="AV143" s="1726"/>
      <c r="AW143" s="1726"/>
      <c r="AX143" s="1726"/>
      <c r="AY143" s="1726"/>
      <c r="AZ143" s="1726"/>
      <c r="BA143" s="1726"/>
      <c r="BB143" s="1726"/>
      <c r="BC143" s="1726"/>
      <c r="BD143" s="1726"/>
      <c r="BE143" s="1726"/>
      <c r="BF143" s="1727"/>
      <c r="BG143" s="1707"/>
      <c r="BH143" s="1707"/>
      <c r="BI143" s="1710"/>
      <c r="BJ143" s="135"/>
      <c r="BK143" s="1736">
        <f>SUM(BK145/60)</f>
        <v>0</v>
      </c>
      <c r="BL143" s="1736"/>
      <c r="BM143" s="1736"/>
      <c r="BN143" s="23"/>
      <c r="BO143" s="1737" t="s">
        <v>686</v>
      </c>
      <c r="BP143" s="1738"/>
      <c r="BQ143" s="1738"/>
      <c r="BR143" s="1738"/>
      <c r="BS143" s="1738"/>
      <c r="BT143" s="1738"/>
      <c r="BU143" s="1738"/>
      <c r="BV143" s="1738"/>
      <c r="BW143" s="1738"/>
      <c r="BX143" s="1738"/>
      <c r="BY143" s="1738"/>
      <c r="BZ143" s="1738"/>
      <c r="CA143" s="1739"/>
      <c r="CB143" s="1740" t="s">
        <v>687</v>
      </c>
      <c r="CC143" s="1741"/>
      <c r="CD143" s="1741"/>
      <c r="CE143" s="1741"/>
      <c r="CF143" s="1741"/>
      <c r="CG143" s="1741"/>
      <c r="CH143" s="1741"/>
      <c r="CI143" s="1741"/>
      <c r="CJ143" s="1741"/>
      <c r="CK143" s="1741"/>
      <c r="CL143" s="1741"/>
      <c r="CM143" s="1741"/>
      <c r="CN143" s="1742"/>
    </row>
    <row r="144" spans="1:98" s="6" customFormat="1" ht="28.5" customHeight="1" x14ac:dyDescent="0.2">
      <c r="A144" s="1705"/>
      <c r="B144" s="1708"/>
      <c r="C144" s="1708"/>
      <c r="D144" s="1732"/>
      <c r="E144" s="26">
        <v>1</v>
      </c>
      <c r="F144" s="26">
        <v>2</v>
      </c>
      <c r="G144" s="26">
        <v>3</v>
      </c>
      <c r="H144" s="26">
        <v>4</v>
      </c>
      <c r="I144" s="26">
        <v>5</v>
      </c>
      <c r="J144" s="26">
        <v>6</v>
      </c>
      <c r="K144" s="26">
        <v>7</v>
      </c>
      <c r="L144" s="26">
        <v>8</v>
      </c>
      <c r="M144" s="26">
        <v>9</v>
      </c>
      <c r="N144" s="26">
        <v>10</v>
      </c>
      <c r="O144" s="26">
        <v>11</v>
      </c>
      <c r="P144" s="26">
        <v>12</v>
      </c>
      <c r="Q144" s="26" t="s">
        <v>21</v>
      </c>
      <c r="R144" s="1708"/>
      <c r="S144" s="1713"/>
      <c r="T144" s="26">
        <v>1</v>
      </c>
      <c r="U144" s="26">
        <v>2</v>
      </c>
      <c r="V144" s="26">
        <v>3</v>
      </c>
      <c r="W144" s="26">
        <v>4</v>
      </c>
      <c r="X144" s="26">
        <v>5</v>
      </c>
      <c r="Y144" s="26">
        <v>6</v>
      </c>
      <c r="Z144" s="26">
        <v>7</v>
      </c>
      <c r="AA144" s="26">
        <v>8</v>
      </c>
      <c r="AB144" s="26">
        <v>9</v>
      </c>
      <c r="AC144" s="26">
        <v>10</v>
      </c>
      <c r="AD144" s="26">
        <v>11</v>
      </c>
      <c r="AE144" s="26">
        <v>12</v>
      </c>
      <c r="AF144" s="1713"/>
      <c r="AG144" s="26">
        <v>1</v>
      </c>
      <c r="AH144" s="26">
        <v>2</v>
      </c>
      <c r="AI144" s="26">
        <v>3</v>
      </c>
      <c r="AJ144" s="26">
        <v>4</v>
      </c>
      <c r="AK144" s="26">
        <v>5</v>
      </c>
      <c r="AL144" s="26">
        <v>6</v>
      </c>
      <c r="AM144" s="26">
        <v>7</v>
      </c>
      <c r="AN144" s="26">
        <v>8</v>
      </c>
      <c r="AO144" s="26">
        <v>9</v>
      </c>
      <c r="AP144" s="26">
        <v>10</v>
      </c>
      <c r="AQ144" s="26">
        <v>11</v>
      </c>
      <c r="AR144" s="26">
        <v>12</v>
      </c>
      <c r="AS144" s="26" t="s">
        <v>13</v>
      </c>
      <c r="AT144" s="173">
        <v>1</v>
      </c>
      <c r="AU144" s="173">
        <v>2</v>
      </c>
      <c r="AV144" s="173">
        <v>3</v>
      </c>
      <c r="AW144" s="173">
        <v>4</v>
      </c>
      <c r="AX144" s="173">
        <v>5</v>
      </c>
      <c r="AY144" s="173">
        <v>6</v>
      </c>
      <c r="AZ144" s="173">
        <v>7</v>
      </c>
      <c r="BA144" s="173">
        <v>8</v>
      </c>
      <c r="BB144" s="173">
        <v>9</v>
      </c>
      <c r="BC144" s="173">
        <v>10</v>
      </c>
      <c r="BD144" s="173">
        <v>11</v>
      </c>
      <c r="BE144" s="173">
        <v>12</v>
      </c>
      <c r="BF144" s="26" t="s">
        <v>13</v>
      </c>
      <c r="BG144" s="1708"/>
      <c r="BH144" s="1708"/>
      <c r="BI144" s="1711"/>
      <c r="BJ144" s="7"/>
      <c r="BK144" s="1743" t="s">
        <v>19</v>
      </c>
      <c r="BL144" s="1744"/>
      <c r="BM144" s="1745"/>
      <c r="BN144" s="621"/>
      <c r="BO144" s="173">
        <v>1</v>
      </c>
      <c r="BP144" s="173">
        <v>2</v>
      </c>
      <c r="BQ144" s="173">
        <v>3</v>
      </c>
      <c r="BR144" s="173">
        <v>4</v>
      </c>
      <c r="BS144" s="173">
        <v>5</v>
      </c>
      <c r="BT144" s="173">
        <v>6</v>
      </c>
      <c r="BU144" s="173">
        <v>7</v>
      </c>
      <c r="BV144" s="173">
        <v>8</v>
      </c>
      <c r="BW144" s="173">
        <v>9</v>
      </c>
      <c r="BX144" s="173">
        <v>10</v>
      </c>
      <c r="BY144" s="173">
        <v>11</v>
      </c>
      <c r="BZ144" s="173">
        <v>12</v>
      </c>
      <c r="CA144" s="26" t="s">
        <v>13</v>
      </c>
      <c r="CB144" s="173">
        <v>1</v>
      </c>
      <c r="CC144" s="173">
        <v>2</v>
      </c>
      <c r="CD144" s="173">
        <v>3</v>
      </c>
      <c r="CE144" s="173">
        <v>4</v>
      </c>
      <c r="CF144" s="173">
        <v>5</v>
      </c>
      <c r="CG144" s="173">
        <v>6</v>
      </c>
      <c r="CH144" s="173">
        <v>7</v>
      </c>
      <c r="CI144" s="173">
        <v>8</v>
      </c>
      <c r="CJ144" s="173">
        <v>9</v>
      </c>
      <c r="CK144" s="173">
        <v>10</v>
      </c>
      <c r="CL144" s="173">
        <v>11</v>
      </c>
      <c r="CM144" s="173">
        <v>12</v>
      </c>
      <c r="CN144" s="26" t="s">
        <v>13</v>
      </c>
    </row>
    <row r="145" spans="1:98" s="37" customFormat="1" ht="24.75" customHeight="1" x14ac:dyDescent="0.2">
      <c r="A145" s="28"/>
      <c r="B145" s="141" t="s">
        <v>89</v>
      </c>
      <c r="C145" s="29" t="s">
        <v>25</v>
      </c>
      <c r="D145" s="966">
        <v>30</v>
      </c>
      <c r="E145" s="966">
        <v>30</v>
      </c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1">
        <f>SUM(E145:P145)</f>
        <v>30</v>
      </c>
      <c r="R145" s="83" t="s">
        <v>31</v>
      </c>
      <c r="S145" s="142">
        <v>10300</v>
      </c>
      <c r="T145" s="628">
        <v>9000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629">
        <f t="shared" ref="AF145:AF148" si="304">SUM(Q145*S145)</f>
        <v>309000</v>
      </c>
      <c r="AG145" s="70">
        <f t="shared" ref="AG145:AI148" si="305">T145*E145</f>
        <v>270000</v>
      </c>
      <c r="AH145" s="70">
        <f t="shared" si="305"/>
        <v>0</v>
      </c>
      <c r="AI145" s="70">
        <f t="shared" si="305"/>
        <v>0</v>
      </c>
      <c r="AJ145" s="70"/>
      <c r="AK145" s="70"/>
      <c r="AL145" s="70"/>
      <c r="AM145" s="70"/>
      <c r="AN145" s="70"/>
      <c r="AO145" s="70"/>
      <c r="AP145" s="70"/>
      <c r="AQ145" s="70"/>
      <c r="AR145" s="70"/>
      <c r="AS145" s="71">
        <f>SUM(AG145:AR145)</f>
        <v>270000</v>
      </c>
      <c r="AT145" s="70">
        <f>SUM(AG145*4%)</f>
        <v>10800</v>
      </c>
      <c r="AU145" s="70">
        <f t="shared" ref="AU145:AV148" si="306">SUM(AH145*14%)</f>
        <v>0</v>
      </c>
      <c r="AV145" s="70">
        <f t="shared" si="306"/>
        <v>0</v>
      </c>
      <c r="AW145" s="70"/>
      <c r="AX145" s="70"/>
      <c r="AY145" s="70"/>
      <c r="AZ145" s="70"/>
      <c r="BA145" s="70"/>
      <c r="BB145" s="70"/>
      <c r="BC145" s="70"/>
      <c r="BD145" s="70"/>
      <c r="BE145" s="70"/>
      <c r="BF145" s="72">
        <f>SUM(AT145:BE145)</f>
        <v>10800</v>
      </c>
      <c r="BG145" s="73">
        <f>AF145-AS145-BF145</f>
        <v>28200</v>
      </c>
      <c r="BH145" s="74">
        <f>S145*D145</f>
        <v>309000</v>
      </c>
      <c r="BI145" s="75">
        <f>BH145-AS145-BF145</f>
        <v>28200</v>
      </c>
      <c r="BJ145" s="891">
        <f>SUM(Q145/D145)</f>
        <v>1</v>
      </c>
      <c r="BK145" s="1081"/>
      <c r="BL145" s="1081"/>
      <c r="BM145" s="1083"/>
      <c r="BN145" s="1084"/>
      <c r="BO145" s="862"/>
      <c r="BP145" s="862"/>
      <c r="BQ145" s="862"/>
      <c r="BR145" s="862"/>
      <c r="BS145" s="862"/>
      <c r="BT145" s="862"/>
      <c r="BU145" s="862"/>
      <c r="BV145" s="862"/>
      <c r="BW145" s="1081">
        <f t="shared" ref="BW145:BW146" si="307">SUM(AN145*12.5%)</f>
        <v>0</v>
      </c>
      <c r="BX145" s="862"/>
      <c r="BY145" s="862"/>
      <c r="BZ145" s="862"/>
      <c r="CA145" s="73">
        <f t="shared" ref="CA145" si="308">SUM(BO145:BZ145)</f>
        <v>0</v>
      </c>
      <c r="CB145" s="862"/>
      <c r="CC145" s="862"/>
      <c r="CD145" s="862"/>
      <c r="CE145" s="862"/>
      <c r="CF145" s="862"/>
      <c r="CG145" s="862"/>
      <c r="CH145" s="862"/>
      <c r="CI145" s="862"/>
      <c r="CJ145" s="1081"/>
      <c r="CK145" s="862"/>
      <c r="CL145" s="862"/>
      <c r="CM145" s="862"/>
      <c r="CN145" s="73">
        <f t="shared" ref="CN145:CN146" si="309">SUM(CB145:CM145)</f>
        <v>0</v>
      </c>
    </row>
    <row r="146" spans="1:98" s="37" customFormat="1" ht="24.75" customHeight="1" x14ac:dyDescent="0.2">
      <c r="A146" s="28"/>
      <c r="B146" s="141" t="s">
        <v>90</v>
      </c>
      <c r="C146" s="29" t="s">
        <v>25</v>
      </c>
      <c r="D146" s="967">
        <v>30</v>
      </c>
      <c r="E146" s="967">
        <v>30</v>
      </c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1">
        <f>SUM(E146:P146)</f>
        <v>30</v>
      </c>
      <c r="R146" s="83" t="s">
        <v>31</v>
      </c>
      <c r="S146" s="142">
        <v>28500</v>
      </c>
      <c r="T146" s="628">
        <v>25000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629">
        <f t="shared" si="304"/>
        <v>855000</v>
      </c>
      <c r="AG146" s="70">
        <f t="shared" si="305"/>
        <v>750000</v>
      </c>
      <c r="AH146" s="70">
        <f t="shared" si="305"/>
        <v>0</v>
      </c>
      <c r="AI146" s="70">
        <f t="shared" si="305"/>
        <v>0</v>
      </c>
      <c r="AJ146" s="70"/>
      <c r="AK146" s="70"/>
      <c r="AL146" s="70"/>
      <c r="AM146" s="70"/>
      <c r="AN146" s="70"/>
      <c r="AO146" s="70"/>
      <c r="AP146" s="70"/>
      <c r="AQ146" s="70"/>
      <c r="AR146" s="70"/>
      <c r="AS146" s="71">
        <f>SUM(AG146:AR146)</f>
        <v>750000</v>
      </c>
      <c r="AT146" s="70">
        <f>SUM(AG146*4%)</f>
        <v>30000</v>
      </c>
      <c r="AU146" s="70">
        <f t="shared" si="306"/>
        <v>0</v>
      </c>
      <c r="AV146" s="70">
        <f t="shared" si="306"/>
        <v>0</v>
      </c>
      <c r="AW146" s="70"/>
      <c r="AX146" s="70"/>
      <c r="AY146" s="70"/>
      <c r="AZ146" s="70"/>
      <c r="BA146" s="70"/>
      <c r="BB146" s="70"/>
      <c r="BC146" s="70"/>
      <c r="BD146" s="70"/>
      <c r="BE146" s="70"/>
      <c r="BF146" s="72">
        <f>SUM(AT146:BE146)</f>
        <v>30000</v>
      </c>
      <c r="BG146" s="73">
        <f>AF146-AS146-BF146</f>
        <v>75000</v>
      </c>
      <c r="BH146" s="74">
        <f>S146*D146</f>
        <v>855000</v>
      </c>
      <c r="BI146" s="75">
        <f>BH146-AS146-BF146</f>
        <v>75000</v>
      </c>
      <c r="BJ146" s="891">
        <f>SUM(Q146/D146)</f>
        <v>1</v>
      </c>
      <c r="BK146" s="1081"/>
      <c r="BL146" s="1081"/>
      <c r="BM146" s="1083"/>
      <c r="BN146" s="1084"/>
      <c r="BO146" s="862"/>
      <c r="BP146" s="862"/>
      <c r="BQ146" s="862"/>
      <c r="BR146" s="862"/>
      <c r="BS146" s="862"/>
      <c r="BT146" s="862"/>
      <c r="BU146" s="862"/>
      <c r="BV146" s="862"/>
      <c r="BW146" s="1081">
        <f t="shared" si="307"/>
        <v>0</v>
      </c>
      <c r="BX146" s="862"/>
      <c r="BY146" s="862"/>
      <c r="BZ146" s="862"/>
      <c r="CA146" s="73">
        <f t="shared" ref="CA146" si="310">SUM(BO146:BZ146)</f>
        <v>0</v>
      </c>
      <c r="CB146" s="862"/>
      <c r="CC146" s="862"/>
      <c r="CD146" s="862"/>
      <c r="CE146" s="862"/>
      <c r="CF146" s="862"/>
      <c r="CG146" s="862"/>
      <c r="CH146" s="862"/>
      <c r="CI146" s="862"/>
      <c r="CJ146" s="1081"/>
      <c r="CK146" s="862"/>
      <c r="CL146" s="862"/>
      <c r="CM146" s="862"/>
      <c r="CN146" s="73">
        <f t="shared" si="309"/>
        <v>0</v>
      </c>
    </row>
    <row r="147" spans="1:98" s="37" customFormat="1" ht="24.75" customHeight="1" x14ac:dyDescent="0.2">
      <c r="A147" s="28"/>
      <c r="B147" s="141" t="s">
        <v>109</v>
      </c>
      <c r="C147" s="29" t="s">
        <v>25</v>
      </c>
      <c r="D147" s="967">
        <v>4</v>
      </c>
      <c r="E147" s="967">
        <v>4</v>
      </c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1">
        <f>SUM(E147:P147)</f>
        <v>4</v>
      </c>
      <c r="R147" s="83" t="s">
        <v>2</v>
      </c>
      <c r="S147" s="142">
        <v>49900</v>
      </c>
      <c r="T147" s="628">
        <v>45000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629">
        <f t="shared" si="304"/>
        <v>199600</v>
      </c>
      <c r="AG147" s="70">
        <f t="shared" si="305"/>
        <v>180000</v>
      </c>
      <c r="AH147" s="70">
        <f t="shared" si="305"/>
        <v>0</v>
      </c>
      <c r="AI147" s="70">
        <f t="shared" si="305"/>
        <v>0</v>
      </c>
      <c r="AJ147" s="70"/>
      <c r="AK147" s="70"/>
      <c r="AL147" s="70"/>
      <c r="AM147" s="70"/>
      <c r="AN147" s="70"/>
      <c r="AO147" s="70"/>
      <c r="AP147" s="70"/>
      <c r="AQ147" s="70"/>
      <c r="AR147" s="70"/>
      <c r="AS147" s="71">
        <f>SUM(AG147:AR147)</f>
        <v>180000</v>
      </c>
      <c r="AT147" s="70">
        <f t="shared" ref="AT147:AT148" si="311">SUM(AG147*4%)</f>
        <v>7200</v>
      </c>
      <c r="AU147" s="70">
        <f t="shared" si="306"/>
        <v>0</v>
      </c>
      <c r="AV147" s="70">
        <f t="shared" si="306"/>
        <v>0</v>
      </c>
      <c r="AW147" s="70"/>
      <c r="AX147" s="70"/>
      <c r="AY147" s="70"/>
      <c r="AZ147" s="70"/>
      <c r="BA147" s="70"/>
      <c r="BB147" s="70"/>
      <c r="BC147" s="70"/>
      <c r="BD147" s="70"/>
      <c r="BE147" s="70"/>
      <c r="BF147" s="72">
        <f>SUM(AT147:BE147)</f>
        <v>7200</v>
      </c>
      <c r="BG147" s="73">
        <f>AF147-AS147-BF147</f>
        <v>12400</v>
      </c>
      <c r="BH147" s="74">
        <f>S147*D147</f>
        <v>199600</v>
      </c>
      <c r="BI147" s="75">
        <f>BH147-AS147-BF147</f>
        <v>12400</v>
      </c>
      <c r="BJ147" s="891">
        <f>SUM(Q147/D147)</f>
        <v>1</v>
      </c>
      <c r="BK147" s="1081"/>
      <c r="BL147" s="1081"/>
      <c r="BM147" s="1083"/>
      <c r="BN147" s="1084"/>
      <c r="BO147" s="862"/>
      <c r="BP147" s="862"/>
      <c r="BQ147" s="862"/>
      <c r="BR147" s="862"/>
      <c r="BS147" s="862"/>
      <c r="BT147" s="862"/>
      <c r="BU147" s="862"/>
      <c r="BV147" s="862"/>
      <c r="BW147" s="1081">
        <f t="shared" ref="BW147:BW149" si="312">SUM(AN147*12.5%)</f>
        <v>0</v>
      </c>
      <c r="BX147" s="862"/>
      <c r="BY147" s="862"/>
      <c r="BZ147" s="862"/>
      <c r="CA147" s="73">
        <f t="shared" ref="CA147:CA149" si="313">SUM(BO147:BZ147)</f>
        <v>0</v>
      </c>
      <c r="CB147" s="862"/>
      <c r="CC147" s="862"/>
      <c r="CD147" s="862"/>
      <c r="CE147" s="862"/>
      <c r="CF147" s="862"/>
      <c r="CG147" s="862"/>
      <c r="CH147" s="862"/>
      <c r="CI147" s="862"/>
      <c r="CJ147" s="1081"/>
      <c r="CK147" s="862"/>
      <c r="CL147" s="862"/>
      <c r="CM147" s="862"/>
      <c r="CN147" s="73">
        <f t="shared" ref="CN147:CN149" si="314">SUM(CB147:CM147)</f>
        <v>0</v>
      </c>
    </row>
    <row r="148" spans="1:98" s="37" customFormat="1" ht="24.75" customHeight="1" thickBot="1" x14ac:dyDescent="0.25">
      <c r="A148" s="28"/>
      <c r="B148" s="141" t="s">
        <v>32</v>
      </c>
      <c r="C148" s="29" t="s">
        <v>25</v>
      </c>
      <c r="D148" s="968">
        <v>2</v>
      </c>
      <c r="E148" s="968">
        <v>2</v>
      </c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>SUM(E148:P148)</f>
        <v>2</v>
      </c>
      <c r="R148" s="83" t="s">
        <v>16</v>
      </c>
      <c r="S148" s="142">
        <v>35000</v>
      </c>
      <c r="T148" s="628">
        <v>30000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29">
        <f t="shared" si="304"/>
        <v>70000</v>
      </c>
      <c r="AG148" s="70">
        <f t="shared" si="305"/>
        <v>60000</v>
      </c>
      <c r="AH148" s="70">
        <f t="shared" si="305"/>
        <v>0</v>
      </c>
      <c r="AI148" s="70">
        <f t="shared" si="305"/>
        <v>0</v>
      </c>
      <c r="AJ148" s="70"/>
      <c r="AK148" s="70"/>
      <c r="AL148" s="70"/>
      <c r="AM148" s="70"/>
      <c r="AN148" s="70"/>
      <c r="AO148" s="70"/>
      <c r="AP148" s="70"/>
      <c r="AQ148" s="70"/>
      <c r="AR148" s="70"/>
      <c r="AS148" s="71">
        <f>SUM(AG148:AR148)</f>
        <v>60000</v>
      </c>
      <c r="AT148" s="70">
        <f t="shared" si="311"/>
        <v>2400</v>
      </c>
      <c r="AU148" s="70">
        <f t="shared" si="306"/>
        <v>0</v>
      </c>
      <c r="AV148" s="70">
        <f t="shared" si="306"/>
        <v>0</v>
      </c>
      <c r="AW148" s="70"/>
      <c r="AX148" s="70"/>
      <c r="AY148" s="70"/>
      <c r="AZ148" s="70"/>
      <c r="BA148" s="70"/>
      <c r="BB148" s="70"/>
      <c r="BC148" s="70"/>
      <c r="BD148" s="70"/>
      <c r="BE148" s="70"/>
      <c r="BF148" s="72">
        <f>SUM(AT148:BE148)</f>
        <v>2400</v>
      </c>
      <c r="BG148" s="73">
        <f>AF148-AS148-BF148</f>
        <v>7600</v>
      </c>
      <c r="BH148" s="74">
        <f>S148*D148</f>
        <v>70000</v>
      </c>
      <c r="BI148" s="75">
        <f>BH148-AS148-BF148</f>
        <v>7600</v>
      </c>
      <c r="BJ148" s="891">
        <f>SUM(Q148/D148)</f>
        <v>1</v>
      </c>
      <c r="BK148" s="1081"/>
      <c r="BL148" s="1081"/>
      <c r="BM148" s="1083"/>
      <c r="BN148" s="1084"/>
      <c r="BO148" s="862"/>
      <c r="BP148" s="862"/>
      <c r="BQ148" s="862"/>
      <c r="BR148" s="862"/>
      <c r="BS148" s="862"/>
      <c r="BT148" s="862"/>
      <c r="BU148" s="862"/>
      <c r="BV148" s="862"/>
      <c r="BW148" s="1081">
        <f t="shared" si="312"/>
        <v>0</v>
      </c>
      <c r="BX148" s="862"/>
      <c r="BY148" s="862"/>
      <c r="BZ148" s="862"/>
      <c r="CA148" s="73">
        <f t="shared" si="313"/>
        <v>0</v>
      </c>
      <c r="CB148" s="862"/>
      <c r="CC148" s="862"/>
      <c r="CD148" s="862"/>
      <c r="CE148" s="862"/>
      <c r="CF148" s="862"/>
      <c r="CG148" s="862"/>
      <c r="CH148" s="862"/>
      <c r="CI148" s="862"/>
      <c r="CJ148" s="1081"/>
      <c r="CK148" s="862"/>
      <c r="CL148" s="862"/>
      <c r="CM148" s="862"/>
      <c r="CN148" s="73">
        <f t="shared" si="314"/>
        <v>0</v>
      </c>
    </row>
    <row r="149" spans="1:98" s="38" customFormat="1" ht="24.75" customHeight="1" thickBot="1" x14ac:dyDescent="0.25">
      <c r="A149" s="554">
        <v>14</v>
      </c>
      <c r="B149" s="44" t="s">
        <v>4</v>
      </c>
      <c r="C149" s="44"/>
      <c r="D149" s="227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7"/>
      <c r="R149" s="77"/>
      <c r="S149" s="45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78">
        <f t="shared" ref="AF149:BF149" si="315">SUM(AF145:AF148)</f>
        <v>1433600</v>
      </c>
      <c r="AG149" s="78">
        <f>SUM(AG145:AG148)-300000</f>
        <v>960000</v>
      </c>
      <c r="AH149" s="78">
        <f t="shared" ref="AH149:AS149" si="316">SUM(AH145:AH148)</f>
        <v>0</v>
      </c>
      <c r="AI149" s="78">
        <f t="shared" si="316"/>
        <v>0</v>
      </c>
      <c r="AJ149" s="78">
        <f t="shared" ref="AJ149:AR149" si="317">SUM(AJ145:AJ148)</f>
        <v>0</v>
      </c>
      <c r="AK149" s="78">
        <f t="shared" si="317"/>
        <v>0</v>
      </c>
      <c r="AL149" s="78">
        <f t="shared" si="317"/>
        <v>0</v>
      </c>
      <c r="AM149" s="78">
        <f t="shared" si="317"/>
        <v>0</v>
      </c>
      <c r="AN149" s="78">
        <f t="shared" si="317"/>
        <v>0</v>
      </c>
      <c r="AO149" s="78">
        <f t="shared" si="317"/>
        <v>0</v>
      </c>
      <c r="AP149" s="78">
        <f t="shared" si="317"/>
        <v>0</v>
      </c>
      <c r="AQ149" s="78">
        <f t="shared" si="317"/>
        <v>0</v>
      </c>
      <c r="AR149" s="78">
        <f t="shared" si="317"/>
        <v>0</v>
      </c>
      <c r="AS149" s="78">
        <f>SUM(AS145:AS148)-300000</f>
        <v>960000</v>
      </c>
      <c r="AT149" s="78">
        <f t="shared" si="315"/>
        <v>50400</v>
      </c>
      <c r="AU149" s="78">
        <f t="shared" si="315"/>
        <v>0</v>
      </c>
      <c r="AV149" s="78">
        <f t="shared" si="315"/>
        <v>0</v>
      </c>
      <c r="AW149" s="78"/>
      <c r="AX149" s="78"/>
      <c r="AY149" s="78"/>
      <c r="AZ149" s="78"/>
      <c r="BA149" s="78"/>
      <c r="BB149" s="78"/>
      <c r="BC149" s="78"/>
      <c r="BD149" s="78"/>
      <c r="BE149" s="78"/>
      <c r="BF149" s="78">
        <f t="shared" si="315"/>
        <v>50400</v>
      </c>
      <c r="BG149" s="79">
        <f>SUM(BG145:BG148)</f>
        <v>123200</v>
      </c>
      <c r="BH149" s="78">
        <f>SUM(BH145:BH148)</f>
        <v>1433600</v>
      </c>
      <c r="BI149" s="78">
        <f>SUM(BI145:BI148)</f>
        <v>123200</v>
      </c>
      <c r="BJ149" s="176">
        <f>SUM(BJ145:BJ148)/4</f>
        <v>1</v>
      </c>
      <c r="BK149" s="1081"/>
      <c r="BL149" s="1081"/>
      <c r="BM149" s="1083"/>
      <c r="BN149" s="1084"/>
      <c r="BO149" s="862"/>
      <c r="BP149" s="862"/>
      <c r="BQ149" s="862"/>
      <c r="BR149" s="862"/>
      <c r="BS149" s="862"/>
      <c r="BT149" s="862"/>
      <c r="BU149" s="862"/>
      <c r="BV149" s="862"/>
      <c r="BW149" s="1081">
        <f t="shared" si="312"/>
        <v>0</v>
      </c>
      <c r="BX149" s="862"/>
      <c r="BY149" s="862"/>
      <c r="BZ149" s="862"/>
      <c r="CA149" s="73">
        <f t="shared" si="313"/>
        <v>0</v>
      </c>
      <c r="CB149" s="862"/>
      <c r="CC149" s="862"/>
      <c r="CD149" s="862"/>
      <c r="CE149" s="862"/>
      <c r="CF149" s="862"/>
      <c r="CG149" s="862"/>
      <c r="CH149" s="862"/>
      <c r="CI149" s="862"/>
      <c r="CJ149" s="1081"/>
      <c r="CK149" s="862"/>
      <c r="CL149" s="862"/>
      <c r="CM149" s="862"/>
      <c r="CN149" s="73">
        <f t="shared" si="314"/>
        <v>0</v>
      </c>
    </row>
    <row r="150" spans="1:98" s="20" customFormat="1" ht="24.75" customHeight="1" x14ac:dyDescent="0.2">
      <c r="A150" s="50"/>
      <c r="D150" s="22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AE150" s="40"/>
      <c r="AS150" s="51"/>
      <c r="BF150" s="52">
        <f>SUM(AS149+BF149)</f>
        <v>1010400</v>
      </c>
      <c r="BG150" s="53">
        <f>AF149-AS149-BF149</f>
        <v>423200</v>
      </c>
      <c r="BH150" s="54">
        <f>SUM(BI149+AS149+BF149)</f>
        <v>1133600</v>
      </c>
      <c r="BI150" s="55">
        <f>SUM(BG149)</f>
        <v>123200</v>
      </c>
      <c r="BJ150" s="40" t="s">
        <v>38</v>
      </c>
      <c r="BK150" s="40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</row>
    <row r="151" spans="1:98" s="20" customFormat="1" ht="24.75" customHeight="1" x14ac:dyDescent="0.2">
      <c r="A151" s="50"/>
      <c r="D151" s="22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AE151" s="40"/>
      <c r="AS151" s="40"/>
      <c r="AT151" s="123">
        <f>SUM(AG149+AT149)</f>
        <v>1010400</v>
      </c>
      <c r="AU151" s="123">
        <f t="shared" ref="AU151:BE151" si="318">SUM(AH149+AU149)</f>
        <v>0</v>
      </c>
      <c r="AV151" s="123">
        <f t="shared" si="318"/>
        <v>0</v>
      </c>
      <c r="AW151" s="123">
        <f t="shared" si="318"/>
        <v>0</v>
      </c>
      <c r="AX151" s="123">
        <f t="shared" si="318"/>
        <v>0</v>
      </c>
      <c r="AY151" s="123">
        <f t="shared" si="318"/>
        <v>0</v>
      </c>
      <c r="AZ151" s="123">
        <f t="shared" si="318"/>
        <v>0</v>
      </c>
      <c r="BA151" s="123">
        <f t="shared" si="318"/>
        <v>0</v>
      </c>
      <c r="BB151" s="123">
        <f t="shared" si="318"/>
        <v>0</v>
      </c>
      <c r="BC151" s="123">
        <f t="shared" si="318"/>
        <v>0</v>
      </c>
      <c r="BD151" s="123">
        <f t="shared" si="318"/>
        <v>0</v>
      </c>
      <c r="BE151" s="123">
        <f t="shared" si="318"/>
        <v>0</v>
      </c>
      <c r="BF151" s="123">
        <f>SUM(AT151:BE151)</f>
        <v>1010400</v>
      </c>
      <c r="BG151" s="40"/>
      <c r="BH151" s="56"/>
      <c r="BI151" s="57">
        <f>SUM(BI149-BI150)</f>
        <v>0</v>
      </c>
      <c r="BJ151" s="40" t="s">
        <v>37</v>
      </c>
      <c r="BK151" s="40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</row>
    <row r="152" spans="1:98" s="20" customFormat="1" ht="16.5" customHeight="1" x14ac:dyDescent="0.2">
      <c r="A152" s="1730" t="s">
        <v>8</v>
      </c>
      <c r="B152" s="1731"/>
      <c r="C152" s="124" t="s">
        <v>113</v>
      </c>
      <c r="D152" s="224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7"/>
      <c r="AF152" s="23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8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8"/>
      <c r="BG152" s="138"/>
      <c r="BH152" s="135"/>
      <c r="BI152" s="139"/>
      <c r="BJ152" s="135"/>
      <c r="BK152" s="136"/>
      <c r="BL152" s="136"/>
      <c r="BM152" s="136"/>
      <c r="BN152" s="136"/>
      <c r="BO152" s="136"/>
      <c r="BP152" s="137"/>
      <c r="BQ152" s="136"/>
      <c r="BR152" s="136"/>
      <c r="BS152" s="136"/>
      <c r="BT152" s="136"/>
      <c r="BU152" s="136"/>
      <c r="BV152" s="138"/>
      <c r="BW152" s="138"/>
      <c r="BX152" s="138"/>
      <c r="BY152" s="135"/>
      <c r="BZ152" s="139"/>
      <c r="CA152" s="138"/>
      <c r="CB152" s="138"/>
      <c r="CC152" s="24"/>
      <c r="CD152" s="24"/>
      <c r="CE152" s="24"/>
      <c r="CF152" s="24"/>
      <c r="CG152" s="24"/>
      <c r="CH152" s="140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</row>
    <row r="153" spans="1:98" s="8" customFormat="1" ht="48.75" customHeight="1" x14ac:dyDescent="0.2">
      <c r="A153" s="1703" t="s">
        <v>10</v>
      </c>
      <c r="B153" s="1706" t="s">
        <v>11</v>
      </c>
      <c r="C153" s="1706" t="s">
        <v>22</v>
      </c>
      <c r="D153" s="1721" t="s">
        <v>12</v>
      </c>
      <c r="E153" s="1721"/>
      <c r="F153" s="1721"/>
      <c r="G153" s="1721"/>
      <c r="H153" s="1721"/>
      <c r="I153" s="1721"/>
      <c r="J153" s="1721"/>
      <c r="K153" s="1721"/>
      <c r="L153" s="1721"/>
      <c r="M153" s="1721"/>
      <c r="N153" s="1721"/>
      <c r="O153" s="1721"/>
      <c r="P153" s="1721"/>
      <c r="Q153" s="1721"/>
      <c r="R153" s="1706" t="s">
        <v>20</v>
      </c>
      <c r="S153" s="1717" t="s">
        <v>17</v>
      </c>
      <c r="T153" s="1718"/>
      <c r="U153" s="1718"/>
      <c r="V153" s="1718"/>
      <c r="W153" s="1718"/>
      <c r="X153" s="1718"/>
      <c r="Y153" s="1718"/>
      <c r="Z153" s="1718"/>
      <c r="AA153" s="1718"/>
      <c r="AB153" s="1718"/>
      <c r="AC153" s="1718"/>
      <c r="AD153" s="1718"/>
      <c r="AE153" s="1719"/>
      <c r="AF153" s="1720" t="s">
        <v>6</v>
      </c>
      <c r="AG153" s="1720"/>
      <c r="AH153" s="1720"/>
      <c r="AI153" s="1720"/>
      <c r="AJ153" s="1720"/>
      <c r="AK153" s="1720"/>
      <c r="AL153" s="1720"/>
      <c r="AM153" s="1720"/>
      <c r="AN153" s="1720"/>
      <c r="AO153" s="1720"/>
      <c r="AP153" s="1720"/>
      <c r="AQ153" s="1720"/>
      <c r="AR153" s="1720"/>
      <c r="AS153" s="1720"/>
      <c r="AT153" s="1722" t="s">
        <v>41</v>
      </c>
      <c r="AU153" s="1723"/>
      <c r="AV153" s="1723"/>
      <c r="AW153" s="1723"/>
      <c r="AX153" s="1723"/>
      <c r="AY153" s="1723"/>
      <c r="AZ153" s="1723"/>
      <c r="BA153" s="1723"/>
      <c r="BB153" s="1723"/>
      <c r="BC153" s="1723"/>
      <c r="BD153" s="1723"/>
      <c r="BE153" s="1723"/>
      <c r="BF153" s="1724"/>
      <c r="BG153" s="1706" t="s">
        <v>38</v>
      </c>
      <c r="BH153" s="1706" t="s">
        <v>256</v>
      </c>
      <c r="BI153" s="1709" t="s">
        <v>39</v>
      </c>
      <c r="BJ153" s="135"/>
      <c r="BK153" s="135"/>
      <c r="BL153" s="135"/>
      <c r="BM153" s="135"/>
      <c r="BN153" s="135"/>
      <c r="BO153" s="1733" t="s">
        <v>41</v>
      </c>
      <c r="BP153" s="1734"/>
      <c r="BQ153" s="1734"/>
      <c r="BR153" s="1734"/>
      <c r="BS153" s="1734"/>
      <c r="BT153" s="1734"/>
      <c r="BU153" s="1734"/>
      <c r="BV153" s="1734"/>
      <c r="BW153" s="1734"/>
      <c r="BX153" s="1734"/>
      <c r="BY153" s="1734"/>
      <c r="BZ153" s="1734"/>
      <c r="CA153" s="1734"/>
      <c r="CB153" s="1734"/>
      <c r="CC153" s="1734"/>
      <c r="CD153" s="1734"/>
      <c r="CE153" s="1734"/>
      <c r="CF153" s="1734"/>
      <c r="CG153" s="1734"/>
      <c r="CH153" s="1734"/>
      <c r="CI153" s="1734"/>
      <c r="CJ153" s="1734"/>
      <c r="CK153" s="1734"/>
      <c r="CL153" s="1734"/>
      <c r="CM153" s="1734"/>
      <c r="CN153" s="1735"/>
    </row>
    <row r="154" spans="1:98" s="8" customFormat="1" ht="48.75" customHeight="1" x14ac:dyDescent="0.2">
      <c r="A154" s="1704"/>
      <c r="B154" s="1707"/>
      <c r="C154" s="1707"/>
      <c r="D154" s="1728" t="s">
        <v>18</v>
      </c>
      <c r="E154" s="1714" t="s">
        <v>19</v>
      </c>
      <c r="F154" s="1715"/>
      <c r="G154" s="1715"/>
      <c r="H154" s="1715"/>
      <c r="I154" s="1715"/>
      <c r="J154" s="1715"/>
      <c r="K154" s="1715"/>
      <c r="L154" s="1715"/>
      <c r="M154" s="1715"/>
      <c r="N154" s="1715"/>
      <c r="O154" s="1715"/>
      <c r="P154" s="1715"/>
      <c r="Q154" s="1715"/>
      <c r="R154" s="1707"/>
      <c r="S154" s="1712" t="s">
        <v>18</v>
      </c>
      <c r="T154" s="1714" t="s">
        <v>19</v>
      </c>
      <c r="U154" s="1715"/>
      <c r="V154" s="1715"/>
      <c r="W154" s="1715"/>
      <c r="X154" s="1715"/>
      <c r="Y154" s="1715"/>
      <c r="Z154" s="1715"/>
      <c r="AA154" s="1715"/>
      <c r="AB154" s="1715"/>
      <c r="AC154" s="1715"/>
      <c r="AD154" s="1715"/>
      <c r="AE154" s="1716"/>
      <c r="AF154" s="1712" t="s">
        <v>18</v>
      </c>
      <c r="AG154" s="1714" t="s">
        <v>19</v>
      </c>
      <c r="AH154" s="1715"/>
      <c r="AI154" s="1715"/>
      <c r="AJ154" s="1715"/>
      <c r="AK154" s="1715"/>
      <c r="AL154" s="1715"/>
      <c r="AM154" s="1715"/>
      <c r="AN154" s="1715"/>
      <c r="AO154" s="1715"/>
      <c r="AP154" s="1715"/>
      <c r="AQ154" s="1715"/>
      <c r="AR154" s="1715"/>
      <c r="AS154" s="1716"/>
      <c r="AT154" s="1725"/>
      <c r="AU154" s="1726"/>
      <c r="AV154" s="1726"/>
      <c r="AW154" s="1726"/>
      <c r="AX154" s="1726"/>
      <c r="AY154" s="1726"/>
      <c r="AZ154" s="1726"/>
      <c r="BA154" s="1726"/>
      <c r="BB154" s="1726"/>
      <c r="BC154" s="1726"/>
      <c r="BD154" s="1726"/>
      <c r="BE154" s="1726"/>
      <c r="BF154" s="1727"/>
      <c r="BG154" s="1707"/>
      <c r="BH154" s="1707"/>
      <c r="BI154" s="1710"/>
      <c r="BJ154" s="135"/>
      <c r="BK154" s="1736">
        <f>SUM(BK156/60)</f>
        <v>0</v>
      </c>
      <c r="BL154" s="1736"/>
      <c r="BM154" s="1736"/>
      <c r="BN154" s="23"/>
      <c r="BO154" s="1737" t="s">
        <v>686</v>
      </c>
      <c r="BP154" s="1738"/>
      <c r="BQ154" s="1738"/>
      <c r="BR154" s="1738"/>
      <c r="BS154" s="1738"/>
      <c r="BT154" s="1738"/>
      <c r="BU154" s="1738"/>
      <c r="BV154" s="1738"/>
      <c r="BW154" s="1738"/>
      <c r="BX154" s="1738"/>
      <c r="BY154" s="1738"/>
      <c r="BZ154" s="1738"/>
      <c r="CA154" s="1739"/>
      <c r="CB154" s="1740" t="s">
        <v>687</v>
      </c>
      <c r="CC154" s="1741"/>
      <c r="CD154" s="1741"/>
      <c r="CE154" s="1741"/>
      <c r="CF154" s="1741"/>
      <c r="CG154" s="1741"/>
      <c r="CH154" s="1741"/>
      <c r="CI154" s="1741"/>
      <c r="CJ154" s="1741"/>
      <c r="CK154" s="1741"/>
      <c r="CL154" s="1741"/>
      <c r="CM154" s="1741"/>
      <c r="CN154" s="1742"/>
    </row>
    <row r="155" spans="1:98" s="6" customFormat="1" ht="28.5" customHeight="1" x14ac:dyDescent="0.2">
      <c r="A155" s="1705"/>
      <c r="B155" s="1708"/>
      <c r="C155" s="1708"/>
      <c r="D155" s="1732"/>
      <c r="E155" s="26">
        <v>1</v>
      </c>
      <c r="F155" s="26">
        <v>2</v>
      </c>
      <c r="G155" s="26">
        <v>3</v>
      </c>
      <c r="H155" s="26">
        <v>4</v>
      </c>
      <c r="I155" s="26">
        <v>5</v>
      </c>
      <c r="J155" s="26">
        <v>6</v>
      </c>
      <c r="K155" s="26">
        <v>7</v>
      </c>
      <c r="L155" s="26">
        <v>8</v>
      </c>
      <c r="M155" s="26">
        <v>9</v>
      </c>
      <c r="N155" s="26">
        <v>10</v>
      </c>
      <c r="O155" s="26">
        <v>11</v>
      </c>
      <c r="P155" s="26">
        <v>12</v>
      </c>
      <c r="Q155" s="26" t="s">
        <v>21</v>
      </c>
      <c r="R155" s="1708"/>
      <c r="S155" s="1713"/>
      <c r="T155" s="26">
        <v>1</v>
      </c>
      <c r="U155" s="26">
        <v>2</v>
      </c>
      <c r="V155" s="26">
        <v>3</v>
      </c>
      <c r="W155" s="26">
        <v>4</v>
      </c>
      <c r="X155" s="26">
        <v>5</v>
      </c>
      <c r="Y155" s="26">
        <v>6</v>
      </c>
      <c r="Z155" s="26">
        <v>7</v>
      </c>
      <c r="AA155" s="26">
        <v>8</v>
      </c>
      <c r="AB155" s="26">
        <v>9</v>
      </c>
      <c r="AC155" s="26">
        <v>10</v>
      </c>
      <c r="AD155" s="26">
        <v>11</v>
      </c>
      <c r="AE155" s="26">
        <v>12</v>
      </c>
      <c r="AF155" s="1713"/>
      <c r="AG155" s="26">
        <v>1</v>
      </c>
      <c r="AH155" s="26">
        <v>2</v>
      </c>
      <c r="AI155" s="26">
        <v>3</v>
      </c>
      <c r="AJ155" s="26">
        <v>4</v>
      </c>
      <c r="AK155" s="26">
        <v>5</v>
      </c>
      <c r="AL155" s="26">
        <v>6</v>
      </c>
      <c r="AM155" s="26">
        <v>7</v>
      </c>
      <c r="AN155" s="26">
        <v>8</v>
      </c>
      <c r="AO155" s="26">
        <v>9</v>
      </c>
      <c r="AP155" s="26">
        <v>10</v>
      </c>
      <c r="AQ155" s="26">
        <v>11</v>
      </c>
      <c r="AR155" s="26">
        <v>12</v>
      </c>
      <c r="AS155" s="26" t="s">
        <v>13</v>
      </c>
      <c r="AT155" s="173">
        <v>1</v>
      </c>
      <c r="AU155" s="173">
        <v>2</v>
      </c>
      <c r="AV155" s="173">
        <v>3</v>
      </c>
      <c r="AW155" s="173">
        <v>4</v>
      </c>
      <c r="AX155" s="173">
        <v>5</v>
      </c>
      <c r="AY155" s="173">
        <v>6</v>
      </c>
      <c r="AZ155" s="173">
        <v>7</v>
      </c>
      <c r="BA155" s="173">
        <v>8</v>
      </c>
      <c r="BB155" s="173">
        <v>9</v>
      </c>
      <c r="BC155" s="173">
        <v>10</v>
      </c>
      <c r="BD155" s="173">
        <v>11</v>
      </c>
      <c r="BE155" s="173">
        <v>12</v>
      </c>
      <c r="BF155" s="26" t="s">
        <v>13</v>
      </c>
      <c r="BG155" s="1708"/>
      <c r="BH155" s="1708"/>
      <c r="BI155" s="1711"/>
      <c r="BJ155" s="7"/>
      <c r="BK155" s="1743" t="s">
        <v>19</v>
      </c>
      <c r="BL155" s="1744"/>
      <c r="BM155" s="1745"/>
      <c r="BN155" s="621"/>
      <c r="BO155" s="173">
        <v>1</v>
      </c>
      <c r="BP155" s="173">
        <v>2</v>
      </c>
      <c r="BQ155" s="173">
        <v>3</v>
      </c>
      <c r="BR155" s="173">
        <v>4</v>
      </c>
      <c r="BS155" s="173">
        <v>5</v>
      </c>
      <c r="BT155" s="173">
        <v>6</v>
      </c>
      <c r="BU155" s="173">
        <v>7</v>
      </c>
      <c r="BV155" s="173">
        <v>8</v>
      </c>
      <c r="BW155" s="173">
        <v>9</v>
      </c>
      <c r="BX155" s="173">
        <v>10</v>
      </c>
      <c r="BY155" s="173">
        <v>11</v>
      </c>
      <c r="BZ155" s="173">
        <v>12</v>
      </c>
      <c r="CA155" s="26" t="s">
        <v>13</v>
      </c>
      <c r="CB155" s="173">
        <v>1</v>
      </c>
      <c r="CC155" s="173">
        <v>2</v>
      </c>
      <c r="CD155" s="173">
        <v>3</v>
      </c>
      <c r="CE155" s="173">
        <v>4</v>
      </c>
      <c r="CF155" s="173">
        <v>5</v>
      </c>
      <c r="CG155" s="173">
        <v>6</v>
      </c>
      <c r="CH155" s="173">
        <v>7</v>
      </c>
      <c r="CI155" s="173">
        <v>8</v>
      </c>
      <c r="CJ155" s="173">
        <v>9</v>
      </c>
      <c r="CK155" s="173">
        <v>10</v>
      </c>
      <c r="CL155" s="173">
        <v>11</v>
      </c>
      <c r="CM155" s="173">
        <v>12</v>
      </c>
      <c r="CN155" s="26" t="s">
        <v>13</v>
      </c>
    </row>
    <row r="156" spans="1:98" s="37" customFormat="1" ht="24.75" customHeight="1" x14ac:dyDescent="0.2">
      <c r="A156" s="28"/>
      <c r="B156" s="141" t="s">
        <v>89</v>
      </c>
      <c r="C156" s="29" t="s">
        <v>25</v>
      </c>
      <c r="D156" s="966">
        <v>30</v>
      </c>
      <c r="E156" s="966">
        <v>30</v>
      </c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1">
        <f>SUM(E156:P156)</f>
        <v>30</v>
      </c>
      <c r="R156" s="83" t="s">
        <v>31</v>
      </c>
      <c r="S156" s="142">
        <v>10300</v>
      </c>
      <c r="T156" s="628">
        <v>9000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629">
        <f t="shared" ref="AF156:AF159" si="319">SUM(Q156*S156)</f>
        <v>309000</v>
      </c>
      <c r="AG156" s="70">
        <f t="shared" ref="AG156:AI159" si="320">T156*E156</f>
        <v>270000</v>
      </c>
      <c r="AH156" s="70">
        <f t="shared" si="320"/>
        <v>0</v>
      </c>
      <c r="AI156" s="70">
        <f t="shared" si="320"/>
        <v>0</v>
      </c>
      <c r="AJ156" s="70">
        <f t="shared" ref="AJ156:AR159" si="321">W156*H156</f>
        <v>0</v>
      </c>
      <c r="AK156" s="70">
        <f t="shared" si="321"/>
        <v>0</v>
      </c>
      <c r="AL156" s="70">
        <f t="shared" si="321"/>
        <v>0</v>
      </c>
      <c r="AM156" s="70">
        <f t="shared" si="321"/>
        <v>0</v>
      </c>
      <c r="AN156" s="70">
        <f t="shared" si="321"/>
        <v>0</v>
      </c>
      <c r="AO156" s="70">
        <f t="shared" si="321"/>
        <v>0</v>
      </c>
      <c r="AP156" s="70">
        <f t="shared" si="321"/>
        <v>0</v>
      </c>
      <c r="AQ156" s="70">
        <f t="shared" si="321"/>
        <v>0</v>
      </c>
      <c r="AR156" s="70">
        <f t="shared" si="321"/>
        <v>0</v>
      </c>
      <c r="AS156" s="71">
        <f>SUM(AG156:AR156)</f>
        <v>270000</v>
      </c>
      <c r="AT156" s="70">
        <f>SUM(AG156*4%)</f>
        <v>10800</v>
      </c>
      <c r="AU156" s="70">
        <f t="shared" ref="AU156:BE159" si="322">SUM(AH156*14%)</f>
        <v>0</v>
      </c>
      <c r="AV156" s="70">
        <f t="shared" si="322"/>
        <v>0</v>
      </c>
      <c r="AW156" s="70">
        <f t="shared" si="322"/>
        <v>0</v>
      </c>
      <c r="AX156" s="70">
        <f t="shared" si="322"/>
        <v>0</v>
      </c>
      <c r="AY156" s="70">
        <f t="shared" si="322"/>
        <v>0</v>
      </c>
      <c r="AZ156" s="70">
        <f t="shared" si="322"/>
        <v>0</v>
      </c>
      <c r="BA156" s="70">
        <f t="shared" si="322"/>
        <v>0</v>
      </c>
      <c r="BB156" s="70">
        <f t="shared" si="322"/>
        <v>0</v>
      </c>
      <c r="BC156" s="70">
        <f t="shared" si="322"/>
        <v>0</v>
      </c>
      <c r="BD156" s="70">
        <f t="shared" si="322"/>
        <v>0</v>
      </c>
      <c r="BE156" s="70">
        <f t="shared" si="322"/>
        <v>0</v>
      </c>
      <c r="BF156" s="72">
        <f>SUM(AT156:BE156)</f>
        <v>10800</v>
      </c>
      <c r="BG156" s="73">
        <f>AF156-AS156-BF156</f>
        <v>28200</v>
      </c>
      <c r="BH156" s="74">
        <f>S156*D156</f>
        <v>309000</v>
      </c>
      <c r="BI156" s="75">
        <f>BH156-AS156-BF156</f>
        <v>28200</v>
      </c>
      <c r="BJ156" s="891">
        <f>SUM(Q156/D156)</f>
        <v>1</v>
      </c>
      <c r="BK156" s="1081"/>
      <c r="BL156" s="1081"/>
      <c r="BM156" s="1083"/>
      <c r="BN156" s="1084"/>
      <c r="BO156" s="862"/>
      <c r="BP156" s="862"/>
      <c r="BQ156" s="862"/>
      <c r="BR156" s="862"/>
      <c r="BS156" s="862"/>
      <c r="BT156" s="862"/>
      <c r="BU156" s="862"/>
      <c r="BV156" s="862"/>
      <c r="BW156" s="1081">
        <f t="shared" ref="BW156:BW157" si="323">SUM(AN156*12.5%)</f>
        <v>0</v>
      </c>
      <c r="BX156" s="862"/>
      <c r="BY156" s="862"/>
      <c r="BZ156" s="862"/>
      <c r="CA156" s="73">
        <f t="shared" ref="CA156" si="324">SUM(BO156:BZ156)</f>
        <v>0</v>
      </c>
      <c r="CB156" s="862"/>
      <c r="CC156" s="862"/>
      <c r="CD156" s="862"/>
      <c r="CE156" s="862"/>
      <c r="CF156" s="862"/>
      <c r="CG156" s="862"/>
      <c r="CH156" s="862"/>
      <c r="CI156" s="862"/>
      <c r="CJ156" s="1081"/>
      <c r="CK156" s="862"/>
      <c r="CL156" s="862"/>
      <c r="CM156" s="862"/>
      <c r="CN156" s="73">
        <f t="shared" ref="CN156:CN157" si="325">SUM(CB156:CM156)</f>
        <v>0</v>
      </c>
    </row>
    <row r="157" spans="1:98" s="37" customFormat="1" ht="24.75" customHeight="1" x14ac:dyDescent="0.2">
      <c r="A157" s="28"/>
      <c r="B157" s="141" t="s">
        <v>90</v>
      </c>
      <c r="C157" s="29" t="s">
        <v>25</v>
      </c>
      <c r="D157" s="967">
        <v>30</v>
      </c>
      <c r="E157" s="967">
        <v>30</v>
      </c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1">
        <f>SUM(E157:P157)</f>
        <v>30</v>
      </c>
      <c r="R157" s="83" t="s">
        <v>31</v>
      </c>
      <c r="S157" s="142">
        <v>28500</v>
      </c>
      <c r="T157" s="628">
        <v>25000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629">
        <f t="shared" si="319"/>
        <v>855000</v>
      </c>
      <c r="AG157" s="70">
        <f t="shared" si="320"/>
        <v>750000</v>
      </c>
      <c r="AH157" s="70">
        <f t="shared" si="320"/>
        <v>0</v>
      </c>
      <c r="AI157" s="70">
        <f t="shared" si="320"/>
        <v>0</v>
      </c>
      <c r="AJ157" s="70">
        <f t="shared" si="321"/>
        <v>0</v>
      </c>
      <c r="AK157" s="70">
        <f t="shared" si="321"/>
        <v>0</v>
      </c>
      <c r="AL157" s="70">
        <f t="shared" si="321"/>
        <v>0</v>
      </c>
      <c r="AM157" s="70">
        <f t="shared" si="321"/>
        <v>0</v>
      </c>
      <c r="AN157" s="70">
        <f t="shared" si="321"/>
        <v>0</v>
      </c>
      <c r="AO157" s="70">
        <f t="shared" si="321"/>
        <v>0</v>
      </c>
      <c r="AP157" s="70">
        <f t="shared" si="321"/>
        <v>0</v>
      </c>
      <c r="AQ157" s="70">
        <f t="shared" si="321"/>
        <v>0</v>
      </c>
      <c r="AR157" s="70">
        <f t="shared" si="321"/>
        <v>0</v>
      </c>
      <c r="AS157" s="71">
        <f>SUM(AG157:AR157)</f>
        <v>750000</v>
      </c>
      <c r="AT157" s="70">
        <f>SUM(AG157*4%)</f>
        <v>30000</v>
      </c>
      <c r="AU157" s="70">
        <f t="shared" si="322"/>
        <v>0</v>
      </c>
      <c r="AV157" s="70">
        <f t="shared" si="322"/>
        <v>0</v>
      </c>
      <c r="AW157" s="70">
        <f t="shared" si="322"/>
        <v>0</v>
      </c>
      <c r="AX157" s="70">
        <f t="shared" si="322"/>
        <v>0</v>
      </c>
      <c r="AY157" s="70">
        <f t="shared" si="322"/>
        <v>0</v>
      </c>
      <c r="AZ157" s="70">
        <f t="shared" si="322"/>
        <v>0</v>
      </c>
      <c r="BA157" s="70">
        <f t="shared" si="322"/>
        <v>0</v>
      </c>
      <c r="BB157" s="70">
        <f t="shared" si="322"/>
        <v>0</v>
      </c>
      <c r="BC157" s="70">
        <f t="shared" si="322"/>
        <v>0</v>
      </c>
      <c r="BD157" s="70">
        <f t="shared" si="322"/>
        <v>0</v>
      </c>
      <c r="BE157" s="70">
        <f t="shared" si="322"/>
        <v>0</v>
      </c>
      <c r="BF157" s="72">
        <f>SUM(AT157:BE157)</f>
        <v>30000</v>
      </c>
      <c r="BG157" s="73">
        <f>AF157-AS157-BF157</f>
        <v>75000</v>
      </c>
      <c r="BH157" s="74">
        <f>S157*D157</f>
        <v>855000</v>
      </c>
      <c r="BI157" s="75">
        <f>BH157-AS157-BF157</f>
        <v>75000</v>
      </c>
      <c r="BJ157" s="891">
        <f>SUM(Q157/D157)</f>
        <v>1</v>
      </c>
      <c r="BK157" s="1081"/>
      <c r="BL157" s="1081"/>
      <c r="BM157" s="1083"/>
      <c r="BN157" s="1084"/>
      <c r="BO157" s="862"/>
      <c r="BP157" s="862"/>
      <c r="BQ157" s="862"/>
      <c r="BR157" s="862"/>
      <c r="BS157" s="862"/>
      <c r="BT157" s="862"/>
      <c r="BU157" s="862"/>
      <c r="BV157" s="862"/>
      <c r="BW157" s="1081">
        <f t="shared" si="323"/>
        <v>0</v>
      </c>
      <c r="BX157" s="862"/>
      <c r="BY157" s="862"/>
      <c r="BZ157" s="862"/>
      <c r="CA157" s="73">
        <f t="shared" ref="CA157" si="326">SUM(BO157:BZ157)</f>
        <v>0</v>
      </c>
      <c r="CB157" s="862"/>
      <c r="CC157" s="862"/>
      <c r="CD157" s="862"/>
      <c r="CE157" s="862"/>
      <c r="CF157" s="862"/>
      <c r="CG157" s="862"/>
      <c r="CH157" s="862"/>
      <c r="CI157" s="862"/>
      <c r="CJ157" s="1081"/>
      <c r="CK157" s="862"/>
      <c r="CL157" s="862"/>
      <c r="CM157" s="862"/>
      <c r="CN157" s="73">
        <f t="shared" si="325"/>
        <v>0</v>
      </c>
    </row>
    <row r="158" spans="1:98" s="37" customFormat="1" ht="24.75" customHeight="1" x14ac:dyDescent="0.2">
      <c r="A158" s="28"/>
      <c r="B158" s="141" t="s">
        <v>109</v>
      </c>
      <c r="C158" s="29" t="s">
        <v>25</v>
      </c>
      <c r="D158" s="967">
        <v>4</v>
      </c>
      <c r="E158" s="967">
        <v>4</v>
      </c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1">
        <f>SUM(E158:P158)</f>
        <v>4</v>
      </c>
      <c r="R158" s="83" t="s">
        <v>2</v>
      </c>
      <c r="S158" s="142">
        <v>49900</v>
      </c>
      <c r="T158" s="628">
        <v>45000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629">
        <f t="shared" si="319"/>
        <v>199600</v>
      </c>
      <c r="AG158" s="70">
        <f t="shared" si="320"/>
        <v>180000</v>
      </c>
      <c r="AH158" s="70">
        <f t="shared" si="320"/>
        <v>0</v>
      </c>
      <c r="AI158" s="70">
        <f t="shared" si="320"/>
        <v>0</v>
      </c>
      <c r="AJ158" s="70"/>
      <c r="AK158" s="70"/>
      <c r="AL158" s="70"/>
      <c r="AM158" s="70"/>
      <c r="AN158" s="70"/>
      <c r="AO158" s="70"/>
      <c r="AP158" s="70"/>
      <c r="AQ158" s="70"/>
      <c r="AR158" s="70"/>
      <c r="AS158" s="71">
        <f>SUM(AG158:AR158)</f>
        <v>180000</v>
      </c>
      <c r="AT158" s="70">
        <f t="shared" ref="AT158" si="327">SUM(AG158*4%)</f>
        <v>7200</v>
      </c>
      <c r="AU158" s="70">
        <f t="shared" si="322"/>
        <v>0</v>
      </c>
      <c r="AV158" s="70">
        <f t="shared" si="322"/>
        <v>0</v>
      </c>
      <c r="AW158" s="70"/>
      <c r="AX158" s="70"/>
      <c r="AY158" s="70"/>
      <c r="AZ158" s="70"/>
      <c r="BA158" s="70"/>
      <c r="BB158" s="70"/>
      <c r="BC158" s="70"/>
      <c r="BD158" s="70"/>
      <c r="BE158" s="70"/>
      <c r="BF158" s="72">
        <f>SUM(AT158:BE158)</f>
        <v>7200</v>
      </c>
      <c r="BG158" s="73">
        <f>AF158-AS158-BF158</f>
        <v>12400</v>
      </c>
      <c r="BH158" s="74">
        <f>S158*D158</f>
        <v>199600</v>
      </c>
      <c r="BI158" s="75">
        <f>BH158-AS158-BF158</f>
        <v>12400</v>
      </c>
      <c r="BJ158" s="891">
        <f>SUM(Q158/D158)</f>
        <v>1</v>
      </c>
      <c r="BK158" s="1081"/>
      <c r="BL158" s="1081"/>
      <c r="BM158" s="1083"/>
      <c r="BN158" s="1084"/>
      <c r="BO158" s="862"/>
      <c r="BP158" s="862"/>
      <c r="BQ158" s="862"/>
      <c r="BR158" s="862"/>
      <c r="BS158" s="862"/>
      <c r="BT158" s="862"/>
      <c r="BU158" s="862"/>
      <c r="BV158" s="862"/>
      <c r="BW158" s="1081">
        <f t="shared" ref="BW158:BW160" si="328">SUM(AN158*12.5%)</f>
        <v>0</v>
      </c>
      <c r="BX158" s="862"/>
      <c r="BY158" s="862"/>
      <c r="BZ158" s="862"/>
      <c r="CA158" s="73">
        <f t="shared" ref="CA158:CA160" si="329">SUM(BO158:BZ158)</f>
        <v>0</v>
      </c>
      <c r="CB158" s="862"/>
      <c r="CC158" s="862"/>
      <c r="CD158" s="862"/>
      <c r="CE158" s="862"/>
      <c r="CF158" s="862"/>
      <c r="CG158" s="862"/>
      <c r="CH158" s="862"/>
      <c r="CI158" s="862"/>
      <c r="CJ158" s="1081"/>
      <c r="CK158" s="862"/>
      <c r="CL158" s="862"/>
      <c r="CM158" s="862"/>
      <c r="CN158" s="73">
        <f t="shared" ref="CN158:CN160" si="330">SUM(CB158:CM158)</f>
        <v>0</v>
      </c>
    </row>
    <row r="159" spans="1:98" s="37" customFormat="1" ht="24.75" customHeight="1" thickBot="1" x14ac:dyDescent="0.25">
      <c r="A159" s="28"/>
      <c r="B159" s="141" t="s">
        <v>32</v>
      </c>
      <c r="C159" s="29" t="s">
        <v>25</v>
      </c>
      <c r="D159" s="968">
        <v>2</v>
      </c>
      <c r="E159" s="968">
        <v>2</v>
      </c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1">
        <f>SUM(E159:P159)</f>
        <v>2</v>
      </c>
      <c r="R159" s="83" t="s">
        <v>16</v>
      </c>
      <c r="S159" s="142">
        <v>35000</v>
      </c>
      <c r="T159" s="628">
        <v>30000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629">
        <f t="shared" si="319"/>
        <v>70000</v>
      </c>
      <c r="AG159" s="70">
        <f t="shared" si="320"/>
        <v>60000</v>
      </c>
      <c r="AH159" s="70">
        <f t="shared" si="320"/>
        <v>0</v>
      </c>
      <c r="AI159" s="70">
        <f t="shared" si="320"/>
        <v>0</v>
      </c>
      <c r="AJ159" s="70">
        <f t="shared" si="321"/>
        <v>0</v>
      </c>
      <c r="AK159" s="70">
        <f t="shared" si="321"/>
        <v>0</v>
      </c>
      <c r="AL159" s="70">
        <f t="shared" si="321"/>
        <v>0</v>
      </c>
      <c r="AM159" s="70">
        <f t="shared" si="321"/>
        <v>0</v>
      </c>
      <c r="AN159" s="70">
        <f t="shared" si="321"/>
        <v>0</v>
      </c>
      <c r="AO159" s="70">
        <f t="shared" si="321"/>
        <v>0</v>
      </c>
      <c r="AP159" s="70">
        <f t="shared" si="321"/>
        <v>0</v>
      </c>
      <c r="AQ159" s="70">
        <f t="shared" si="321"/>
        <v>0</v>
      </c>
      <c r="AR159" s="70">
        <f t="shared" si="321"/>
        <v>0</v>
      </c>
      <c r="AS159" s="71">
        <f>SUM(AG159:AR159)</f>
        <v>60000</v>
      </c>
      <c r="AT159" s="70">
        <f>SUM(AG159*4%)</f>
        <v>2400</v>
      </c>
      <c r="AU159" s="70">
        <f t="shared" si="322"/>
        <v>0</v>
      </c>
      <c r="AV159" s="70">
        <f t="shared" si="322"/>
        <v>0</v>
      </c>
      <c r="AW159" s="70">
        <f t="shared" si="322"/>
        <v>0</v>
      </c>
      <c r="AX159" s="70">
        <f t="shared" si="322"/>
        <v>0</v>
      </c>
      <c r="AY159" s="70">
        <f t="shared" si="322"/>
        <v>0</v>
      </c>
      <c r="AZ159" s="70">
        <f t="shared" si="322"/>
        <v>0</v>
      </c>
      <c r="BA159" s="70">
        <f t="shared" si="322"/>
        <v>0</v>
      </c>
      <c r="BB159" s="70">
        <f t="shared" si="322"/>
        <v>0</v>
      </c>
      <c r="BC159" s="70">
        <f t="shared" si="322"/>
        <v>0</v>
      </c>
      <c r="BD159" s="70">
        <f t="shared" si="322"/>
        <v>0</v>
      </c>
      <c r="BE159" s="70">
        <f t="shared" si="322"/>
        <v>0</v>
      </c>
      <c r="BF159" s="72">
        <f>SUM(AT159:BE159)</f>
        <v>2400</v>
      </c>
      <c r="BG159" s="73">
        <f>AF159-AS159-BF159</f>
        <v>7600</v>
      </c>
      <c r="BH159" s="74">
        <f>S159*D159</f>
        <v>70000</v>
      </c>
      <c r="BI159" s="75">
        <f>BH159-AS159-BF159</f>
        <v>7600</v>
      </c>
      <c r="BJ159" s="891">
        <f>SUM(Q159/D159)</f>
        <v>1</v>
      </c>
      <c r="BK159" s="1081"/>
      <c r="BL159" s="1081"/>
      <c r="BM159" s="1083"/>
      <c r="BN159" s="1084"/>
      <c r="BO159" s="862"/>
      <c r="BP159" s="862"/>
      <c r="BQ159" s="862"/>
      <c r="BR159" s="862"/>
      <c r="BS159" s="862"/>
      <c r="BT159" s="862"/>
      <c r="BU159" s="862"/>
      <c r="BV159" s="862"/>
      <c r="BW159" s="1081">
        <f t="shared" si="328"/>
        <v>0</v>
      </c>
      <c r="BX159" s="862"/>
      <c r="BY159" s="862"/>
      <c r="BZ159" s="862"/>
      <c r="CA159" s="73">
        <f t="shared" si="329"/>
        <v>0</v>
      </c>
      <c r="CB159" s="862"/>
      <c r="CC159" s="862"/>
      <c r="CD159" s="862"/>
      <c r="CE159" s="862"/>
      <c r="CF159" s="862"/>
      <c r="CG159" s="862"/>
      <c r="CH159" s="862"/>
      <c r="CI159" s="862"/>
      <c r="CJ159" s="1081"/>
      <c r="CK159" s="862"/>
      <c r="CL159" s="862"/>
      <c r="CM159" s="862"/>
      <c r="CN159" s="73">
        <f t="shared" si="330"/>
        <v>0</v>
      </c>
    </row>
    <row r="160" spans="1:98" s="38" customFormat="1" ht="24.75" customHeight="1" thickBot="1" x14ac:dyDescent="0.25">
      <c r="A160" s="554">
        <v>15</v>
      </c>
      <c r="B160" s="44" t="s">
        <v>4</v>
      </c>
      <c r="C160" s="44"/>
      <c r="D160" s="227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7"/>
      <c r="R160" s="77"/>
      <c r="S160" s="45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78">
        <f t="shared" ref="AF160:BF160" si="331">SUM(AF156:AF159)</f>
        <v>1433600</v>
      </c>
      <c r="AG160" s="78">
        <f>SUM(AG156:AG159)-300000</f>
        <v>960000</v>
      </c>
      <c r="AH160" s="78">
        <f t="shared" si="331"/>
        <v>0</v>
      </c>
      <c r="AI160" s="78">
        <f t="shared" si="331"/>
        <v>0</v>
      </c>
      <c r="AJ160" s="78">
        <f t="shared" ref="AJ160:AR160" si="332">SUM(AJ156:AJ159)</f>
        <v>0</v>
      </c>
      <c r="AK160" s="78">
        <f t="shared" si="332"/>
        <v>0</v>
      </c>
      <c r="AL160" s="78">
        <f t="shared" si="332"/>
        <v>0</v>
      </c>
      <c r="AM160" s="78">
        <f t="shared" si="332"/>
        <v>0</v>
      </c>
      <c r="AN160" s="78">
        <f t="shared" si="332"/>
        <v>0</v>
      </c>
      <c r="AO160" s="78">
        <f t="shared" si="332"/>
        <v>0</v>
      </c>
      <c r="AP160" s="78">
        <f t="shared" si="332"/>
        <v>0</v>
      </c>
      <c r="AQ160" s="78">
        <f t="shared" si="332"/>
        <v>0</v>
      </c>
      <c r="AR160" s="78">
        <f t="shared" si="332"/>
        <v>0</v>
      </c>
      <c r="AS160" s="78">
        <f>SUM(AS156:AS159)-300000</f>
        <v>960000</v>
      </c>
      <c r="AT160" s="78">
        <f t="shared" si="331"/>
        <v>50400</v>
      </c>
      <c r="AU160" s="78">
        <f t="shared" ref="AU160:BE160" si="333">SUM(AU156:AU159)</f>
        <v>0</v>
      </c>
      <c r="AV160" s="78">
        <f t="shared" si="333"/>
        <v>0</v>
      </c>
      <c r="AW160" s="78">
        <f t="shared" si="333"/>
        <v>0</v>
      </c>
      <c r="AX160" s="78">
        <f t="shared" si="333"/>
        <v>0</v>
      </c>
      <c r="AY160" s="78">
        <f t="shared" si="333"/>
        <v>0</v>
      </c>
      <c r="AZ160" s="78">
        <f t="shared" si="333"/>
        <v>0</v>
      </c>
      <c r="BA160" s="78">
        <f t="shared" si="333"/>
        <v>0</v>
      </c>
      <c r="BB160" s="78">
        <f t="shared" si="333"/>
        <v>0</v>
      </c>
      <c r="BC160" s="78">
        <f t="shared" si="333"/>
        <v>0</v>
      </c>
      <c r="BD160" s="78">
        <f t="shared" si="333"/>
        <v>0</v>
      </c>
      <c r="BE160" s="78">
        <f t="shared" si="333"/>
        <v>0</v>
      </c>
      <c r="BF160" s="78">
        <f t="shared" si="331"/>
        <v>50400</v>
      </c>
      <c r="BG160" s="79">
        <f>SUM(BG156:BG159)</f>
        <v>123200</v>
      </c>
      <c r="BH160" s="78">
        <f>SUM(BH156:BH159)</f>
        <v>1433600</v>
      </c>
      <c r="BI160" s="78">
        <f>SUM(BI156:BI159)</f>
        <v>123200</v>
      </c>
      <c r="BJ160" s="176">
        <f>SUM(BJ156:BJ159)/4</f>
        <v>1</v>
      </c>
      <c r="BK160" s="1081"/>
      <c r="BL160" s="1081"/>
      <c r="BM160" s="1083"/>
      <c r="BN160" s="1084"/>
      <c r="BO160" s="862"/>
      <c r="BP160" s="862"/>
      <c r="BQ160" s="862"/>
      <c r="BR160" s="862"/>
      <c r="BS160" s="862"/>
      <c r="BT160" s="862"/>
      <c r="BU160" s="862"/>
      <c r="BV160" s="862"/>
      <c r="BW160" s="1081">
        <f t="shared" si="328"/>
        <v>0</v>
      </c>
      <c r="BX160" s="862"/>
      <c r="BY160" s="862"/>
      <c r="BZ160" s="862"/>
      <c r="CA160" s="73">
        <f t="shared" si="329"/>
        <v>0</v>
      </c>
      <c r="CB160" s="862"/>
      <c r="CC160" s="862"/>
      <c r="CD160" s="862"/>
      <c r="CE160" s="862"/>
      <c r="CF160" s="862"/>
      <c r="CG160" s="862"/>
      <c r="CH160" s="862"/>
      <c r="CI160" s="862"/>
      <c r="CJ160" s="1081"/>
      <c r="CK160" s="862"/>
      <c r="CL160" s="862"/>
      <c r="CM160" s="862"/>
      <c r="CN160" s="73">
        <f t="shared" si="330"/>
        <v>0</v>
      </c>
    </row>
    <row r="161" spans="1:98" s="20" customFormat="1" ht="24.75" customHeight="1" x14ac:dyDescent="0.2">
      <c r="A161" s="50"/>
      <c r="D161" s="22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AE161" s="40"/>
      <c r="AS161" s="51"/>
      <c r="BF161" s="52">
        <f>SUM(AS160+BF160)</f>
        <v>1010400</v>
      </c>
      <c r="BG161" s="53">
        <f>AF160-AS160-BF160</f>
        <v>423200</v>
      </c>
      <c r="BH161" s="54">
        <f>SUM(BI160+AS160+BF160)</f>
        <v>1133600</v>
      </c>
      <c r="BI161" s="55">
        <f>SUM(BG160)</f>
        <v>123200</v>
      </c>
      <c r="BJ161" s="40" t="s">
        <v>38</v>
      </c>
      <c r="BK161" s="40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</row>
    <row r="162" spans="1:98" s="20" customFormat="1" ht="24.75" customHeight="1" x14ac:dyDescent="0.2">
      <c r="A162" s="50"/>
      <c r="D162" s="22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AE162" s="40"/>
      <c r="AS162" s="40"/>
      <c r="AT162" s="123">
        <f>SUM(AG160+AT160)</f>
        <v>1010400</v>
      </c>
      <c r="AU162" s="123">
        <f t="shared" ref="AU162:BE162" si="334">SUM(AH160+AU160)</f>
        <v>0</v>
      </c>
      <c r="AV162" s="123">
        <f t="shared" si="334"/>
        <v>0</v>
      </c>
      <c r="AW162" s="123">
        <f t="shared" si="334"/>
        <v>0</v>
      </c>
      <c r="AX162" s="123">
        <f t="shared" si="334"/>
        <v>0</v>
      </c>
      <c r="AY162" s="123">
        <f t="shared" si="334"/>
        <v>0</v>
      </c>
      <c r="AZ162" s="123">
        <f t="shared" si="334"/>
        <v>0</v>
      </c>
      <c r="BA162" s="123">
        <f t="shared" si="334"/>
        <v>0</v>
      </c>
      <c r="BB162" s="123">
        <f t="shared" si="334"/>
        <v>0</v>
      </c>
      <c r="BC162" s="123">
        <f t="shared" si="334"/>
        <v>0</v>
      </c>
      <c r="BD162" s="123">
        <f t="shared" si="334"/>
        <v>0</v>
      </c>
      <c r="BE162" s="123">
        <f t="shared" si="334"/>
        <v>0</v>
      </c>
      <c r="BF162" s="123">
        <f>SUM(AT162:BE162)</f>
        <v>1010400</v>
      </c>
      <c r="BG162" s="40"/>
      <c r="BH162" s="56"/>
      <c r="BI162" s="57">
        <f>SUM(BI160-BI161)</f>
        <v>0</v>
      </c>
      <c r="BJ162" s="40" t="s">
        <v>37</v>
      </c>
      <c r="BK162" s="40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</row>
    <row r="163" spans="1:98" s="20" customFormat="1" ht="16.5" customHeight="1" x14ac:dyDescent="0.2">
      <c r="A163" s="1730" t="s">
        <v>8</v>
      </c>
      <c r="B163" s="1731"/>
      <c r="C163" s="124" t="s">
        <v>314</v>
      </c>
      <c r="D163" s="224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7"/>
      <c r="AF163" s="23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8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8"/>
      <c r="BG163" s="138"/>
      <c r="BH163" s="135"/>
      <c r="BI163" s="139"/>
      <c r="BJ163" s="135"/>
      <c r="BK163" s="136"/>
      <c r="BL163" s="136"/>
      <c r="BM163" s="136"/>
      <c r="BN163" s="136"/>
      <c r="BO163" s="136"/>
      <c r="BP163" s="137"/>
      <c r="BQ163" s="136"/>
      <c r="BR163" s="136"/>
      <c r="BS163" s="136"/>
      <c r="BT163" s="136"/>
      <c r="BU163" s="136"/>
      <c r="BV163" s="138"/>
      <c r="BW163" s="138"/>
      <c r="BX163" s="138"/>
      <c r="BY163" s="135"/>
      <c r="BZ163" s="139"/>
      <c r="CA163" s="138"/>
      <c r="CB163" s="138"/>
      <c r="CC163" s="24"/>
      <c r="CD163" s="24"/>
      <c r="CE163" s="24"/>
      <c r="CF163" s="24"/>
      <c r="CG163" s="24"/>
      <c r="CH163" s="140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</row>
    <row r="164" spans="1:98" s="8" customFormat="1" ht="48.75" customHeight="1" x14ac:dyDescent="0.2">
      <c r="A164" s="1703" t="s">
        <v>10</v>
      </c>
      <c r="B164" s="1706" t="s">
        <v>11</v>
      </c>
      <c r="C164" s="1706" t="s">
        <v>22</v>
      </c>
      <c r="D164" s="1721" t="s">
        <v>12</v>
      </c>
      <c r="E164" s="1721"/>
      <c r="F164" s="1721"/>
      <c r="G164" s="1721"/>
      <c r="H164" s="1721"/>
      <c r="I164" s="1721"/>
      <c r="J164" s="1721"/>
      <c r="K164" s="1721"/>
      <c r="L164" s="1721"/>
      <c r="M164" s="1721"/>
      <c r="N164" s="1721"/>
      <c r="O164" s="1721"/>
      <c r="P164" s="1721"/>
      <c r="Q164" s="1721"/>
      <c r="R164" s="1706" t="s">
        <v>20</v>
      </c>
      <c r="S164" s="1717" t="s">
        <v>17</v>
      </c>
      <c r="T164" s="1718"/>
      <c r="U164" s="1718"/>
      <c r="V164" s="1718"/>
      <c r="W164" s="1718"/>
      <c r="X164" s="1718"/>
      <c r="Y164" s="1718"/>
      <c r="Z164" s="1718"/>
      <c r="AA164" s="1718"/>
      <c r="AB164" s="1718"/>
      <c r="AC164" s="1718"/>
      <c r="AD164" s="1718"/>
      <c r="AE164" s="1719"/>
      <c r="AF164" s="1720" t="s">
        <v>6</v>
      </c>
      <c r="AG164" s="1720"/>
      <c r="AH164" s="1720"/>
      <c r="AI164" s="1720"/>
      <c r="AJ164" s="1720"/>
      <c r="AK164" s="1720"/>
      <c r="AL164" s="1720"/>
      <c r="AM164" s="1720"/>
      <c r="AN164" s="1720"/>
      <c r="AO164" s="1720"/>
      <c r="AP164" s="1720"/>
      <c r="AQ164" s="1720"/>
      <c r="AR164" s="1720"/>
      <c r="AS164" s="1720"/>
      <c r="AT164" s="1722" t="s">
        <v>41</v>
      </c>
      <c r="AU164" s="1723"/>
      <c r="AV164" s="1723"/>
      <c r="AW164" s="1723"/>
      <c r="AX164" s="1723"/>
      <c r="AY164" s="1723"/>
      <c r="AZ164" s="1723"/>
      <c r="BA164" s="1723"/>
      <c r="BB164" s="1723"/>
      <c r="BC164" s="1723"/>
      <c r="BD164" s="1723"/>
      <c r="BE164" s="1723"/>
      <c r="BF164" s="1724"/>
      <c r="BG164" s="1706" t="s">
        <v>38</v>
      </c>
      <c r="BH164" s="1706" t="s">
        <v>256</v>
      </c>
      <c r="BI164" s="1709" t="s">
        <v>39</v>
      </c>
      <c r="BJ164" s="135"/>
      <c r="BK164" s="135"/>
      <c r="BL164" s="135"/>
      <c r="BM164" s="135"/>
      <c r="BN164" s="135"/>
      <c r="BO164" s="1733" t="s">
        <v>41</v>
      </c>
      <c r="BP164" s="1734"/>
      <c r="BQ164" s="1734"/>
      <c r="BR164" s="1734"/>
      <c r="BS164" s="1734"/>
      <c r="BT164" s="1734"/>
      <c r="BU164" s="1734"/>
      <c r="BV164" s="1734"/>
      <c r="BW164" s="1734"/>
      <c r="BX164" s="1734"/>
      <c r="BY164" s="1734"/>
      <c r="BZ164" s="1734"/>
      <c r="CA164" s="1734"/>
      <c r="CB164" s="1734"/>
      <c r="CC164" s="1734"/>
      <c r="CD164" s="1734"/>
      <c r="CE164" s="1734"/>
      <c r="CF164" s="1734"/>
      <c r="CG164" s="1734"/>
      <c r="CH164" s="1734"/>
      <c r="CI164" s="1734"/>
      <c r="CJ164" s="1734"/>
      <c r="CK164" s="1734"/>
      <c r="CL164" s="1734"/>
      <c r="CM164" s="1734"/>
      <c r="CN164" s="1735"/>
    </row>
    <row r="165" spans="1:98" s="8" customFormat="1" ht="48.75" customHeight="1" x14ac:dyDescent="0.2">
      <c r="A165" s="1704"/>
      <c r="B165" s="1707"/>
      <c r="C165" s="1707"/>
      <c r="D165" s="1728" t="s">
        <v>18</v>
      </c>
      <c r="E165" s="1714" t="s">
        <v>19</v>
      </c>
      <c r="F165" s="1715"/>
      <c r="G165" s="1715"/>
      <c r="H165" s="1715"/>
      <c r="I165" s="1715"/>
      <c r="J165" s="1715"/>
      <c r="K165" s="1715"/>
      <c r="L165" s="1715"/>
      <c r="M165" s="1715"/>
      <c r="N165" s="1715"/>
      <c r="O165" s="1715"/>
      <c r="P165" s="1715"/>
      <c r="Q165" s="1715"/>
      <c r="R165" s="1707"/>
      <c r="S165" s="1712" t="s">
        <v>18</v>
      </c>
      <c r="T165" s="1714" t="s">
        <v>19</v>
      </c>
      <c r="U165" s="1715"/>
      <c r="V165" s="1715"/>
      <c r="W165" s="1715"/>
      <c r="X165" s="1715"/>
      <c r="Y165" s="1715"/>
      <c r="Z165" s="1715"/>
      <c r="AA165" s="1715"/>
      <c r="AB165" s="1715"/>
      <c r="AC165" s="1715"/>
      <c r="AD165" s="1715"/>
      <c r="AE165" s="1716"/>
      <c r="AF165" s="1712" t="s">
        <v>18</v>
      </c>
      <c r="AG165" s="1714" t="s">
        <v>19</v>
      </c>
      <c r="AH165" s="1715"/>
      <c r="AI165" s="1715"/>
      <c r="AJ165" s="1715"/>
      <c r="AK165" s="1715"/>
      <c r="AL165" s="1715"/>
      <c r="AM165" s="1715"/>
      <c r="AN165" s="1715"/>
      <c r="AO165" s="1715"/>
      <c r="AP165" s="1715"/>
      <c r="AQ165" s="1715"/>
      <c r="AR165" s="1715"/>
      <c r="AS165" s="1716"/>
      <c r="AT165" s="1725"/>
      <c r="AU165" s="1726"/>
      <c r="AV165" s="1726"/>
      <c r="AW165" s="1726"/>
      <c r="AX165" s="1726"/>
      <c r="AY165" s="1726"/>
      <c r="AZ165" s="1726"/>
      <c r="BA165" s="1726"/>
      <c r="BB165" s="1726"/>
      <c r="BC165" s="1726"/>
      <c r="BD165" s="1726"/>
      <c r="BE165" s="1726"/>
      <c r="BF165" s="1727"/>
      <c r="BG165" s="1707"/>
      <c r="BH165" s="1707"/>
      <c r="BI165" s="1710"/>
      <c r="BJ165" s="135"/>
      <c r="BK165" s="1736">
        <f>SUM(BK167/60)</f>
        <v>0</v>
      </c>
      <c r="BL165" s="1736"/>
      <c r="BM165" s="1736"/>
      <c r="BN165" s="23"/>
      <c r="BO165" s="1737" t="s">
        <v>686</v>
      </c>
      <c r="BP165" s="1738"/>
      <c r="BQ165" s="1738"/>
      <c r="BR165" s="1738"/>
      <c r="BS165" s="1738"/>
      <c r="BT165" s="1738"/>
      <c r="BU165" s="1738"/>
      <c r="BV165" s="1738"/>
      <c r="BW165" s="1738"/>
      <c r="BX165" s="1738"/>
      <c r="BY165" s="1738"/>
      <c r="BZ165" s="1738"/>
      <c r="CA165" s="1739"/>
      <c r="CB165" s="1740" t="s">
        <v>687</v>
      </c>
      <c r="CC165" s="1741"/>
      <c r="CD165" s="1741"/>
      <c r="CE165" s="1741"/>
      <c r="CF165" s="1741"/>
      <c r="CG165" s="1741"/>
      <c r="CH165" s="1741"/>
      <c r="CI165" s="1741"/>
      <c r="CJ165" s="1741"/>
      <c r="CK165" s="1741"/>
      <c r="CL165" s="1741"/>
      <c r="CM165" s="1741"/>
      <c r="CN165" s="1742"/>
    </row>
    <row r="166" spans="1:98" s="6" customFormat="1" ht="28.5" customHeight="1" x14ac:dyDescent="0.2">
      <c r="A166" s="1705"/>
      <c r="B166" s="1708"/>
      <c r="C166" s="1708"/>
      <c r="D166" s="1732"/>
      <c r="E166" s="26">
        <v>1</v>
      </c>
      <c r="F166" s="26">
        <v>2</v>
      </c>
      <c r="G166" s="26">
        <v>3</v>
      </c>
      <c r="H166" s="26">
        <v>4</v>
      </c>
      <c r="I166" s="26">
        <v>5</v>
      </c>
      <c r="J166" s="26">
        <v>6</v>
      </c>
      <c r="K166" s="26">
        <v>7</v>
      </c>
      <c r="L166" s="26">
        <v>8</v>
      </c>
      <c r="M166" s="26">
        <v>9</v>
      </c>
      <c r="N166" s="26">
        <v>10</v>
      </c>
      <c r="O166" s="26">
        <v>11</v>
      </c>
      <c r="P166" s="26">
        <v>12</v>
      </c>
      <c r="Q166" s="26" t="s">
        <v>21</v>
      </c>
      <c r="R166" s="1708"/>
      <c r="S166" s="1713"/>
      <c r="T166" s="26">
        <v>1</v>
      </c>
      <c r="U166" s="26">
        <v>2</v>
      </c>
      <c r="V166" s="26">
        <v>3</v>
      </c>
      <c r="W166" s="26">
        <v>4</v>
      </c>
      <c r="X166" s="26">
        <v>5</v>
      </c>
      <c r="Y166" s="26">
        <v>6</v>
      </c>
      <c r="Z166" s="26">
        <v>7</v>
      </c>
      <c r="AA166" s="26">
        <v>8</v>
      </c>
      <c r="AB166" s="26">
        <v>9</v>
      </c>
      <c r="AC166" s="26">
        <v>10</v>
      </c>
      <c r="AD166" s="26">
        <v>11</v>
      </c>
      <c r="AE166" s="26">
        <v>12</v>
      </c>
      <c r="AF166" s="1713"/>
      <c r="AG166" s="26">
        <v>1</v>
      </c>
      <c r="AH166" s="26">
        <v>2</v>
      </c>
      <c r="AI166" s="26">
        <v>3</v>
      </c>
      <c r="AJ166" s="26">
        <v>4</v>
      </c>
      <c r="AK166" s="26">
        <v>5</v>
      </c>
      <c r="AL166" s="26">
        <v>6</v>
      </c>
      <c r="AM166" s="26">
        <v>7</v>
      </c>
      <c r="AN166" s="26">
        <v>8</v>
      </c>
      <c r="AO166" s="26">
        <v>9</v>
      </c>
      <c r="AP166" s="26">
        <v>10</v>
      </c>
      <c r="AQ166" s="26">
        <v>11</v>
      </c>
      <c r="AR166" s="26">
        <v>12</v>
      </c>
      <c r="AS166" s="26" t="s">
        <v>13</v>
      </c>
      <c r="AT166" s="173">
        <v>1</v>
      </c>
      <c r="AU166" s="173">
        <v>2</v>
      </c>
      <c r="AV166" s="173">
        <v>3</v>
      </c>
      <c r="AW166" s="173">
        <v>4</v>
      </c>
      <c r="AX166" s="173">
        <v>5</v>
      </c>
      <c r="AY166" s="173">
        <v>6</v>
      </c>
      <c r="AZ166" s="173">
        <v>7</v>
      </c>
      <c r="BA166" s="173">
        <v>8</v>
      </c>
      <c r="BB166" s="173">
        <v>9</v>
      </c>
      <c r="BC166" s="173">
        <v>10</v>
      </c>
      <c r="BD166" s="173">
        <v>11</v>
      </c>
      <c r="BE166" s="173">
        <v>12</v>
      </c>
      <c r="BF166" s="26" t="s">
        <v>13</v>
      </c>
      <c r="BG166" s="1708"/>
      <c r="BH166" s="1708"/>
      <c r="BI166" s="1711"/>
      <c r="BJ166" s="7"/>
      <c r="BK166" s="1743" t="s">
        <v>19</v>
      </c>
      <c r="BL166" s="1744"/>
      <c r="BM166" s="1745"/>
      <c r="BN166" s="621"/>
      <c r="BO166" s="173">
        <v>1</v>
      </c>
      <c r="BP166" s="173">
        <v>2</v>
      </c>
      <c r="BQ166" s="173">
        <v>3</v>
      </c>
      <c r="BR166" s="173">
        <v>4</v>
      </c>
      <c r="BS166" s="173">
        <v>5</v>
      </c>
      <c r="BT166" s="173">
        <v>6</v>
      </c>
      <c r="BU166" s="173">
        <v>7</v>
      </c>
      <c r="BV166" s="173">
        <v>8</v>
      </c>
      <c r="BW166" s="173">
        <v>9</v>
      </c>
      <c r="BX166" s="173">
        <v>10</v>
      </c>
      <c r="BY166" s="173">
        <v>11</v>
      </c>
      <c r="BZ166" s="173">
        <v>12</v>
      </c>
      <c r="CA166" s="26" t="s">
        <v>13</v>
      </c>
      <c r="CB166" s="173">
        <v>1</v>
      </c>
      <c r="CC166" s="173">
        <v>2</v>
      </c>
      <c r="CD166" s="173">
        <v>3</v>
      </c>
      <c r="CE166" s="173">
        <v>4</v>
      </c>
      <c r="CF166" s="173">
        <v>5</v>
      </c>
      <c r="CG166" s="173">
        <v>6</v>
      </c>
      <c r="CH166" s="173">
        <v>7</v>
      </c>
      <c r="CI166" s="173">
        <v>8</v>
      </c>
      <c r="CJ166" s="173">
        <v>9</v>
      </c>
      <c r="CK166" s="173">
        <v>10</v>
      </c>
      <c r="CL166" s="173">
        <v>11</v>
      </c>
      <c r="CM166" s="173">
        <v>12</v>
      </c>
      <c r="CN166" s="26" t="s">
        <v>13</v>
      </c>
    </row>
    <row r="167" spans="1:98" s="37" customFormat="1" ht="24.75" customHeight="1" x14ac:dyDescent="0.2">
      <c r="A167" s="28"/>
      <c r="B167" s="141" t="s">
        <v>89</v>
      </c>
      <c r="C167" s="29" t="s">
        <v>25</v>
      </c>
      <c r="D167" s="966">
        <v>200</v>
      </c>
      <c r="E167" s="966">
        <v>200</v>
      </c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1">
        <f>SUM(E167:P167)</f>
        <v>200</v>
      </c>
      <c r="R167" s="83" t="s">
        <v>31</v>
      </c>
      <c r="S167" s="556">
        <v>10300</v>
      </c>
      <c r="T167" s="628">
        <v>9000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629">
        <f t="shared" ref="AF167:AF169" si="335">SUM(Q167*S167)</f>
        <v>2060000</v>
      </c>
      <c r="AG167" s="70">
        <f t="shared" ref="AG167:AI169" si="336">T167*E167</f>
        <v>1800000</v>
      </c>
      <c r="AH167" s="70">
        <f t="shared" si="336"/>
        <v>0</v>
      </c>
      <c r="AI167" s="70">
        <f t="shared" si="336"/>
        <v>0</v>
      </c>
      <c r="AJ167" s="70">
        <f t="shared" ref="AJ167:AR169" si="337">W167*H167</f>
        <v>0</v>
      </c>
      <c r="AK167" s="70">
        <f t="shared" si="337"/>
        <v>0</v>
      </c>
      <c r="AL167" s="70">
        <f t="shared" si="337"/>
        <v>0</v>
      </c>
      <c r="AM167" s="70">
        <f t="shared" si="337"/>
        <v>0</v>
      </c>
      <c r="AN167" s="70">
        <f t="shared" si="337"/>
        <v>0</v>
      </c>
      <c r="AO167" s="70">
        <f t="shared" si="337"/>
        <v>0</v>
      </c>
      <c r="AP167" s="70">
        <f t="shared" si="337"/>
        <v>0</v>
      </c>
      <c r="AQ167" s="70">
        <f t="shared" si="337"/>
        <v>0</v>
      </c>
      <c r="AR167" s="70">
        <f t="shared" si="337"/>
        <v>0</v>
      </c>
      <c r="AS167" s="71">
        <f>SUM(AG167:AR167)</f>
        <v>1800000</v>
      </c>
      <c r="AT167" s="70">
        <f>SUM(AG167*4%)</f>
        <v>72000</v>
      </c>
      <c r="AU167" s="70">
        <f t="shared" ref="AU167:AV169" si="338">SUM(AH167*14%)</f>
        <v>0</v>
      </c>
      <c r="AV167" s="70">
        <f t="shared" si="338"/>
        <v>0</v>
      </c>
      <c r="AW167" s="70">
        <f t="shared" ref="AW167:BE169" si="339">SUM(AJ167*14%)</f>
        <v>0</v>
      </c>
      <c r="AX167" s="70">
        <f t="shared" si="339"/>
        <v>0</v>
      </c>
      <c r="AY167" s="70">
        <f t="shared" si="339"/>
        <v>0</v>
      </c>
      <c r="AZ167" s="70">
        <f t="shared" si="339"/>
        <v>0</v>
      </c>
      <c r="BA167" s="70">
        <f t="shared" si="339"/>
        <v>0</v>
      </c>
      <c r="BB167" s="70">
        <f t="shared" si="339"/>
        <v>0</v>
      </c>
      <c r="BC167" s="70">
        <f t="shared" si="339"/>
        <v>0</v>
      </c>
      <c r="BD167" s="70">
        <f t="shared" si="339"/>
        <v>0</v>
      </c>
      <c r="BE167" s="70">
        <f t="shared" si="339"/>
        <v>0</v>
      </c>
      <c r="BF167" s="72">
        <f>SUM(AT167:BE167)</f>
        <v>72000</v>
      </c>
      <c r="BG167" s="73">
        <f>AF167-AS167-BF167</f>
        <v>188000</v>
      </c>
      <c r="BH167" s="74">
        <f>S167*D167</f>
        <v>2060000</v>
      </c>
      <c r="BI167" s="75">
        <f>BH167-AS167-BF167</f>
        <v>188000</v>
      </c>
      <c r="BJ167" s="891">
        <f>SUM(Q167/D167)</f>
        <v>1</v>
      </c>
      <c r="BK167" s="1081"/>
      <c r="BL167" s="1081"/>
      <c r="BM167" s="1083"/>
      <c r="BN167" s="1084"/>
      <c r="BO167" s="862"/>
      <c r="BP167" s="862"/>
      <c r="BQ167" s="862"/>
      <c r="BR167" s="862"/>
      <c r="BS167" s="862"/>
      <c r="BT167" s="862"/>
      <c r="BU167" s="862"/>
      <c r="BV167" s="862"/>
      <c r="BW167" s="1081">
        <f t="shared" ref="BW167:BW168" si="340">SUM(AN167*12.5%)</f>
        <v>0</v>
      </c>
      <c r="BX167" s="862"/>
      <c r="BY167" s="862"/>
      <c r="BZ167" s="862"/>
      <c r="CA167" s="73">
        <f t="shared" ref="CA167" si="341">SUM(BO167:BZ167)</f>
        <v>0</v>
      </c>
      <c r="CB167" s="862"/>
      <c r="CC167" s="862"/>
      <c r="CD167" s="862"/>
      <c r="CE167" s="862"/>
      <c r="CF167" s="862"/>
      <c r="CG167" s="862"/>
      <c r="CH167" s="862"/>
      <c r="CI167" s="862"/>
      <c r="CJ167" s="1081"/>
      <c r="CK167" s="862"/>
      <c r="CL167" s="862"/>
      <c r="CM167" s="862"/>
      <c r="CN167" s="73">
        <f t="shared" ref="CN167:CN168" si="342">SUM(CB167:CM167)</f>
        <v>0</v>
      </c>
    </row>
    <row r="168" spans="1:98" s="37" customFormat="1" ht="24.75" customHeight="1" x14ac:dyDescent="0.2">
      <c r="A168" s="28"/>
      <c r="B168" s="141" t="s">
        <v>109</v>
      </c>
      <c r="C168" s="29" t="s">
        <v>25</v>
      </c>
      <c r="D168" s="967">
        <v>8</v>
      </c>
      <c r="E168" s="967">
        <v>8</v>
      </c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1">
        <f>SUM(E168:P168)</f>
        <v>8</v>
      </c>
      <c r="R168" s="83" t="s">
        <v>31</v>
      </c>
      <c r="S168" s="142">
        <v>49900</v>
      </c>
      <c r="T168" s="628">
        <v>45000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629">
        <f t="shared" si="335"/>
        <v>399200</v>
      </c>
      <c r="AG168" s="70">
        <f t="shared" si="336"/>
        <v>360000</v>
      </c>
      <c r="AH168" s="70">
        <f t="shared" si="336"/>
        <v>0</v>
      </c>
      <c r="AI168" s="70">
        <f t="shared" si="336"/>
        <v>0</v>
      </c>
      <c r="AJ168" s="70">
        <f t="shared" si="337"/>
        <v>0</v>
      </c>
      <c r="AK168" s="70">
        <f t="shared" si="337"/>
        <v>0</v>
      </c>
      <c r="AL168" s="70">
        <f t="shared" si="337"/>
        <v>0</v>
      </c>
      <c r="AM168" s="70">
        <f t="shared" si="337"/>
        <v>0</v>
      </c>
      <c r="AN168" s="70">
        <f t="shared" si="337"/>
        <v>0</v>
      </c>
      <c r="AO168" s="70">
        <f t="shared" si="337"/>
        <v>0</v>
      </c>
      <c r="AP168" s="70">
        <f t="shared" si="337"/>
        <v>0</v>
      </c>
      <c r="AQ168" s="70">
        <f t="shared" si="337"/>
        <v>0</v>
      </c>
      <c r="AR168" s="70">
        <f t="shared" si="337"/>
        <v>0</v>
      </c>
      <c r="AS168" s="71">
        <f>SUM(AG168:AR168)</f>
        <v>360000</v>
      </c>
      <c r="AT168" s="70">
        <f t="shared" ref="AT168:AT169" si="343">SUM(AG168*4%)</f>
        <v>14400</v>
      </c>
      <c r="AU168" s="70">
        <f t="shared" si="338"/>
        <v>0</v>
      </c>
      <c r="AV168" s="70">
        <f t="shared" si="338"/>
        <v>0</v>
      </c>
      <c r="AW168" s="70">
        <f t="shared" si="339"/>
        <v>0</v>
      </c>
      <c r="AX168" s="70">
        <f t="shared" si="339"/>
        <v>0</v>
      </c>
      <c r="AY168" s="70">
        <f t="shared" si="339"/>
        <v>0</v>
      </c>
      <c r="AZ168" s="70">
        <f t="shared" si="339"/>
        <v>0</v>
      </c>
      <c r="BA168" s="70">
        <f t="shared" si="339"/>
        <v>0</v>
      </c>
      <c r="BB168" s="70">
        <f t="shared" si="339"/>
        <v>0</v>
      </c>
      <c r="BC168" s="70">
        <f t="shared" si="339"/>
        <v>0</v>
      </c>
      <c r="BD168" s="70">
        <f t="shared" si="339"/>
        <v>0</v>
      </c>
      <c r="BE168" s="70">
        <f t="shared" si="339"/>
        <v>0</v>
      </c>
      <c r="BF168" s="72">
        <f>SUM(AT168:BE168)</f>
        <v>14400</v>
      </c>
      <c r="BG168" s="73">
        <f>AF168-AS168-BF168</f>
        <v>24800</v>
      </c>
      <c r="BH168" s="74">
        <f>S168*D168</f>
        <v>399200</v>
      </c>
      <c r="BI168" s="75">
        <f>BH168-AS168-BF168</f>
        <v>24800</v>
      </c>
      <c r="BJ168" s="891">
        <f>SUM(Q168/D168)</f>
        <v>1</v>
      </c>
      <c r="BK168" s="1081"/>
      <c r="BL168" s="1081"/>
      <c r="BM168" s="1083"/>
      <c r="BN168" s="1084"/>
      <c r="BO168" s="862"/>
      <c r="BP168" s="862"/>
      <c r="BQ168" s="862"/>
      <c r="BR168" s="862"/>
      <c r="BS168" s="862"/>
      <c r="BT168" s="862"/>
      <c r="BU168" s="862"/>
      <c r="BV168" s="862"/>
      <c r="BW168" s="1081">
        <f t="shared" si="340"/>
        <v>0</v>
      </c>
      <c r="BX168" s="862"/>
      <c r="BY168" s="862"/>
      <c r="BZ168" s="862"/>
      <c r="CA168" s="73">
        <f t="shared" ref="CA168" si="344">SUM(BO168:BZ168)</f>
        <v>0</v>
      </c>
      <c r="CB168" s="862"/>
      <c r="CC168" s="862"/>
      <c r="CD168" s="862"/>
      <c r="CE168" s="862"/>
      <c r="CF168" s="862"/>
      <c r="CG168" s="862"/>
      <c r="CH168" s="862"/>
      <c r="CI168" s="862"/>
      <c r="CJ168" s="1081"/>
      <c r="CK168" s="862"/>
      <c r="CL168" s="862"/>
      <c r="CM168" s="862"/>
      <c r="CN168" s="73">
        <f t="shared" si="342"/>
        <v>0</v>
      </c>
    </row>
    <row r="169" spans="1:98" s="37" customFormat="1" ht="24.75" customHeight="1" thickBot="1" x14ac:dyDescent="0.25">
      <c r="A169" s="28"/>
      <c r="B169" s="141" t="s">
        <v>32</v>
      </c>
      <c r="C169" s="29" t="s">
        <v>25</v>
      </c>
      <c r="D169" s="968">
        <v>2</v>
      </c>
      <c r="E169" s="968">
        <v>2</v>
      </c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1">
        <f>SUM(E169:P169)</f>
        <v>2</v>
      </c>
      <c r="R169" s="83" t="s">
        <v>16</v>
      </c>
      <c r="S169" s="142">
        <v>35000</v>
      </c>
      <c r="T169" s="628">
        <v>30000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629">
        <f t="shared" si="335"/>
        <v>70000</v>
      </c>
      <c r="AG169" s="70">
        <f t="shared" si="336"/>
        <v>60000</v>
      </c>
      <c r="AH169" s="70">
        <f t="shared" si="336"/>
        <v>0</v>
      </c>
      <c r="AI169" s="70">
        <f t="shared" si="336"/>
        <v>0</v>
      </c>
      <c r="AJ169" s="70">
        <f t="shared" si="337"/>
        <v>0</v>
      </c>
      <c r="AK169" s="70">
        <f t="shared" si="337"/>
        <v>0</v>
      </c>
      <c r="AL169" s="70">
        <f t="shared" si="337"/>
        <v>0</v>
      </c>
      <c r="AM169" s="70">
        <f t="shared" si="337"/>
        <v>0</v>
      </c>
      <c r="AN169" s="70">
        <f t="shared" si="337"/>
        <v>0</v>
      </c>
      <c r="AO169" s="70">
        <f t="shared" si="337"/>
        <v>0</v>
      </c>
      <c r="AP169" s="70">
        <f t="shared" si="337"/>
        <v>0</v>
      </c>
      <c r="AQ169" s="70">
        <f t="shared" si="337"/>
        <v>0</v>
      </c>
      <c r="AR169" s="70">
        <f t="shared" si="337"/>
        <v>0</v>
      </c>
      <c r="AS169" s="71">
        <f>SUM(AG169:AR169)</f>
        <v>60000</v>
      </c>
      <c r="AT169" s="70">
        <f t="shared" si="343"/>
        <v>2400</v>
      </c>
      <c r="AU169" s="70">
        <f t="shared" si="338"/>
        <v>0</v>
      </c>
      <c r="AV169" s="70">
        <f t="shared" si="338"/>
        <v>0</v>
      </c>
      <c r="AW169" s="70">
        <f t="shared" si="339"/>
        <v>0</v>
      </c>
      <c r="AX169" s="70">
        <f t="shared" si="339"/>
        <v>0</v>
      </c>
      <c r="AY169" s="70">
        <f t="shared" si="339"/>
        <v>0</v>
      </c>
      <c r="AZ169" s="70">
        <f t="shared" si="339"/>
        <v>0</v>
      </c>
      <c r="BA169" s="70">
        <f t="shared" si="339"/>
        <v>0</v>
      </c>
      <c r="BB169" s="70">
        <f t="shared" si="339"/>
        <v>0</v>
      </c>
      <c r="BC169" s="70">
        <f t="shared" si="339"/>
        <v>0</v>
      </c>
      <c r="BD169" s="70">
        <f t="shared" si="339"/>
        <v>0</v>
      </c>
      <c r="BE169" s="70">
        <f t="shared" si="339"/>
        <v>0</v>
      </c>
      <c r="BF169" s="72">
        <f>SUM(AT169:BE169)</f>
        <v>2400</v>
      </c>
      <c r="BG169" s="73">
        <f>AF169-AS169-BF169</f>
        <v>7600</v>
      </c>
      <c r="BH169" s="74">
        <f>S169*D169</f>
        <v>70000</v>
      </c>
      <c r="BI169" s="75">
        <f>BH169-AS169-BF169</f>
        <v>7600</v>
      </c>
      <c r="BJ169" s="891">
        <f>SUM(Q169/D169)</f>
        <v>1</v>
      </c>
      <c r="BK169" s="1081"/>
      <c r="BL169" s="1081"/>
      <c r="BM169" s="1083"/>
      <c r="BN169" s="1084"/>
      <c r="BO169" s="862"/>
      <c r="BP169" s="862"/>
      <c r="BQ169" s="862"/>
      <c r="BR169" s="862"/>
      <c r="BS169" s="862"/>
      <c r="BT169" s="862"/>
      <c r="BU169" s="862"/>
      <c r="BV169" s="862"/>
      <c r="BW169" s="1081">
        <f t="shared" ref="BW169:BW170" si="345">SUM(AN169*12.5%)</f>
        <v>0</v>
      </c>
      <c r="BX169" s="862"/>
      <c r="BY169" s="862"/>
      <c r="BZ169" s="862"/>
      <c r="CA169" s="73">
        <f t="shared" ref="CA169:CA170" si="346">SUM(BO169:BZ169)</f>
        <v>0</v>
      </c>
      <c r="CB169" s="862"/>
      <c r="CC169" s="862"/>
      <c r="CD169" s="862"/>
      <c r="CE169" s="862"/>
      <c r="CF169" s="862"/>
      <c r="CG169" s="862"/>
      <c r="CH169" s="862"/>
      <c r="CI169" s="862"/>
      <c r="CJ169" s="1081"/>
      <c r="CK169" s="862"/>
      <c r="CL169" s="862"/>
      <c r="CM169" s="862"/>
      <c r="CN169" s="73">
        <f t="shared" ref="CN169:CN170" si="347">SUM(CB169:CM169)</f>
        <v>0</v>
      </c>
    </row>
    <row r="170" spans="1:98" s="38" customFormat="1" ht="24.75" customHeight="1" thickBot="1" x14ac:dyDescent="0.25">
      <c r="A170" s="554">
        <v>16</v>
      </c>
      <c r="B170" s="44" t="s">
        <v>4</v>
      </c>
      <c r="C170" s="44"/>
      <c r="D170" s="227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7"/>
      <c r="R170" s="77"/>
      <c r="S170" s="45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78">
        <f t="shared" ref="AF170:BF170" si="348">SUM(AF167:AF169)</f>
        <v>2529200</v>
      </c>
      <c r="AG170" s="78">
        <f t="shared" si="348"/>
        <v>2220000</v>
      </c>
      <c r="AH170" s="78">
        <f t="shared" si="348"/>
        <v>0</v>
      </c>
      <c r="AI170" s="78">
        <f t="shared" si="348"/>
        <v>0</v>
      </c>
      <c r="AJ170" s="78">
        <f t="shared" ref="AJ170:AR170" si="349">SUM(AJ167:AJ169)</f>
        <v>0</v>
      </c>
      <c r="AK170" s="78">
        <f t="shared" si="349"/>
        <v>0</v>
      </c>
      <c r="AL170" s="78">
        <f t="shared" si="349"/>
        <v>0</v>
      </c>
      <c r="AM170" s="78">
        <f t="shared" si="349"/>
        <v>0</v>
      </c>
      <c r="AN170" s="78">
        <f t="shared" si="349"/>
        <v>0</v>
      </c>
      <c r="AO170" s="78">
        <f t="shared" si="349"/>
        <v>0</v>
      </c>
      <c r="AP170" s="78">
        <f t="shared" si="349"/>
        <v>0</v>
      </c>
      <c r="AQ170" s="78">
        <f t="shared" si="349"/>
        <v>0</v>
      </c>
      <c r="AR170" s="78">
        <f t="shared" si="349"/>
        <v>0</v>
      </c>
      <c r="AS170" s="78">
        <f>SUM(AS167:AS169)</f>
        <v>2220000</v>
      </c>
      <c r="AT170" s="78">
        <f>SUM(AT167:AT169)</f>
        <v>88800</v>
      </c>
      <c r="AU170" s="78">
        <f t="shared" si="348"/>
        <v>0</v>
      </c>
      <c r="AV170" s="78">
        <f t="shared" si="348"/>
        <v>0</v>
      </c>
      <c r="AW170" s="78">
        <f t="shared" ref="AW170:BE170" si="350">SUM(AW167:AW169)</f>
        <v>0</v>
      </c>
      <c r="AX170" s="78">
        <f t="shared" si="350"/>
        <v>0</v>
      </c>
      <c r="AY170" s="78">
        <f t="shared" si="350"/>
        <v>0</v>
      </c>
      <c r="AZ170" s="78">
        <f t="shared" si="350"/>
        <v>0</v>
      </c>
      <c r="BA170" s="78">
        <f t="shared" si="350"/>
        <v>0</v>
      </c>
      <c r="BB170" s="78">
        <f t="shared" si="350"/>
        <v>0</v>
      </c>
      <c r="BC170" s="78">
        <f t="shared" si="350"/>
        <v>0</v>
      </c>
      <c r="BD170" s="78">
        <f t="shared" si="350"/>
        <v>0</v>
      </c>
      <c r="BE170" s="78">
        <f t="shared" si="350"/>
        <v>0</v>
      </c>
      <c r="BF170" s="78">
        <f t="shared" si="348"/>
        <v>88800</v>
      </c>
      <c r="BG170" s="79">
        <f>SUM(BG167:BG169)</f>
        <v>220400</v>
      </c>
      <c r="BH170" s="78">
        <f>SUM(BH167:BH169)</f>
        <v>2529200</v>
      </c>
      <c r="BI170" s="78">
        <f>SUM(BI167:BI169)</f>
        <v>220400</v>
      </c>
      <c r="BJ170" s="176">
        <f>SUM(BJ167:BJ169)/3</f>
        <v>1</v>
      </c>
      <c r="BK170" s="1081"/>
      <c r="BL170" s="1081"/>
      <c r="BM170" s="1083"/>
      <c r="BN170" s="1084"/>
      <c r="BO170" s="862"/>
      <c r="BP170" s="862"/>
      <c r="BQ170" s="862"/>
      <c r="BR170" s="862"/>
      <c r="BS170" s="862"/>
      <c r="BT170" s="862"/>
      <c r="BU170" s="862"/>
      <c r="BV170" s="862"/>
      <c r="BW170" s="1081">
        <f t="shared" si="345"/>
        <v>0</v>
      </c>
      <c r="BX170" s="862"/>
      <c r="BY170" s="862"/>
      <c r="BZ170" s="862"/>
      <c r="CA170" s="73">
        <f t="shared" si="346"/>
        <v>0</v>
      </c>
      <c r="CB170" s="862"/>
      <c r="CC170" s="862"/>
      <c r="CD170" s="862"/>
      <c r="CE170" s="862"/>
      <c r="CF170" s="862"/>
      <c r="CG170" s="862"/>
      <c r="CH170" s="862"/>
      <c r="CI170" s="862"/>
      <c r="CJ170" s="1081"/>
      <c r="CK170" s="862"/>
      <c r="CL170" s="862"/>
      <c r="CM170" s="862"/>
      <c r="CN170" s="73">
        <f t="shared" si="347"/>
        <v>0</v>
      </c>
    </row>
    <row r="171" spans="1:98" ht="15.75" x14ac:dyDescent="0.2">
      <c r="BF171" s="52">
        <f>SUM(AS170+BF170)</f>
        <v>2308800</v>
      </c>
      <c r="BG171" s="53">
        <f>AF170-AS170-BF170</f>
        <v>220400</v>
      </c>
      <c r="BH171" s="54">
        <f>SUM(BI170+AS170+BF170)</f>
        <v>2529200</v>
      </c>
      <c r="BI171" s="55">
        <f>SUM(BG170)</f>
        <v>220400</v>
      </c>
      <c r="BJ171" s="40" t="s">
        <v>38</v>
      </c>
    </row>
    <row r="172" spans="1:98" ht="15.75" x14ac:dyDescent="0.2">
      <c r="AT172" s="123">
        <f>SUM(AG170+AT170)</f>
        <v>2308800</v>
      </c>
      <c r="AU172" s="123">
        <f t="shared" ref="AU172:BE172" si="351">SUM(AH170+AU170)</f>
        <v>0</v>
      </c>
      <c r="AV172" s="123">
        <f t="shared" si="351"/>
        <v>0</v>
      </c>
      <c r="AW172" s="123">
        <f t="shared" si="351"/>
        <v>0</v>
      </c>
      <c r="AX172" s="123">
        <f t="shared" si="351"/>
        <v>0</v>
      </c>
      <c r="AY172" s="123">
        <f t="shared" si="351"/>
        <v>0</v>
      </c>
      <c r="AZ172" s="123">
        <f t="shared" si="351"/>
        <v>0</v>
      </c>
      <c r="BA172" s="123">
        <f t="shared" si="351"/>
        <v>0</v>
      </c>
      <c r="BB172" s="123">
        <f t="shared" si="351"/>
        <v>0</v>
      </c>
      <c r="BC172" s="123">
        <f t="shared" si="351"/>
        <v>0</v>
      </c>
      <c r="BD172" s="123">
        <f t="shared" si="351"/>
        <v>0</v>
      </c>
      <c r="BE172" s="123">
        <f t="shared" si="351"/>
        <v>0</v>
      </c>
      <c r="BF172" s="123">
        <f>SUM(AT172:BE172)</f>
        <v>2308800</v>
      </c>
      <c r="BG172" s="40"/>
      <c r="BH172" s="56"/>
      <c r="BI172" s="57">
        <f>SUM(BI170-BI171)</f>
        <v>0</v>
      </c>
      <c r="BJ172" s="40" t="s">
        <v>37</v>
      </c>
    </row>
    <row r="173" spans="1:98" s="20" customFormat="1" ht="16.5" customHeight="1" x14ac:dyDescent="0.2">
      <c r="A173" s="1730" t="s">
        <v>8</v>
      </c>
      <c r="B173" s="1731"/>
      <c r="C173" s="124" t="s">
        <v>101</v>
      </c>
      <c r="D173" s="224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7"/>
      <c r="AF173" s="23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8"/>
      <c r="AT173" s="136"/>
      <c r="AU173" s="136"/>
      <c r="AV173" s="136"/>
      <c r="AW173" s="136"/>
      <c r="AX173" s="136"/>
      <c r="AY173" s="432"/>
      <c r="AZ173" s="136"/>
      <c r="BA173" s="136"/>
      <c r="BB173" s="136"/>
      <c r="BC173" s="136"/>
      <c r="BD173" s="136"/>
      <c r="BE173" s="136"/>
      <c r="BF173" s="138"/>
      <c r="BG173" s="138"/>
      <c r="BH173" s="135"/>
      <c r="BI173" s="139"/>
      <c r="BJ173" s="135"/>
      <c r="BK173" s="136"/>
      <c r="BL173" s="136"/>
      <c r="BM173" s="136"/>
      <c r="BN173" s="136"/>
      <c r="BO173" s="136"/>
      <c r="BP173" s="137"/>
      <c r="BQ173" s="136"/>
      <c r="BR173" s="136"/>
      <c r="BS173" s="136"/>
      <c r="BT173" s="136"/>
      <c r="BU173" s="136"/>
      <c r="BV173" s="138"/>
      <c r="BW173" s="138"/>
      <c r="BX173" s="138"/>
      <c r="BY173" s="135"/>
      <c r="BZ173" s="139"/>
      <c r="CA173" s="138"/>
      <c r="CB173" s="138"/>
      <c r="CC173" s="24"/>
      <c r="CD173" s="24"/>
      <c r="CE173" s="24"/>
      <c r="CF173" s="24"/>
      <c r="CG173" s="24"/>
      <c r="CH173" s="140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</row>
    <row r="174" spans="1:98" s="8" customFormat="1" ht="48.75" customHeight="1" x14ac:dyDescent="0.2">
      <c r="A174" s="1703" t="s">
        <v>10</v>
      </c>
      <c r="B174" s="1706" t="s">
        <v>11</v>
      </c>
      <c r="C174" s="1706" t="s">
        <v>22</v>
      </c>
      <c r="D174" s="1721" t="s">
        <v>12</v>
      </c>
      <c r="E174" s="1721"/>
      <c r="F174" s="1721"/>
      <c r="G174" s="1721"/>
      <c r="H174" s="1721"/>
      <c r="I174" s="1721"/>
      <c r="J174" s="1721"/>
      <c r="K174" s="1721"/>
      <c r="L174" s="1721"/>
      <c r="M174" s="1721"/>
      <c r="N174" s="1721"/>
      <c r="O174" s="1721"/>
      <c r="P174" s="1721"/>
      <c r="Q174" s="1721"/>
      <c r="R174" s="1706" t="s">
        <v>20</v>
      </c>
      <c r="S174" s="1717" t="s">
        <v>17</v>
      </c>
      <c r="T174" s="1718"/>
      <c r="U174" s="1718"/>
      <c r="V174" s="1718"/>
      <c r="W174" s="1718"/>
      <c r="X174" s="1718"/>
      <c r="Y174" s="1718"/>
      <c r="Z174" s="1718"/>
      <c r="AA174" s="1718"/>
      <c r="AB174" s="1718"/>
      <c r="AC174" s="1718"/>
      <c r="AD174" s="1718"/>
      <c r="AE174" s="1719"/>
      <c r="AF174" s="1720" t="s">
        <v>6</v>
      </c>
      <c r="AG174" s="1720"/>
      <c r="AH174" s="1720"/>
      <c r="AI174" s="1720"/>
      <c r="AJ174" s="1720"/>
      <c r="AK174" s="1720"/>
      <c r="AL174" s="1720"/>
      <c r="AM174" s="1720"/>
      <c r="AN174" s="1720"/>
      <c r="AO174" s="1720"/>
      <c r="AP174" s="1720"/>
      <c r="AQ174" s="1720"/>
      <c r="AR174" s="1720"/>
      <c r="AS174" s="1720"/>
      <c r="AT174" s="1722" t="s">
        <v>41</v>
      </c>
      <c r="AU174" s="1723"/>
      <c r="AV174" s="1723"/>
      <c r="AW174" s="1723"/>
      <c r="AX174" s="1723"/>
      <c r="AY174" s="1723"/>
      <c r="AZ174" s="1723"/>
      <c r="BA174" s="1723"/>
      <c r="BB174" s="1723"/>
      <c r="BC174" s="1723"/>
      <c r="BD174" s="1723"/>
      <c r="BE174" s="1723"/>
      <c r="BF174" s="1724"/>
      <c r="BG174" s="1706" t="s">
        <v>38</v>
      </c>
      <c r="BH174" s="1706" t="s">
        <v>256</v>
      </c>
      <c r="BI174" s="1709" t="s">
        <v>39</v>
      </c>
      <c r="BJ174" s="135"/>
      <c r="BK174" s="135"/>
      <c r="BL174" s="135"/>
      <c r="BM174" s="135"/>
      <c r="BN174" s="135"/>
      <c r="BO174" s="1733" t="s">
        <v>41</v>
      </c>
      <c r="BP174" s="1734"/>
      <c r="BQ174" s="1734"/>
      <c r="BR174" s="1734"/>
      <c r="BS174" s="1734"/>
      <c r="BT174" s="1734"/>
      <c r="BU174" s="1734"/>
      <c r="BV174" s="1734"/>
      <c r="BW174" s="1734"/>
      <c r="BX174" s="1734"/>
      <c r="BY174" s="1734"/>
      <c r="BZ174" s="1734"/>
      <c r="CA174" s="1734"/>
      <c r="CB174" s="1734"/>
      <c r="CC174" s="1734"/>
      <c r="CD174" s="1734"/>
      <c r="CE174" s="1734"/>
      <c r="CF174" s="1734"/>
      <c r="CG174" s="1734"/>
      <c r="CH174" s="1734"/>
      <c r="CI174" s="1734"/>
      <c r="CJ174" s="1734"/>
      <c r="CK174" s="1734"/>
      <c r="CL174" s="1734"/>
      <c r="CM174" s="1734"/>
      <c r="CN174" s="1735"/>
    </row>
    <row r="175" spans="1:98" s="8" customFormat="1" ht="48.75" customHeight="1" x14ac:dyDescent="0.2">
      <c r="A175" s="1704"/>
      <c r="B175" s="1707"/>
      <c r="C175" s="1707"/>
      <c r="D175" s="1728" t="s">
        <v>18</v>
      </c>
      <c r="E175" s="1714" t="s">
        <v>19</v>
      </c>
      <c r="F175" s="1715"/>
      <c r="G175" s="1715"/>
      <c r="H175" s="1715"/>
      <c r="I175" s="1715"/>
      <c r="J175" s="1715"/>
      <c r="K175" s="1715"/>
      <c r="L175" s="1715"/>
      <c r="M175" s="1715"/>
      <c r="N175" s="1715"/>
      <c r="O175" s="1715"/>
      <c r="P175" s="1715"/>
      <c r="Q175" s="1715"/>
      <c r="R175" s="1707"/>
      <c r="S175" s="1712" t="s">
        <v>18</v>
      </c>
      <c r="T175" s="1714" t="s">
        <v>19</v>
      </c>
      <c r="U175" s="1715"/>
      <c r="V175" s="1715"/>
      <c r="W175" s="1715"/>
      <c r="X175" s="1715"/>
      <c r="Y175" s="1715"/>
      <c r="Z175" s="1715"/>
      <c r="AA175" s="1715"/>
      <c r="AB175" s="1715"/>
      <c r="AC175" s="1715"/>
      <c r="AD175" s="1715"/>
      <c r="AE175" s="1716"/>
      <c r="AF175" s="1712" t="s">
        <v>18</v>
      </c>
      <c r="AG175" s="1714" t="s">
        <v>19</v>
      </c>
      <c r="AH175" s="1715"/>
      <c r="AI175" s="1715"/>
      <c r="AJ175" s="1715"/>
      <c r="AK175" s="1715"/>
      <c r="AL175" s="1715"/>
      <c r="AM175" s="1715"/>
      <c r="AN175" s="1715"/>
      <c r="AO175" s="1715"/>
      <c r="AP175" s="1715"/>
      <c r="AQ175" s="1715"/>
      <c r="AR175" s="1715"/>
      <c r="AS175" s="1716"/>
      <c r="AT175" s="1725"/>
      <c r="AU175" s="1726"/>
      <c r="AV175" s="1726"/>
      <c r="AW175" s="1726"/>
      <c r="AX175" s="1726"/>
      <c r="AY175" s="1726"/>
      <c r="AZ175" s="1726"/>
      <c r="BA175" s="1726"/>
      <c r="BB175" s="1726"/>
      <c r="BC175" s="1726"/>
      <c r="BD175" s="1726"/>
      <c r="BE175" s="1726"/>
      <c r="BF175" s="1727"/>
      <c r="BG175" s="1707"/>
      <c r="BH175" s="1707"/>
      <c r="BI175" s="1710"/>
      <c r="BJ175" s="135"/>
      <c r="BK175" s="1736">
        <f>SUM(BK177/60)</f>
        <v>14896</v>
      </c>
      <c r="BL175" s="1736"/>
      <c r="BM175" s="1736"/>
      <c r="BN175" s="23"/>
      <c r="BO175" s="1737" t="s">
        <v>686</v>
      </c>
      <c r="BP175" s="1738"/>
      <c r="BQ175" s="1738"/>
      <c r="BR175" s="1738"/>
      <c r="BS175" s="1738"/>
      <c r="BT175" s="1738"/>
      <c r="BU175" s="1738"/>
      <c r="BV175" s="1738"/>
      <c r="BW175" s="1738"/>
      <c r="BX175" s="1738"/>
      <c r="BY175" s="1738"/>
      <c r="BZ175" s="1738"/>
      <c r="CA175" s="1739"/>
      <c r="CB175" s="1740" t="s">
        <v>687</v>
      </c>
      <c r="CC175" s="1741"/>
      <c r="CD175" s="1741"/>
      <c r="CE175" s="1741"/>
      <c r="CF175" s="1741"/>
      <c r="CG175" s="1741"/>
      <c r="CH175" s="1741"/>
      <c r="CI175" s="1741"/>
      <c r="CJ175" s="1741"/>
      <c r="CK175" s="1741"/>
      <c r="CL175" s="1741"/>
      <c r="CM175" s="1741"/>
      <c r="CN175" s="1742"/>
    </row>
    <row r="176" spans="1:98" s="6" customFormat="1" ht="28.5" customHeight="1" x14ac:dyDescent="0.2">
      <c r="A176" s="1705"/>
      <c r="B176" s="1708"/>
      <c r="C176" s="1708"/>
      <c r="D176" s="1729"/>
      <c r="E176" s="26">
        <v>1</v>
      </c>
      <c r="F176" s="26">
        <v>2</v>
      </c>
      <c r="G176" s="26">
        <v>3</v>
      </c>
      <c r="H176" s="26">
        <v>4</v>
      </c>
      <c r="I176" s="26">
        <v>5</v>
      </c>
      <c r="J176" s="26">
        <v>6</v>
      </c>
      <c r="K176" s="26">
        <v>7</v>
      </c>
      <c r="L176" s="26">
        <v>8</v>
      </c>
      <c r="M176" s="26">
        <v>9</v>
      </c>
      <c r="N176" s="26">
        <v>10</v>
      </c>
      <c r="O176" s="26">
        <v>11</v>
      </c>
      <c r="P176" s="26">
        <v>12</v>
      </c>
      <c r="Q176" s="26" t="s">
        <v>21</v>
      </c>
      <c r="R176" s="1708"/>
      <c r="S176" s="1713"/>
      <c r="T176" s="26">
        <v>1</v>
      </c>
      <c r="U176" s="26">
        <v>2</v>
      </c>
      <c r="V176" s="26">
        <v>3</v>
      </c>
      <c r="W176" s="26">
        <v>4</v>
      </c>
      <c r="X176" s="26">
        <v>5</v>
      </c>
      <c r="Y176" s="26">
        <v>6</v>
      </c>
      <c r="Z176" s="26">
        <v>7</v>
      </c>
      <c r="AA176" s="26">
        <v>8</v>
      </c>
      <c r="AB176" s="26">
        <v>9</v>
      </c>
      <c r="AC176" s="26">
        <v>10</v>
      </c>
      <c r="AD176" s="26">
        <v>11</v>
      </c>
      <c r="AE176" s="26">
        <v>12</v>
      </c>
      <c r="AF176" s="1713"/>
      <c r="AG176" s="26">
        <v>1</v>
      </c>
      <c r="AH176" s="26">
        <v>2</v>
      </c>
      <c r="AI176" s="26">
        <v>3</v>
      </c>
      <c r="AJ176" s="26">
        <v>4</v>
      </c>
      <c r="AK176" s="26">
        <v>5</v>
      </c>
      <c r="AL176" s="26">
        <v>6</v>
      </c>
      <c r="AM176" s="26">
        <v>7</v>
      </c>
      <c r="AN176" s="26">
        <v>8</v>
      </c>
      <c r="AO176" s="26">
        <v>9</v>
      </c>
      <c r="AP176" s="26">
        <v>10</v>
      </c>
      <c r="AQ176" s="26">
        <v>11</v>
      </c>
      <c r="AR176" s="26">
        <v>12</v>
      </c>
      <c r="AS176" s="26" t="s">
        <v>13</v>
      </c>
      <c r="AT176" s="173">
        <v>1</v>
      </c>
      <c r="AU176" s="173">
        <v>2</v>
      </c>
      <c r="AV176" s="173">
        <v>3</v>
      </c>
      <c r="AW176" s="173">
        <v>4</v>
      </c>
      <c r="AX176" s="173">
        <v>5</v>
      </c>
      <c r="AY176" s="173">
        <v>6</v>
      </c>
      <c r="AZ176" s="173">
        <v>7</v>
      </c>
      <c r="BA176" s="173">
        <v>8</v>
      </c>
      <c r="BB176" s="173">
        <v>9</v>
      </c>
      <c r="BC176" s="173">
        <v>10</v>
      </c>
      <c r="BD176" s="173">
        <v>11</v>
      </c>
      <c r="BE176" s="173">
        <v>12</v>
      </c>
      <c r="BF176" s="26" t="s">
        <v>13</v>
      </c>
      <c r="BG176" s="1708"/>
      <c r="BH176" s="1708"/>
      <c r="BI176" s="1711"/>
      <c r="BJ176" s="7"/>
      <c r="BK176" s="1743" t="s">
        <v>19</v>
      </c>
      <c r="BL176" s="1744"/>
      <c r="BM176" s="1745"/>
      <c r="BN176" s="621"/>
      <c r="BO176" s="173">
        <v>1</v>
      </c>
      <c r="BP176" s="173">
        <v>2</v>
      </c>
      <c r="BQ176" s="173">
        <v>3</v>
      </c>
      <c r="BR176" s="173">
        <v>4</v>
      </c>
      <c r="BS176" s="173">
        <v>5</v>
      </c>
      <c r="BT176" s="173">
        <v>6</v>
      </c>
      <c r="BU176" s="173">
        <v>7</v>
      </c>
      <c r="BV176" s="173">
        <v>8</v>
      </c>
      <c r="BW176" s="173">
        <v>9</v>
      </c>
      <c r="BX176" s="173">
        <v>10</v>
      </c>
      <c r="BY176" s="173">
        <v>11</v>
      </c>
      <c r="BZ176" s="173">
        <v>12</v>
      </c>
      <c r="CA176" s="26" t="s">
        <v>13</v>
      </c>
      <c r="CB176" s="173">
        <v>1</v>
      </c>
      <c r="CC176" s="173">
        <v>2</v>
      </c>
      <c r="CD176" s="173">
        <v>3</v>
      </c>
      <c r="CE176" s="173">
        <v>4</v>
      </c>
      <c r="CF176" s="173">
        <v>5</v>
      </c>
      <c r="CG176" s="173">
        <v>6</v>
      </c>
      <c r="CH176" s="173">
        <v>7</v>
      </c>
      <c r="CI176" s="173">
        <v>8</v>
      </c>
      <c r="CJ176" s="173">
        <v>9</v>
      </c>
      <c r="CK176" s="173">
        <v>10</v>
      </c>
      <c r="CL176" s="173">
        <v>11</v>
      </c>
      <c r="CM176" s="173">
        <v>12</v>
      </c>
      <c r="CN176" s="26" t="s">
        <v>13</v>
      </c>
    </row>
    <row r="177" spans="1:98" s="7" customFormat="1" ht="24.75" customHeight="1" x14ac:dyDescent="0.2">
      <c r="A177" s="41"/>
      <c r="B177" s="141" t="s">
        <v>102</v>
      </c>
      <c r="C177" s="29" t="s">
        <v>25</v>
      </c>
      <c r="D177" s="555">
        <v>1600</v>
      </c>
      <c r="E177" s="1320">
        <v>1600</v>
      </c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1">
        <f t="shared" ref="Q177:Q184" si="352">SUM(E177:P177)</f>
        <v>1600</v>
      </c>
      <c r="R177" s="83" t="s">
        <v>7</v>
      </c>
      <c r="S177" s="142">
        <v>570</v>
      </c>
      <c r="T177" s="1322">
        <v>570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69">
        <f t="shared" ref="AF177:AF184" si="353">SUM(Q177*S177)</f>
        <v>912000</v>
      </c>
      <c r="AG177" s="1202">
        <f t="shared" ref="AG177:AI184" si="354">T177*E177</f>
        <v>912000</v>
      </c>
      <c r="AH177" s="70">
        <f t="shared" si="354"/>
        <v>0</v>
      </c>
      <c r="AI177" s="70">
        <f t="shared" si="354"/>
        <v>0</v>
      </c>
      <c r="AJ177" s="70">
        <f t="shared" ref="AJ177:AR184" si="355">W177*H177</f>
        <v>0</v>
      </c>
      <c r="AK177" s="70">
        <f t="shared" si="355"/>
        <v>0</v>
      </c>
      <c r="AL177" s="70">
        <f t="shared" si="355"/>
        <v>0</v>
      </c>
      <c r="AM177" s="70">
        <f t="shared" si="355"/>
        <v>0</v>
      </c>
      <c r="AN177" s="70">
        <f t="shared" si="355"/>
        <v>0</v>
      </c>
      <c r="AO177" s="70">
        <f t="shared" si="355"/>
        <v>0</v>
      </c>
      <c r="AP177" s="70">
        <f t="shared" si="355"/>
        <v>0</v>
      </c>
      <c r="AQ177" s="70">
        <f t="shared" si="355"/>
        <v>0</v>
      </c>
      <c r="AR177" s="70">
        <f t="shared" si="355"/>
        <v>0</v>
      </c>
      <c r="AS177" s="71">
        <f t="shared" ref="AS177:AS184" si="356">SUM(AG177:AR177)</f>
        <v>912000</v>
      </c>
      <c r="AT177" s="1130">
        <f>SUM(AG177*2%)</f>
        <v>18240</v>
      </c>
      <c r="AU177" s="70">
        <f t="shared" ref="AU177:AU184" si="357">SUM(AH177*14%)</f>
        <v>0</v>
      </c>
      <c r="AV177" s="70">
        <f t="shared" ref="AV177:BE184" si="358">SUM(AI177*14%)</f>
        <v>0</v>
      </c>
      <c r="AW177" s="70">
        <f t="shared" si="358"/>
        <v>0</v>
      </c>
      <c r="AX177" s="70">
        <f t="shared" si="358"/>
        <v>0</v>
      </c>
      <c r="AY177" s="70">
        <f t="shared" si="358"/>
        <v>0</v>
      </c>
      <c r="AZ177" s="70">
        <f t="shared" si="358"/>
        <v>0</v>
      </c>
      <c r="BA177" s="70">
        <f t="shared" si="358"/>
        <v>0</v>
      </c>
      <c r="BB177" s="70">
        <f t="shared" si="358"/>
        <v>0</v>
      </c>
      <c r="BC177" s="70">
        <f t="shared" si="358"/>
        <v>0</v>
      </c>
      <c r="BD177" s="70">
        <f t="shared" si="358"/>
        <v>0</v>
      </c>
      <c r="BE177" s="70">
        <f t="shared" si="358"/>
        <v>0</v>
      </c>
      <c r="BF177" s="72">
        <f t="shared" ref="BF177:BF184" si="359">SUM(AT177:BE177)</f>
        <v>18240</v>
      </c>
      <c r="BG177" s="73">
        <f>AF177-AS177</f>
        <v>0</v>
      </c>
      <c r="BH177" s="74">
        <f t="shared" ref="BH177:BH184" si="360">S177*D177</f>
        <v>912000</v>
      </c>
      <c r="BI177" s="75">
        <f>BH177-AS177</f>
        <v>0</v>
      </c>
      <c r="BJ177" s="175">
        <f t="shared" ref="BJ177:BJ184" si="361">SUM(Q177/D177)</f>
        <v>1</v>
      </c>
      <c r="BK177" s="1081">
        <f>AG177-AT177</f>
        <v>893760</v>
      </c>
      <c r="BL177" s="1081">
        <f>1600*500</f>
        <v>800000</v>
      </c>
      <c r="BM177" s="1083">
        <f>BK177-BL177</f>
        <v>93760</v>
      </c>
      <c r="BN177" s="1084"/>
      <c r="BO177" s="862"/>
      <c r="BP177" s="862"/>
      <c r="BQ177" s="862"/>
      <c r="BR177" s="862"/>
      <c r="BS177" s="862"/>
      <c r="BT177" s="862"/>
      <c r="BU177" s="862"/>
      <c r="BV177" s="862"/>
      <c r="BW177" s="1081">
        <f t="shared" ref="BW177:BW178" si="362">SUM(AN177*12.5%)</f>
        <v>0</v>
      </c>
      <c r="BX177" s="862"/>
      <c r="BY177" s="862"/>
      <c r="BZ177" s="862"/>
      <c r="CA177" s="73">
        <f t="shared" ref="CA177" si="363">SUM(BO177:BZ177)</f>
        <v>0</v>
      </c>
      <c r="CB177" s="862"/>
      <c r="CC177" s="862"/>
      <c r="CD177" s="862"/>
      <c r="CE177" s="862"/>
      <c r="CF177" s="862"/>
      <c r="CG177" s="862"/>
      <c r="CH177" s="862"/>
      <c r="CI177" s="862"/>
      <c r="CJ177" s="1081"/>
      <c r="CK177" s="862"/>
      <c r="CL177" s="862"/>
      <c r="CM177" s="862"/>
      <c r="CN177" s="73">
        <f t="shared" ref="CN177:CN178" si="364">SUM(CB177:CM177)</f>
        <v>0</v>
      </c>
    </row>
    <row r="178" spans="1:98" s="7" customFormat="1" ht="24.75" customHeight="1" x14ac:dyDescent="0.2">
      <c r="A178" s="41"/>
      <c r="B178" s="141" t="s">
        <v>95</v>
      </c>
      <c r="C178" s="29" t="s">
        <v>25</v>
      </c>
      <c r="D178" s="555">
        <v>3</v>
      </c>
      <c r="E178" s="1320">
        <v>3</v>
      </c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1">
        <f t="shared" si="352"/>
        <v>3</v>
      </c>
      <c r="R178" s="83" t="s">
        <v>96</v>
      </c>
      <c r="S178" s="142">
        <v>28400</v>
      </c>
      <c r="T178" s="1322">
        <v>25500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69">
        <f t="shared" si="353"/>
        <v>85200</v>
      </c>
      <c r="AG178" s="1202">
        <f t="shared" si="354"/>
        <v>76500</v>
      </c>
      <c r="AH178" s="70">
        <f t="shared" si="354"/>
        <v>0</v>
      </c>
      <c r="AI178" s="70">
        <f t="shared" si="354"/>
        <v>0</v>
      </c>
      <c r="AJ178" s="70">
        <f t="shared" si="355"/>
        <v>0</v>
      </c>
      <c r="AK178" s="70">
        <f t="shared" si="355"/>
        <v>0</v>
      </c>
      <c r="AL178" s="70">
        <f t="shared" si="355"/>
        <v>0</v>
      </c>
      <c r="AM178" s="70">
        <f t="shared" si="355"/>
        <v>0</v>
      </c>
      <c r="AN178" s="70">
        <f t="shared" si="355"/>
        <v>0</v>
      </c>
      <c r="AO178" s="70">
        <f t="shared" si="355"/>
        <v>0</v>
      </c>
      <c r="AP178" s="70">
        <f t="shared" si="355"/>
        <v>0</v>
      </c>
      <c r="AQ178" s="70">
        <f t="shared" si="355"/>
        <v>0</v>
      </c>
      <c r="AR178" s="70">
        <f t="shared" si="355"/>
        <v>0</v>
      </c>
      <c r="AS178" s="71">
        <f t="shared" si="356"/>
        <v>76500</v>
      </c>
      <c r="AT178" s="1130">
        <f>SUM(AG178*2%)</f>
        <v>1530</v>
      </c>
      <c r="AU178" s="70">
        <f t="shared" si="357"/>
        <v>0</v>
      </c>
      <c r="AV178" s="70">
        <f t="shared" si="358"/>
        <v>0</v>
      </c>
      <c r="AW178" s="70">
        <f t="shared" si="358"/>
        <v>0</v>
      </c>
      <c r="AX178" s="70">
        <f t="shared" si="358"/>
        <v>0</v>
      </c>
      <c r="AY178" s="70">
        <f t="shared" si="358"/>
        <v>0</v>
      </c>
      <c r="AZ178" s="70">
        <f t="shared" si="358"/>
        <v>0</v>
      </c>
      <c r="BA178" s="70">
        <f t="shared" si="358"/>
        <v>0</v>
      </c>
      <c r="BB178" s="70">
        <f t="shared" si="358"/>
        <v>0</v>
      </c>
      <c r="BC178" s="70">
        <f t="shared" si="358"/>
        <v>0</v>
      </c>
      <c r="BD178" s="70">
        <f t="shared" si="358"/>
        <v>0</v>
      </c>
      <c r="BE178" s="70">
        <f t="shared" si="358"/>
        <v>0</v>
      </c>
      <c r="BF178" s="72">
        <f t="shared" si="359"/>
        <v>1530</v>
      </c>
      <c r="BG178" s="73">
        <f>AF178-AS178</f>
        <v>8700</v>
      </c>
      <c r="BH178" s="74">
        <f t="shared" si="360"/>
        <v>85200</v>
      </c>
      <c r="BI178" s="75">
        <f>BH178-AS178</f>
        <v>8700</v>
      </c>
      <c r="BJ178" s="175">
        <f t="shared" si="361"/>
        <v>1</v>
      </c>
      <c r="BK178" s="1081"/>
      <c r="BL178" s="1081"/>
      <c r="BM178" s="1083"/>
      <c r="BN178" s="1084"/>
      <c r="BO178" s="862"/>
      <c r="BP178" s="862"/>
      <c r="BQ178" s="862"/>
      <c r="BR178" s="862"/>
      <c r="BS178" s="862"/>
      <c r="BT178" s="862"/>
      <c r="BU178" s="862"/>
      <c r="BV178" s="862"/>
      <c r="BW178" s="1081">
        <f t="shared" si="362"/>
        <v>0</v>
      </c>
      <c r="BX178" s="862"/>
      <c r="BY178" s="862"/>
      <c r="BZ178" s="862"/>
      <c r="CA178" s="73">
        <f t="shared" ref="CA178" si="365">SUM(BO178:BZ178)</f>
        <v>0</v>
      </c>
      <c r="CB178" s="862"/>
      <c r="CC178" s="862"/>
      <c r="CD178" s="862"/>
      <c r="CE178" s="862"/>
      <c r="CF178" s="862"/>
      <c r="CG178" s="862"/>
      <c r="CH178" s="862"/>
      <c r="CI178" s="862"/>
      <c r="CJ178" s="1081"/>
      <c r="CK178" s="862"/>
      <c r="CL178" s="862"/>
      <c r="CM178" s="862"/>
      <c r="CN178" s="73">
        <f t="shared" si="364"/>
        <v>0</v>
      </c>
    </row>
    <row r="179" spans="1:98" s="7" customFormat="1" ht="24.75" customHeight="1" x14ac:dyDescent="0.2">
      <c r="A179" s="41"/>
      <c r="B179" s="141" t="s">
        <v>315</v>
      </c>
      <c r="C179" s="29" t="s">
        <v>25</v>
      </c>
      <c r="D179" s="555">
        <v>0</v>
      </c>
      <c r="E179" s="132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1">
        <f t="shared" si="352"/>
        <v>0</v>
      </c>
      <c r="R179" s="83" t="s">
        <v>107</v>
      </c>
      <c r="S179" s="142">
        <v>3000000</v>
      </c>
      <c r="T179" s="132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69">
        <f t="shared" si="353"/>
        <v>0</v>
      </c>
      <c r="AG179" s="1202">
        <f t="shared" si="354"/>
        <v>0</v>
      </c>
      <c r="AH179" s="70">
        <f t="shared" si="354"/>
        <v>0</v>
      </c>
      <c r="AI179" s="70">
        <f t="shared" si="354"/>
        <v>0</v>
      </c>
      <c r="AJ179" s="70">
        <f t="shared" si="355"/>
        <v>0</v>
      </c>
      <c r="AK179" s="70">
        <f t="shared" si="355"/>
        <v>0</v>
      </c>
      <c r="AL179" s="70">
        <f t="shared" si="355"/>
        <v>0</v>
      </c>
      <c r="AM179" s="70">
        <f t="shared" si="355"/>
        <v>0</v>
      </c>
      <c r="AN179" s="70">
        <f t="shared" si="355"/>
        <v>0</v>
      </c>
      <c r="AO179" s="70">
        <f t="shared" si="355"/>
        <v>0</v>
      </c>
      <c r="AP179" s="70">
        <f t="shared" si="355"/>
        <v>0</v>
      </c>
      <c r="AQ179" s="70">
        <f t="shared" si="355"/>
        <v>0</v>
      </c>
      <c r="AR179" s="70">
        <f t="shared" si="355"/>
        <v>0</v>
      </c>
      <c r="AS179" s="71">
        <f t="shared" si="356"/>
        <v>0</v>
      </c>
      <c r="AT179" s="1130"/>
      <c r="AU179" s="70">
        <f t="shared" si="357"/>
        <v>0</v>
      </c>
      <c r="AV179" s="70">
        <f t="shared" si="358"/>
        <v>0</v>
      </c>
      <c r="AW179" s="70">
        <f t="shared" si="358"/>
        <v>0</v>
      </c>
      <c r="AX179" s="70">
        <f t="shared" si="358"/>
        <v>0</v>
      </c>
      <c r="AY179" s="70">
        <f t="shared" si="358"/>
        <v>0</v>
      </c>
      <c r="AZ179" s="70">
        <f t="shared" si="358"/>
        <v>0</v>
      </c>
      <c r="BA179" s="70">
        <f t="shared" si="358"/>
        <v>0</v>
      </c>
      <c r="BB179" s="70">
        <f t="shared" si="358"/>
        <v>0</v>
      </c>
      <c r="BC179" s="70">
        <f t="shared" si="358"/>
        <v>0</v>
      </c>
      <c r="BD179" s="70">
        <f t="shared" si="358"/>
        <v>0</v>
      </c>
      <c r="BE179" s="70">
        <f t="shared" si="358"/>
        <v>0</v>
      </c>
      <c r="BF179" s="72">
        <f t="shared" si="359"/>
        <v>0</v>
      </c>
      <c r="BG179" s="73">
        <f t="shared" ref="BG179" si="366">AF179-AS179-BF179</f>
        <v>0</v>
      </c>
      <c r="BH179" s="74">
        <f t="shared" si="360"/>
        <v>0</v>
      </c>
      <c r="BI179" s="75">
        <f t="shared" ref="BI179" si="367">BH179-AS179-BF179</f>
        <v>0</v>
      </c>
      <c r="BJ179" s="175"/>
      <c r="BK179" s="1081"/>
      <c r="BL179" s="1081"/>
      <c r="BM179" s="1083"/>
      <c r="BN179" s="1084"/>
      <c r="BO179" s="862"/>
      <c r="BP179" s="862"/>
      <c r="BQ179" s="862"/>
      <c r="BR179" s="862"/>
      <c r="BS179" s="862"/>
      <c r="BT179" s="862"/>
      <c r="BU179" s="862"/>
      <c r="BV179" s="862"/>
      <c r="BW179" s="1081">
        <f t="shared" ref="BW179" si="368">SUM(AN179*12.5%)</f>
        <v>0</v>
      </c>
      <c r="BX179" s="862"/>
      <c r="BY179" s="862"/>
      <c r="BZ179" s="862"/>
      <c r="CA179" s="73">
        <f t="shared" ref="CA179" si="369">SUM(BO179:BZ179)</f>
        <v>0</v>
      </c>
      <c r="CB179" s="862"/>
      <c r="CC179" s="862"/>
      <c r="CD179" s="862"/>
      <c r="CE179" s="862"/>
      <c r="CF179" s="862"/>
      <c r="CG179" s="862"/>
      <c r="CH179" s="862"/>
      <c r="CI179" s="862"/>
      <c r="CJ179" s="1081"/>
      <c r="CK179" s="862"/>
      <c r="CL179" s="862"/>
      <c r="CM179" s="862"/>
      <c r="CN179" s="73">
        <f t="shared" ref="CN179" si="370">SUM(CB179:CM179)</f>
        <v>0</v>
      </c>
    </row>
    <row r="180" spans="1:98" s="7" customFormat="1" ht="24.75" customHeight="1" x14ac:dyDescent="0.2">
      <c r="A180" s="41"/>
      <c r="B180" s="141" t="s">
        <v>316</v>
      </c>
      <c r="C180" s="29" t="s">
        <v>25</v>
      </c>
      <c r="D180" s="555">
        <v>27</v>
      </c>
      <c r="E180" s="1320">
        <v>27</v>
      </c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1">
        <f t="shared" ref="Q180" si="371">SUM(E180:P180)</f>
        <v>27</v>
      </c>
      <c r="R180" s="83" t="s">
        <v>107</v>
      </c>
      <c r="S180" s="556">
        <v>28500</v>
      </c>
      <c r="T180" s="1323">
        <v>28000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69">
        <f t="shared" ref="AF180" si="372">SUM(Q180*S180)</f>
        <v>769500</v>
      </c>
      <c r="AG180" s="1202">
        <f t="shared" ref="AG180" si="373">T180*E180</f>
        <v>756000</v>
      </c>
      <c r="AH180" s="70">
        <f t="shared" ref="AH180" si="374">U180*F180</f>
        <v>0</v>
      </c>
      <c r="AI180" s="70">
        <f t="shared" ref="AI180" si="375">V180*G180</f>
        <v>0</v>
      </c>
      <c r="AJ180" s="70">
        <f t="shared" ref="AJ180" si="376">W180*H180</f>
        <v>0</v>
      </c>
      <c r="AK180" s="70">
        <f t="shared" ref="AK180" si="377">X180*I180</f>
        <v>0</v>
      </c>
      <c r="AL180" s="70">
        <f t="shared" ref="AL180" si="378">Y180*J180</f>
        <v>0</v>
      </c>
      <c r="AM180" s="70">
        <f t="shared" ref="AM180" si="379">Z180*K180</f>
        <v>0</v>
      </c>
      <c r="AN180" s="70">
        <f t="shared" ref="AN180" si="380">AA180*L180</f>
        <v>0</v>
      </c>
      <c r="AO180" s="70">
        <f t="shared" ref="AO180" si="381">AB180*M180</f>
        <v>0</v>
      </c>
      <c r="AP180" s="70">
        <f t="shared" ref="AP180" si="382">AC180*N180</f>
        <v>0</v>
      </c>
      <c r="AQ180" s="70">
        <f t="shared" ref="AQ180" si="383">AD180*O180</f>
        <v>0</v>
      </c>
      <c r="AR180" s="70">
        <f t="shared" ref="AR180" si="384">AE180*P180</f>
        <v>0</v>
      </c>
      <c r="AS180" s="71">
        <f t="shared" ref="AS180" si="385">SUM(AG180:AR180)</f>
        <v>756000</v>
      </c>
      <c r="AT180" s="1130">
        <f>SUM(AG180*2%)</f>
        <v>15120</v>
      </c>
      <c r="AU180" s="70">
        <f t="shared" ref="AU180" si="386">SUM(AH180*14%)</f>
        <v>0</v>
      </c>
      <c r="AV180" s="70">
        <f t="shared" ref="AV180" si="387">SUM(AI180*14%)</f>
        <v>0</v>
      </c>
      <c r="AW180" s="70">
        <f t="shared" ref="AW180" si="388">SUM(AJ180*14%)</f>
        <v>0</v>
      </c>
      <c r="AX180" s="70">
        <f t="shared" ref="AX180" si="389">SUM(AK180*14%)</f>
        <v>0</v>
      </c>
      <c r="AY180" s="70">
        <f t="shared" ref="AY180" si="390">SUM(AL180*14%)</f>
        <v>0</v>
      </c>
      <c r="AZ180" s="70">
        <f t="shared" ref="AZ180" si="391">SUM(AM180*14%)</f>
        <v>0</v>
      </c>
      <c r="BA180" s="70">
        <f t="shared" ref="BA180" si="392">SUM(AN180*14%)</f>
        <v>0</v>
      </c>
      <c r="BB180" s="70">
        <f t="shared" ref="BB180" si="393">SUM(AO180*14%)</f>
        <v>0</v>
      </c>
      <c r="BC180" s="70">
        <f t="shared" ref="BC180" si="394">SUM(AP180*14%)</f>
        <v>0</v>
      </c>
      <c r="BD180" s="70">
        <f t="shared" ref="BD180" si="395">SUM(AQ180*14%)</f>
        <v>0</v>
      </c>
      <c r="BE180" s="70">
        <f t="shared" ref="BE180" si="396">SUM(AR180*14%)</f>
        <v>0</v>
      </c>
      <c r="BF180" s="72">
        <f t="shared" ref="BF180" si="397">SUM(AT180:BE180)</f>
        <v>15120</v>
      </c>
      <c r="BG180" s="73">
        <f t="shared" ref="BG180:BG184" si="398">AF180-AS180</f>
        <v>13500</v>
      </c>
      <c r="BH180" s="74">
        <f t="shared" ref="BH180" si="399">S180*D180</f>
        <v>769500</v>
      </c>
      <c r="BI180" s="75">
        <f>BH180-AS180</f>
        <v>13500</v>
      </c>
      <c r="BJ180" s="175">
        <f t="shared" ref="BJ180" si="400">SUM(Q180/D180)</f>
        <v>1</v>
      </c>
      <c r="BK180" s="1081">
        <f>AG180-AT180</f>
        <v>740880</v>
      </c>
      <c r="BL180" s="1081">
        <f>27*25000</f>
        <v>675000</v>
      </c>
      <c r="BM180" s="1083">
        <f>BK180-BL180</f>
        <v>65880</v>
      </c>
      <c r="BN180" s="1084"/>
      <c r="BO180" s="862"/>
      <c r="BP180" s="862"/>
      <c r="BQ180" s="862"/>
      <c r="BR180" s="862"/>
      <c r="BS180" s="862"/>
      <c r="BT180" s="862"/>
      <c r="BU180" s="862"/>
      <c r="BV180" s="862"/>
      <c r="BW180" s="1081">
        <f t="shared" ref="BW180:BW185" si="401">SUM(AN180*12.5%)</f>
        <v>0</v>
      </c>
      <c r="BX180" s="862"/>
      <c r="BY180" s="862"/>
      <c r="BZ180" s="862"/>
      <c r="CA180" s="73">
        <f t="shared" ref="CA180:CA185" si="402">SUM(BO180:BZ180)</f>
        <v>0</v>
      </c>
      <c r="CB180" s="862"/>
      <c r="CC180" s="862"/>
      <c r="CD180" s="862"/>
      <c r="CE180" s="862"/>
      <c r="CF180" s="862"/>
      <c r="CG180" s="862"/>
      <c r="CH180" s="862"/>
      <c r="CI180" s="862"/>
      <c r="CJ180" s="1081"/>
      <c r="CK180" s="862"/>
      <c r="CL180" s="862"/>
      <c r="CM180" s="862"/>
      <c r="CN180" s="73">
        <f t="shared" ref="CN180:CN185" si="403">SUM(CB180:CM180)</f>
        <v>0</v>
      </c>
    </row>
    <row r="181" spans="1:98" s="7" customFormat="1" ht="24.75" customHeight="1" x14ac:dyDescent="0.2">
      <c r="A181" s="41"/>
      <c r="B181" s="141" t="s">
        <v>103</v>
      </c>
      <c r="C181" s="29" t="s">
        <v>25</v>
      </c>
      <c r="D181" s="555">
        <v>3</v>
      </c>
      <c r="E181" s="1320">
        <v>3</v>
      </c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1">
        <f t="shared" ref="Q181" si="404">SUM(E181:P181)</f>
        <v>3</v>
      </c>
      <c r="R181" s="83" t="s">
        <v>107</v>
      </c>
      <c r="S181" s="142">
        <v>500000</v>
      </c>
      <c r="T181" s="1323">
        <v>500000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69">
        <f t="shared" ref="AF181" si="405">SUM(Q181*S181)</f>
        <v>1500000</v>
      </c>
      <c r="AG181" s="1202">
        <f t="shared" ref="AG181" si="406">T181*E181</f>
        <v>1500000</v>
      </c>
      <c r="AH181" s="70">
        <f t="shared" ref="AH181" si="407">U181*F181</f>
        <v>0</v>
      </c>
      <c r="AI181" s="70">
        <f t="shared" ref="AI181" si="408">V181*G181</f>
        <v>0</v>
      </c>
      <c r="AJ181" s="70">
        <f t="shared" ref="AJ181" si="409">W181*H181</f>
        <v>0</v>
      </c>
      <c r="AK181" s="70">
        <f t="shared" ref="AK181" si="410">X181*I181</f>
        <v>0</v>
      </c>
      <c r="AL181" s="70">
        <f t="shared" ref="AL181" si="411">Y181*J181</f>
        <v>0</v>
      </c>
      <c r="AM181" s="70">
        <f t="shared" ref="AM181" si="412">Z181*K181</f>
        <v>0</v>
      </c>
      <c r="AN181" s="70">
        <f t="shared" ref="AN181" si="413">AA181*L181</f>
        <v>0</v>
      </c>
      <c r="AO181" s="70">
        <f t="shared" ref="AO181" si="414">AB181*M181</f>
        <v>0</v>
      </c>
      <c r="AP181" s="70">
        <f t="shared" ref="AP181" si="415">AC181*N181</f>
        <v>0</v>
      </c>
      <c r="AQ181" s="70">
        <f t="shared" ref="AQ181" si="416">AD181*O181</f>
        <v>0</v>
      </c>
      <c r="AR181" s="70">
        <f t="shared" ref="AR181" si="417">AE181*P181</f>
        <v>0</v>
      </c>
      <c r="AS181" s="71">
        <f t="shared" ref="AS181" si="418">SUM(AG181:AR181)</f>
        <v>1500000</v>
      </c>
      <c r="AT181" s="1130">
        <f>AG181*5/100</f>
        <v>75000</v>
      </c>
      <c r="AU181" s="70">
        <f t="shared" ref="AU181" si="419">SUM(AH181*14%)</f>
        <v>0</v>
      </c>
      <c r="AV181" s="70">
        <f t="shared" ref="AV181" si="420">SUM(AI181*14%)</f>
        <v>0</v>
      </c>
      <c r="AW181" s="70">
        <f t="shared" ref="AW181" si="421">SUM(AJ181*14%)</f>
        <v>0</v>
      </c>
      <c r="AX181" s="70">
        <f t="shared" ref="AX181" si="422">SUM(AK181*14%)</f>
        <v>0</v>
      </c>
      <c r="AY181" s="70">
        <f t="shared" ref="AY181" si="423">SUM(AL181*14%)</f>
        <v>0</v>
      </c>
      <c r="AZ181" s="70">
        <f t="shared" ref="AZ181" si="424">SUM(AM181*14%)</f>
        <v>0</v>
      </c>
      <c r="BA181" s="70">
        <f t="shared" ref="BA181" si="425">SUM(AN181*14%)</f>
        <v>0</v>
      </c>
      <c r="BB181" s="70">
        <f t="shared" ref="BB181" si="426">SUM(AO181*14%)</f>
        <v>0</v>
      </c>
      <c r="BC181" s="70">
        <f t="shared" ref="BC181" si="427">SUM(AP181*14%)</f>
        <v>0</v>
      </c>
      <c r="BD181" s="70">
        <f t="shared" ref="BD181" si="428">SUM(AQ181*14%)</f>
        <v>0</v>
      </c>
      <c r="BE181" s="70">
        <f t="shared" ref="BE181" si="429">SUM(AR181*14%)</f>
        <v>0</v>
      </c>
      <c r="BF181" s="72">
        <f t="shared" ref="BF181" si="430">SUM(AT181:BE181)</f>
        <v>75000</v>
      </c>
      <c r="BG181" s="73">
        <f t="shared" si="398"/>
        <v>0</v>
      </c>
      <c r="BH181" s="74">
        <f t="shared" ref="BH181" si="431">S181*D181</f>
        <v>1500000</v>
      </c>
      <c r="BI181" s="75">
        <f>BH181-AS181</f>
        <v>0</v>
      </c>
      <c r="BJ181" s="175">
        <f t="shared" ref="BJ181" si="432">SUM(Q181/D181)</f>
        <v>1</v>
      </c>
      <c r="BK181" s="1081"/>
      <c r="BL181" s="1081"/>
      <c r="BM181" s="1083"/>
      <c r="BN181" s="1084"/>
      <c r="BO181" s="862"/>
      <c r="BP181" s="862"/>
      <c r="BQ181" s="862"/>
      <c r="BR181" s="862"/>
      <c r="BS181" s="862"/>
      <c r="BT181" s="862"/>
      <c r="BU181" s="862"/>
      <c r="BV181" s="862"/>
      <c r="BW181" s="1081">
        <f t="shared" si="401"/>
        <v>0</v>
      </c>
      <c r="BX181" s="862"/>
      <c r="BY181" s="862"/>
      <c r="BZ181" s="862"/>
      <c r="CA181" s="73">
        <f t="shared" si="402"/>
        <v>0</v>
      </c>
      <c r="CB181" s="862"/>
      <c r="CC181" s="862"/>
      <c r="CD181" s="862"/>
      <c r="CE181" s="862"/>
      <c r="CF181" s="862"/>
      <c r="CG181" s="862"/>
      <c r="CH181" s="862"/>
      <c r="CI181" s="862"/>
      <c r="CJ181" s="1081"/>
      <c r="CK181" s="862"/>
      <c r="CL181" s="862"/>
      <c r="CM181" s="862"/>
      <c r="CN181" s="73">
        <f t="shared" si="403"/>
        <v>0</v>
      </c>
    </row>
    <row r="182" spans="1:98" s="7" customFormat="1" ht="24.75" customHeight="1" x14ac:dyDescent="0.2">
      <c r="A182" s="41"/>
      <c r="B182" s="141" t="s">
        <v>104</v>
      </c>
      <c r="C182" s="29" t="s">
        <v>25</v>
      </c>
      <c r="D182" s="555">
        <v>3</v>
      </c>
      <c r="E182" s="1320">
        <v>3</v>
      </c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1">
        <f t="shared" si="352"/>
        <v>3</v>
      </c>
      <c r="R182" s="83" t="s">
        <v>107</v>
      </c>
      <c r="S182" s="142">
        <v>450000</v>
      </c>
      <c r="T182" s="1323">
        <v>450000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69">
        <f t="shared" si="353"/>
        <v>1350000</v>
      </c>
      <c r="AG182" s="1202">
        <f t="shared" si="354"/>
        <v>1350000</v>
      </c>
      <c r="AH182" s="70">
        <f t="shared" si="354"/>
        <v>0</v>
      </c>
      <c r="AI182" s="70">
        <f t="shared" si="354"/>
        <v>0</v>
      </c>
      <c r="AJ182" s="70">
        <f t="shared" si="355"/>
        <v>0</v>
      </c>
      <c r="AK182" s="70">
        <f t="shared" si="355"/>
        <v>0</v>
      </c>
      <c r="AL182" s="70">
        <f t="shared" si="355"/>
        <v>0</v>
      </c>
      <c r="AM182" s="70">
        <f t="shared" si="355"/>
        <v>0</v>
      </c>
      <c r="AN182" s="70">
        <f t="shared" si="355"/>
        <v>0</v>
      </c>
      <c r="AO182" s="70">
        <f t="shared" si="355"/>
        <v>0</v>
      </c>
      <c r="AP182" s="70">
        <f t="shared" si="355"/>
        <v>0</v>
      </c>
      <c r="AQ182" s="70">
        <f t="shared" si="355"/>
        <v>0</v>
      </c>
      <c r="AR182" s="70">
        <f t="shared" si="355"/>
        <v>0</v>
      </c>
      <c r="AS182" s="71">
        <f t="shared" si="356"/>
        <v>1350000</v>
      </c>
      <c r="AT182" s="1130">
        <f t="shared" ref="AT182:AT184" si="433">AG182*5/100</f>
        <v>67500</v>
      </c>
      <c r="AU182" s="70">
        <f t="shared" si="357"/>
        <v>0</v>
      </c>
      <c r="AV182" s="70">
        <f t="shared" si="358"/>
        <v>0</v>
      </c>
      <c r="AW182" s="70">
        <f t="shared" si="358"/>
        <v>0</v>
      </c>
      <c r="AX182" s="70">
        <f t="shared" si="358"/>
        <v>0</v>
      </c>
      <c r="AY182" s="70">
        <f t="shared" si="358"/>
        <v>0</v>
      </c>
      <c r="AZ182" s="70">
        <f t="shared" si="358"/>
        <v>0</v>
      </c>
      <c r="BA182" s="70">
        <f t="shared" si="358"/>
        <v>0</v>
      </c>
      <c r="BB182" s="70">
        <f t="shared" si="358"/>
        <v>0</v>
      </c>
      <c r="BC182" s="70">
        <f t="shared" si="358"/>
        <v>0</v>
      </c>
      <c r="BD182" s="70">
        <f t="shared" si="358"/>
        <v>0</v>
      </c>
      <c r="BE182" s="70">
        <f t="shared" si="358"/>
        <v>0</v>
      </c>
      <c r="BF182" s="72">
        <f t="shared" si="359"/>
        <v>67500</v>
      </c>
      <c r="BG182" s="73">
        <f t="shared" si="398"/>
        <v>0</v>
      </c>
      <c r="BH182" s="74">
        <f t="shared" si="360"/>
        <v>1350000</v>
      </c>
      <c r="BI182" s="75">
        <f>BH182-AS182</f>
        <v>0</v>
      </c>
      <c r="BJ182" s="175">
        <f t="shared" si="361"/>
        <v>1</v>
      </c>
      <c r="BK182" s="1081"/>
      <c r="BL182" s="1081"/>
      <c r="BM182" s="1083"/>
      <c r="BN182" s="1084"/>
      <c r="BO182" s="862"/>
      <c r="BP182" s="862"/>
      <c r="BQ182" s="862"/>
      <c r="BR182" s="862"/>
      <c r="BS182" s="862"/>
      <c r="BT182" s="862"/>
      <c r="BU182" s="862"/>
      <c r="BV182" s="862"/>
      <c r="BW182" s="1081">
        <f t="shared" si="401"/>
        <v>0</v>
      </c>
      <c r="BX182" s="862"/>
      <c r="BY182" s="862"/>
      <c r="BZ182" s="862"/>
      <c r="CA182" s="73">
        <f t="shared" si="402"/>
        <v>0</v>
      </c>
      <c r="CB182" s="862"/>
      <c r="CC182" s="862"/>
      <c r="CD182" s="862"/>
      <c r="CE182" s="862"/>
      <c r="CF182" s="862"/>
      <c r="CG182" s="862"/>
      <c r="CH182" s="862"/>
      <c r="CI182" s="862"/>
      <c r="CJ182" s="1081"/>
      <c r="CK182" s="862"/>
      <c r="CL182" s="862"/>
      <c r="CM182" s="862"/>
      <c r="CN182" s="73">
        <f t="shared" si="403"/>
        <v>0</v>
      </c>
    </row>
    <row r="183" spans="1:98" s="7" customFormat="1" ht="24.75" customHeight="1" x14ac:dyDescent="0.2">
      <c r="A183" s="41"/>
      <c r="B183" s="141" t="s">
        <v>105</v>
      </c>
      <c r="C183" s="29" t="s">
        <v>25</v>
      </c>
      <c r="D183" s="555">
        <v>3</v>
      </c>
      <c r="E183" s="1320">
        <v>3</v>
      </c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1">
        <f t="shared" si="352"/>
        <v>3</v>
      </c>
      <c r="R183" s="83" t="s">
        <v>107</v>
      </c>
      <c r="S183" s="142">
        <v>400000</v>
      </c>
      <c r="T183" s="1323">
        <v>400000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69">
        <f t="shared" si="353"/>
        <v>1200000</v>
      </c>
      <c r="AG183" s="1202">
        <f t="shared" si="354"/>
        <v>1200000</v>
      </c>
      <c r="AH183" s="70">
        <f t="shared" si="354"/>
        <v>0</v>
      </c>
      <c r="AI183" s="70">
        <f t="shared" si="354"/>
        <v>0</v>
      </c>
      <c r="AJ183" s="70">
        <f t="shared" si="355"/>
        <v>0</v>
      </c>
      <c r="AK183" s="70">
        <f t="shared" si="355"/>
        <v>0</v>
      </c>
      <c r="AL183" s="70">
        <f t="shared" si="355"/>
        <v>0</v>
      </c>
      <c r="AM183" s="70">
        <f t="shared" si="355"/>
        <v>0</v>
      </c>
      <c r="AN183" s="70">
        <f t="shared" si="355"/>
        <v>0</v>
      </c>
      <c r="AO183" s="70">
        <f t="shared" si="355"/>
        <v>0</v>
      </c>
      <c r="AP183" s="70">
        <f t="shared" si="355"/>
        <v>0</v>
      </c>
      <c r="AQ183" s="70">
        <f t="shared" si="355"/>
        <v>0</v>
      </c>
      <c r="AR183" s="70">
        <f t="shared" si="355"/>
        <v>0</v>
      </c>
      <c r="AS183" s="71">
        <f t="shared" si="356"/>
        <v>1200000</v>
      </c>
      <c r="AT183" s="1130">
        <f t="shared" si="433"/>
        <v>60000</v>
      </c>
      <c r="AU183" s="70">
        <f t="shared" si="357"/>
        <v>0</v>
      </c>
      <c r="AV183" s="70">
        <f t="shared" si="358"/>
        <v>0</v>
      </c>
      <c r="AW183" s="70">
        <f t="shared" si="358"/>
        <v>0</v>
      </c>
      <c r="AX183" s="70">
        <f t="shared" si="358"/>
        <v>0</v>
      </c>
      <c r="AY183" s="70">
        <f t="shared" si="358"/>
        <v>0</v>
      </c>
      <c r="AZ183" s="70">
        <f t="shared" si="358"/>
        <v>0</v>
      </c>
      <c r="BA183" s="70">
        <f t="shared" si="358"/>
        <v>0</v>
      </c>
      <c r="BB183" s="70">
        <f t="shared" si="358"/>
        <v>0</v>
      </c>
      <c r="BC183" s="70">
        <f t="shared" si="358"/>
        <v>0</v>
      </c>
      <c r="BD183" s="70">
        <f t="shared" si="358"/>
        <v>0</v>
      </c>
      <c r="BE183" s="70">
        <f t="shared" si="358"/>
        <v>0</v>
      </c>
      <c r="BF183" s="72">
        <f t="shared" si="359"/>
        <v>60000</v>
      </c>
      <c r="BG183" s="73">
        <f t="shared" si="398"/>
        <v>0</v>
      </c>
      <c r="BH183" s="74">
        <f t="shared" si="360"/>
        <v>1200000</v>
      </c>
      <c r="BI183" s="75">
        <f>BH183-AS183</f>
        <v>0</v>
      </c>
      <c r="BJ183" s="175">
        <f t="shared" si="361"/>
        <v>1</v>
      </c>
      <c r="BK183" s="1081"/>
      <c r="BL183" s="1081"/>
      <c r="BM183" s="1083"/>
      <c r="BN183" s="1084"/>
      <c r="BO183" s="862"/>
      <c r="BP183" s="862"/>
      <c r="BQ183" s="862"/>
      <c r="BR183" s="862"/>
      <c r="BS183" s="862"/>
      <c r="BT183" s="862"/>
      <c r="BU183" s="862"/>
      <c r="BV183" s="862"/>
      <c r="BW183" s="1081">
        <f t="shared" si="401"/>
        <v>0</v>
      </c>
      <c r="BX183" s="862"/>
      <c r="BY183" s="862"/>
      <c r="BZ183" s="862"/>
      <c r="CA183" s="73">
        <f t="shared" si="402"/>
        <v>0</v>
      </c>
      <c r="CB183" s="862"/>
      <c r="CC183" s="862"/>
      <c r="CD183" s="862"/>
      <c r="CE183" s="862"/>
      <c r="CF183" s="862"/>
      <c r="CG183" s="862"/>
      <c r="CH183" s="862"/>
      <c r="CI183" s="862"/>
      <c r="CJ183" s="1081"/>
      <c r="CK183" s="862"/>
      <c r="CL183" s="862"/>
      <c r="CM183" s="862"/>
      <c r="CN183" s="73">
        <f t="shared" si="403"/>
        <v>0</v>
      </c>
    </row>
    <row r="184" spans="1:98" s="7" customFormat="1" ht="24.75" customHeight="1" thickBot="1" x14ac:dyDescent="0.25">
      <c r="A184" s="41"/>
      <c r="B184" s="141" t="s">
        <v>106</v>
      </c>
      <c r="C184" s="29" t="s">
        <v>25</v>
      </c>
      <c r="D184" s="555">
        <v>18</v>
      </c>
      <c r="E184" s="1321">
        <v>18</v>
      </c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1">
        <f t="shared" si="352"/>
        <v>18</v>
      </c>
      <c r="R184" s="83" t="s">
        <v>107</v>
      </c>
      <c r="S184" s="142">
        <v>300000</v>
      </c>
      <c r="T184" s="1323">
        <v>300000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69">
        <f t="shared" si="353"/>
        <v>5400000</v>
      </c>
      <c r="AG184" s="1202">
        <f t="shared" si="354"/>
        <v>5400000</v>
      </c>
      <c r="AH184" s="70">
        <f t="shared" si="354"/>
        <v>0</v>
      </c>
      <c r="AI184" s="70">
        <f t="shared" si="354"/>
        <v>0</v>
      </c>
      <c r="AJ184" s="70">
        <f t="shared" si="355"/>
        <v>0</v>
      </c>
      <c r="AK184" s="70">
        <f t="shared" si="355"/>
        <v>0</v>
      </c>
      <c r="AL184" s="70">
        <f t="shared" si="355"/>
        <v>0</v>
      </c>
      <c r="AM184" s="70">
        <f t="shared" si="355"/>
        <v>0</v>
      </c>
      <c r="AN184" s="70">
        <f t="shared" si="355"/>
        <v>0</v>
      </c>
      <c r="AO184" s="70">
        <f t="shared" si="355"/>
        <v>0</v>
      </c>
      <c r="AP184" s="70">
        <f t="shared" si="355"/>
        <v>0</v>
      </c>
      <c r="AQ184" s="70">
        <f t="shared" si="355"/>
        <v>0</v>
      </c>
      <c r="AR184" s="70">
        <f t="shared" si="355"/>
        <v>0</v>
      </c>
      <c r="AS184" s="71">
        <f t="shared" si="356"/>
        <v>5400000</v>
      </c>
      <c r="AT184" s="1130">
        <f t="shared" si="433"/>
        <v>270000</v>
      </c>
      <c r="AU184" s="70">
        <f t="shared" si="357"/>
        <v>0</v>
      </c>
      <c r="AV184" s="70">
        <f t="shared" si="358"/>
        <v>0</v>
      </c>
      <c r="AW184" s="70">
        <f t="shared" si="358"/>
        <v>0</v>
      </c>
      <c r="AX184" s="70">
        <f t="shared" si="358"/>
        <v>0</v>
      </c>
      <c r="AY184" s="70">
        <f t="shared" si="358"/>
        <v>0</v>
      </c>
      <c r="AZ184" s="70">
        <f t="shared" si="358"/>
        <v>0</v>
      </c>
      <c r="BA184" s="70">
        <f t="shared" si="358"/>
        <v>0</v>
      </c>
      <c r="BB184" s="70">
        <f t="shared" si="358"/>
        <v>0</v>
      </c>
      <c r="BC184" s="70">
        <f t="shared" si="358"/>
        <v>0</v>
      </c>
      <c r="BD184" s="70">
        <f t="shared" si="358"/>
        <v>0</v>
      </c>
      <c r="BE184" s="70">
        <f t="shared" si="358"/>
        <v>0</v>
      </c>
      <c r="BF184" s="72">
        <f t="shared" si="359"/>
        <v>270000</v>
      </c>
      <c r="BG184" s="73">
        <f t="shared" si="398"/>
        <v>0</v>
      </c>
      <c r="BH184" s="74">
        <f t="shared" si="360"/>
        <v>5400000</v>
      </c>
      <c r="BI184" s="75">
        <f>BH184-AS184</f>
        <v>0</v>
      </c>
      <c r="BJ184" s="175">
        <f t="shared" si="361"/>
        <v>1</v>
      </c>
      <c r="BK184" s="1081"/>
      <c r="BL184" s="1081"/>
      <c r="BM184" s="1083"/>
      <c r="BN184" s="1084"/>
      <c r="BO184" s="862"/>
      <c r="BP184" s="862"/>
      <c r="BQ184" s="862"/>
      <c r="BR184" s="862"/>
      <c r="BS184" s="862"/>
      <c r="BT184" s="862"/>
      <c r="BU184" s="862"/>
      <c r="BV184" s="862"/>
      <c r="BW184" s="1081">
        <f t="shared" si="401"/>
        <v>0</v>
      </c>
      <c r="BX184" s="862"/>
      <c r="BY184" s="862"/>
      <c r="BZ184" s="862"/>
      <c r="CA184" s="73">
        <f t="shared" si="402"/>
        <v>0</v>
      </c>
      <c r="CB184" s="862"/>
      <c r="CC184" s="862"/>
      <c r="CD184" s="862"/>
      <c r="CE184" s="862"/>
      <c r="CF184" s="862"/>
      <c r="CG184" s="862"/>
      <c r="CH184" s="862"/>
      <c r="CI184" s="862"/>
      <c r="CJ184" s="1081"/>
      <c r="CK184" s="862"/>
      <c r="CL184" s="862"/>
      <c r="CM184" s="862"/>
      <c r="CN184" s="73">
        <f t="shared" si="403"/>
        <v>0</v>
      </c>
    </row>
    <row r="185" spans="1:98" s="38" customFormat="1" ht="24.75" customHeight="1" thickBot="1" x14ac:dyDescent="0.25">
      <c r="A185" s="554">
        <v>17</v>
      </c>
      <c r="B185" s="44" t="s">
        <v>4</v>
      </c>
      <c r="C185" s="44"/>
      <c r="D185" s="227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7"/>
      <c r="R185" s="77"/>
      <c r="S185" s="45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78">
        <f t="shared" ref="AF185:BF185" si="434">SUM(AF177:AF184)</f>
        <v>11216700</v>
      </c>
      <c r="AG185" s="78">
        <f>SUM(AG177:AG184)-1000000</f>
        <v>10194500</v>
      </c>
      <c r="AH185" s="78">
        <f t="shared" si="434"/>
        <v>0</v>
      </c>
      <c r="AI185" s="78">
        <f t="shared" si="434"/>
        <v>0</v>
      </c>
      <c r="AJ185" s="78">
        <f t="shared" ref="AJ185:AR185" si="435">SUM(AJ177:AJ184)</f>
        <v>0</v>
      </c>
      <c r="AK185" s="78">
        <f t="shared" si="435"/>
        <v>0</v>
      </c>
      <c r="AL185" s="78">
        <f t="shared" si="435"/>
        <v>0</v>
      </c>
      <c r="AM185" s="78">
        <f t="shared" si="435"/>
        <v>0</v>
      </c>
      <c r="AN185" s="78">
        <f t="shared" si="435"/>
        <v>0</v>
      </c>
      <c r="AO185" s="78">
        <f t="shared" si="435"/>
        <v>0</v>
      </c>
      <c r="AP185" s="78">
        <f t="shared" si="435"/>
        <v>0</v>
      </c>
      <c r="AQ185" s="78">
        <f t="shared" si="435"/>
        <v>0</v>
      </c>
      <c r="AR185" s="78">
        <f t="shared" si="435"/>
        <v>0</v>
      </c>
      <c r="AS185" s="78">
        <f>SUM(AS177:AS184)-1000000</f>
        <v>10194500</v>
      </c>
      <c r="AT185" s="78">
        <f t="shared" ref="AT185:AU185" si="436">SUM(AT177:AT184)</f>
        <v>507390</v>
      </c>
      <c r="AU185" s="78">
        <f t="shared" si="436"/>
        <v>0</v>
      </c>
      <c r="AV185" s="78">
        <f t="shared" ref="AV185:BE185" si="437">SUM(AV177:AV184)</f>
        <v>0</v>
      </c>
      <c r="AW185" s="78">
        <f t="shared" si="437"/>
        <v>0</v>
      </c>
      <c r="AX185" s="78">
        <f t="shared" si="437"/>
        <v>0</v>
      </c>
      <c r="AY185" s="78">
        <f t="shared" si="437"/>
        <v>0</v>
      </c>
      <c r="AZ185" s="78">
        <f t="shared" si="437"/>
        <v>0</v>
      </c>
      <c r="BA185" s="78">
        <f t="shared" si="437"/>
        <v>0</v>
      </c>
      <c r="BB185" s="78">
        <f t="shared" si="437"/>
        <v>0</v>
      </c>
      <c r="BC185" s="78">
        <f t="shared" si="437"/>
        <v>0</v>
      </c>
      <c r="BD185" s="78">
        <f t="shared" si="437"/>
        <v>0</v>
      </c>
      <c r="BE185" s="78">
        <f t="shared" si="437"/>
        <v>0</v>
      </c>
      <c r="BF185" s="78">
        <f t="shared" si="434"/>
        <v>507390</v>
      </c>
      <c r="BG185" s="79">
        <f>SUM(BG177:BG184)</f>
        <v>22200</v>
      </c>
      <c r="BH185" s="78">
        <f>SUM(BH177:BH184)</f>
        <v>11216700</v>
      </c>
      <c r="BI185" s="78">
        <f>SUM(BI177:BI184)</f>
        <v>22200</v>
      </c>
      <c r="BJ185" s="176">
        <f>SUM(BJ177:BJ184)/7</f>
        <v>1</v>
      </c>
      <c r="BK185" s="1081"/>
      <c r="BL185" s="1081"/>
      <c r="BM185" s="1083">
        <f>SUM(BM177:BM184)</f>
        <v>159640</v>
      </c>
      <c r="BN185" s="1084"/>
      <c r="BO185" s="862"/>
      <c r="BP185" s="862"/>
      <c r="BQ185" s="862"/>
      <c r="BR185" s="862"/>
      <c r="BS185" s="862"/>
      <c r="BT185" s="862"/>
      <c r="BU185" s="862"/>
      <c r="BV185" s="862"/>
      <c r="BW185" s="1081">
        <f t="shared" si="401"/>
        <v>0</v>
      </c>
      <c r="BX185" s="862"/>
      <c r="BY185" s="862"/>
      <c r="BZ185" s="862"/>
      <c r="CA185" s="73">
        <f t="shared" si="402"/>
        <v>0</v>
      </c>
      <c r="CB185" s="862"/>
      <c r="CC185" s="862"/>
      <c r="CD185" s="862"/>
      <c r="CE185" s="862"/>
      <c r="CF185" s="862"/>
      <c r="CG185" s="862"/>
      <c r="CH185" s="862"/>
      <c r="CI185" s="862"/>
      <c r="CJ185" s="1081"/>
      <c r="CK185" s="862"/>
      <c r="CL185" s="862"/>
      <c r="CM185" s="862"/>
      <c r="CN185" s="73">
        <f t="shared" si="403"/>
        <v>0</v>
      </c>
    </row>
    <row r="186" spans="1:98" s="20" customFormat="1" ht="24.75" customHeight="1" x14ac:dyDescent="0.2">
      <c r="A186" s="50"/>
      <c r="D186" s="22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AE186" s="40"/>
      <c r="AS186" s="51"/>
      <c r="BF186" s="52">
        <f>SUM(AS185+BF185)</f>
        <v>10701890</v>
      </c>
      <c r="BG186" s="53">
        <f>AF185-AS185</f>
        <v>1022200</v>
      </c>
      <c r="BH186" s="54">
        <f>SUM(BI185+AS185)</f>
        <v>10216700</v>
      </c>
      <c r="BI186" s="55">
        <f>SUM(BG185)</f>
        <v>22200</v>
      </c>
      <c r="BJ186" s="40" t="s">
        <v>38</v>
      </c>
      <c r="BK186" s="40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</row>
    <row r="187" spans="1:98" s="20" customFormat="1" ht="24.75" customHeight="1" x14ac:dyDescent="0.2">
      <c r="A187" s="50"/>
      <c r="D187" s="22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AE187" s="40"/>
      <c r="AS187" s="40"/>
      <c r="AT187" s="123"/>
      <c r="AU187" s="123">
        <f t="shared" ref="AU187:BE187" si="438">SUM(AH185+AU185)</f>
        <v>0</v>
      </c>
      <c r="AV187" s="123">
        <f t="shared" si="438"/>
        <v>0</v>
      </c>
      <c r="AW187" s="123">
        <f t="shared" si="438"/>
        <v>0</v>
      </c>
      <c r="AX187" s="123">
        <f t="shared" si="438"/>
        <v>0</v>
      </c>
      <c r="AY187" s="123">
        <f t="shared" si="438"/>
        <v>0</v>
      </c>
      <c r="AZ187" s="123">
        <f t="shared" si="438"/>
        <v>0</v>
      </c>
      <c r="BA187" s="123">
        <f t="shared" si="438"/>
        <v>0</v>
      </c>
      <c r="BB187" s="123">
        <f t="shared" si="438"/>
        <v>0</v>
      </c>
      <c r="BC187" s="123">
        <f t="shared" si="438"/>
        <v>0</v>
      </c>
      <c r="BD187" s="123">
        <f t="shared" si="438"/>
        <v>0</v>
      </c>
      <c r="BE187" s="123">
        <f t="shared" si="438"/>
        <v>0</v>
      </c>
      <c r="BF187" s="123">
        <f>SUM(AT187:BE187)</f>
        <v>0</v>
      </c>
      <c r="BG187" s="40"/>
      <c r="BH187" s="1303">
        <f>SUM(BH185-BH186)</f>
        <v>1000000</v>
      </c>
      <c r="BI187" s="57">
        <f>SUM(BI185-BI186)</f>
        <v>0</v>
      </c>
      <c r="BJ187" s="40" t="s">
        <v>37</v>
      </c>
      <c r="BK187" s="40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</row>
    <row r="188" spans="1:98" s="20" customFormat="1" ht="16.5" customHeight="1" x14ac:dyDescent="0.2">
      <c r="A188" s="1730" t="s">
        <v>8</v>
      </c>
      <c r="B188" s="1731"/>
      <c r="C188" s="124" t="s">
        <v>317</v>
      </c>
      <c r="D188" s="224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7"/>
      <c r="AF188" s="23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8"/>
      <c r="AT188" s="136"/>
      <c r="AU188" s="136"/>
      <c r="AV188" s="136"/>
      <c r="AW188" s="136"/>
      <c r="AX188" s="136"/>
      <c r="AY188" s="432"/>
      <c r="AZ188" s="136"/>
      <c r="BA188" s="136"/>
      <c r="BB188" s="136"/>
      <c r="BC188" s="136"/>
      <c r="BD188" s="136"/>
      <c r="BE188" s="136"/>
      <c r="BF188" s="138"/>
      <c r="BG188" s="138"/>
      <c r="BH188" s="135"/>
      <c r="BI188" s="139"/>
      <c r="BJ188" s="135"/>
      <c r="BK188" s="136"/>
      <c r="BL188" s="136"/>
      <c r="BM188" s="136"/>
      <c r="BN188" s="136"/>
      <c r="BO188" s="136"/>
      <c r="BP188" s="137"/>
      <c r="BQ188" s="136"/>
      <c r="BR188" s="136"/>
      <c r="BS188" s="136"/>
      <c r="BT188" s="136"/>
      <c r="BU188" s="136"/>
      <c r="BV188" s="138"/>
      <c r="BW188" s="138"/>
      <c r="BX188" s="138"/>
      <c r="BY188" s="135"/>
      <c r="BZ188" s="139"/>
      <c r="CA188" s="138"/>
      <c r="CB188" s="138"/>
      <c r="CC188" s="24"/>
      <c r="CD188" s="24"/>
      <c r="CE188" s="24"/>
      <c r="CF188" s="24"/>
      <c r="CG188" s="24"/>
      <c r="CH188" s="140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</row>
    <row r="189" spans="1:98" s="8" customFormat="1" ht="48.75" customHeight="1" x14ac:dyDescent="0.2">
      <c r="A189" s="1703" t="s">
        <v>10</v>
      </c>
      <c r="B189" s="1706" t="s">
        <v>11</v>
      </c>
      <c r="C189" s="1706" t="s">
        <v>22</v>
      </c>
      <c r="D189" s="1721" t="s">
        <v>12</v>
      </c>
      <c r="E189" s="1721"/>
      <c r="F189" s="1721"/>
      <c r="G189" s="1721"/>
      <c r="H189" s="1721"/>
      <c r="I189" s="1721"/>
      <c r="J189" s="1721"/>
      <c r="K189" s="1721"/>
      <c r="L189" s="1721"/>
      <c r="M189" s="1721"/>
      <c r="N189" s="1721"/>
      <c r="O189" s="1721"/>
      <c r="P189" s="1721"/>
      <c r="Q189" s="1721"/>
      <c r="R189" s="1706" t="s">
        <v>20</v>
      </c>
      <c r="S189" s="1717" t="s">
        <v>17</v>
      </c>
      <c r="T189" s="1718"/>
      <c r="U189" s="1718"/>
      <c r="V189" s="1718"/>
      <c r="W189" s="1718"/>
      <c r="X189" s="1718"/>
      <c r="Y189" s="1718"/>
      <c r="Z189" s="1718"/>
      <c r="AA189" s="1718"/>
      <c r="AB189" s="1718"/>
      <c r="AC189" s="1718"/>
      <c r="AD189" s="1718"/>
      <c r="AE189" s="1719"/>
      <c r="AF189" s="1720" t="s">
        <v>6</v>
      </c>
      <c r="AG189" s="1720"/>
      <c r="AH189" s="1720"/>
      <c r="AI189" s="1720"/>
      <c r="AJ189" s="1720"/>
      <c r="AK189" s="1720"/>
      <c r="AL189" s="1720"/>
      <c r="AM189" s="1720"/>
      <c r="AN189" s="1720"/>
      <c r="AO189" s="1720"/>
      <c r="AP189" s="1720"/>
      <c r="AQ189" s="1720"/>
      <c r="AR189" s="1720"/>
      <c r="AS189" s="1720"/>
      <c r="AT189" s="1722" t="s">
        <v>41</v>
      </c>
      <c r="AU189" s="1723"/>
      <c r="AV189" s="1723"/>
      <c r="AW189" s="1723"/>
      <c r="AX189" s="1723"/>
      <c r="AY189" s="1723"/>
      <c r="AZ189" s="1723"/>
      <c r="BA189" s="1723"/>
      <c r="BB189" s="1723"/>
      <c r="BC189" s="1723"/>
      <c r="BD189" s="1723"/>
      <c r="BE189" s="1723"/>
      <c r="BF189" s="1724"/>
      <c r="BG189" s="1706" t="s">
        <v>38</v>
      </c>
      <c r="BH189" s="1706" t="s">
        <v>256</v>
      </c>
      <c r="BI189" s="1709" t="s">
        <v>39</v>
      </c>
      <c r="BJ189" s="135"/>
      <c r="BK189" s="135"/>
      <c r="BL189" s="135"/>
      <c r="BM189" s="135"/>
      <c r="BN189" s="135"/>
      <c r="BO189" s="1733" t="s">
        <v>41</v>
      </c>
      <c r="BP189" s="1734"/>
      <c r="BQ189" s="1734"/>
      <c r="BR189" s="1734"/>
      <c r="BS189" s="1734"/>
      <c r="BT189" s="1734"/>
      <c r="BU189" s="1734"/>
      <c r="BV189" s="1734"/>
      <c r="BW189" s="1734"/>
      <c r="BX189" s="1734"/>
      <c r="BY189" s="1734"/>
      <c r="BZ189" s="1734"/>
      <c r="CA189" s="1734"/>
      <c r="CB189" s="1734"/>
      <c r="CC189" s="1734"/>
      <c r="CD189" s="1734"/>
      <c r="CE189" s="1734"/>
      <c r="CF189" s="1734"/>
      <c r="CG189" s="1734"/>
      <c r="CH189" s="1734"/>
      <c r="CI189" s="1734"/>
      <c r="CJ189" s="1734"/>
      <c r="CK189" s="1734"/>
      <c r="CL189" s="1734"/>
      <c r="CM189" s="1734"/>
      <c r="CN189" s="1735"/>
    </row>
    <row r="190" spans="1:98" s="8" customFormat="1" ht="48.75" customHeight="1" x14ac:dyDescent="0.2">
      <c r="A190" s="1704"/>
      <c r="B190" s="1707"/>
      <c r="C190" s="1707"/>
      <c r="D190" s="1728" t="s">
        <v>18</v>
      </c>
      <c r="E190" s="1714" t="s">
        <v>19</v>
      </c>
      <c r="F190" s="1715"/>
      <c r="G190" s="1715"/>
      <c r="H190" s="1715"/>
      <c r="I190" s="1715"/>
      <c r="J190" s="1715"/>
      <c r="K190" s="1715"/>
      <c r="L190" s="1715"/>
      <c r="M190" s="1715"/>
      <c r="N190" s="1715"/>
      <c r="O190" s="1715"/>
      <c r="P190" s="1715"/>
      <c r="Q190" s="1715"/>
      <c r="R190" s="1707"/>
      <c r="S190" s="1712" t="s">
        <v>18</v>
      </c>
      <c r="T190" s="1714" t="s">
        <v>19</v>
      </c>
      <c r="U190" s="1715"/>
      <c r="V190" s="1715"/>
      <c r="W190" s="1715"/>
      <c r="X190" s="1715"/>
      <c r="Y190" s="1715"/>
      <c r="Z190" s="1715"/>
      <c r="AA190" s="1715"/>
      <c r="AB190" s="1715"/>
      <c r="AC190" s="1715"/>
      <c r="AD190" s="1715"/>
      <c r="AE190" s="1716"/>
      <c r="AF190" s="1712" t="s">
        <v>18</v>
      </c>
      <c r="AG190" s="1714" t="s">
        <v>19</v>
      </c>
      <c r="AH190" s="1715"/>
      <c r="AI190" s="1715"/>
      <c r="AJ190" s="1715"/>
      <c r="AK190" s="1715"/>
      <c r="AL190" s="1715"/>
      <c r="AM190" s="1715"/>
      <c r="AN190" s="1715"/>
      <c r="AO190" s="1715"/>
      <c r="AP190" s="1715"/>
      <c r="AQ190" s="1715"/>
      <c r="AR190" s="1715"/>
      <c r="AS190" s="1716"/>
      <c r="AT190" s="1725"/>
      <c r="AU190" s="1726"/>
      <c r="AV190" s="1726"/>
      <c r="AW190" s="1726"/>
      <c r="AX190" s="1726"/>
      <c r="AY190" s="1726"/>
      <c r="AZ190" s="1726"/>
      <c r="BA190" s="1726"/>
      <c r="BB190" s="1726"/>
      <c r="BC190" s="1726"/>
      <c r="BD190" s="1726"/>
      <c r="BE190" s="1726"/>
      <c r="BF190" s="1727"/>
      <c r="BG190" s="1707"/>
      <c r="BH190" s="1707"/>
      <c r="BI190" s="1710"/>
      <c r="BJ190" s="135"/>
      <c r="BK190" s="1736">
        <f>SUM(BK192/60)</f>
        <v>14896</v>
      </c>
      <c r="BL190" s="1736"/>
      <c r="BM190" s="1736"/>
      <c r="BN190" s="23"/>
      <c r="BO190" s="1737" t="s">
        <v>686</v>
      </c>
      <c r="BP190" s="1738"/>
      <c r="BQ190" s="1738"/>
      <c r="BR190" s="1738"/>
      <c r="BS190" s="1738"/>
      <c r="BT190" s="1738"/>
      <c r="BU190" s="1738"/>
      <c r="BV190" s="1738"/>
      <c r="BW190" s="1738"/>
      <c r="BX190" s="1738"/>
      <c r="BY190" s="1738"/>
      <c r="BZ190" s="1738"/>
      <c r="CA190" s="1739"/>
      <c r="CB190" s="1740" t="s">
        <v>687</v>
      </c>
      <c r="CC190" s="1741"/>
      <c r="CD190" s="1741"/>
      <c r="CE190" s="1741"/>
      <c r="CF190" s="1741"/>
      <c r="CG190" s="1741"/>
      <c r="CH190" s="1741"/>
      <c r="CI190" s="1741"/>
      <c r="CJ190" s="1741"/>
      <c r="CK190" s="1741"/>
      <c r="CL190" s="1741"/>
      <c r="CM190" s="1741"/>
      <c r="CN190" s="1742"/>
    </row>
    <row r="191" spans="1:98" s="6" customFormat="1" ht="28.5" customHeight="1" x14ac:dyDescent="0.2">
      <c r="A191" s="1705"/>
      <c r="B191" s="1708"/>
      <c r="C191" s="1708"/>
      <c r="D191" s="1729"/>
      <c r="E191" s="26">
        <v>1</v>
      </c>
      <c r="F191" s="26">
        <v>2</v>
      </c>
      <c r="G191" s="26">
        <v>3</v>
      </c>
      <c r="H191" s="26">
        <v>4</v>
      </c>
      <c r="I191" s="26">
        <v>5</v>
      </c>
      <c r="J191" s="26">
        <v>6</v>
      </c>
      <c r="K191" s="26">
        <v>7</v>
      </c>
      <c r="L191" s="26">
        <v>8</v>
      </c>
      <c r="M191" s="26">
        <v>9</v>
      </c>
      <c r="N191" s="26">
        <v>10</v>
      </c>
      <c r="O191" s="26">
        <v>11</v>
      </c>
      <c r="P191" s="26">
        <v>12</v>
      </c>
      <c r="Q191" s="26" t="s">
        <v>21</v>
      </c>
      <c r="R191" s="1708"/>
      <c r="S191" s="1713"/>
      <c r="T191" s="26">
        <v>1</v>
      </c>
      <c r="U191" s="26">
        <v>2</v>
      </c>
      <c r="V191" s="26">
        <v>3</v>
      </c>
      <c r="W191" s="26">
        <v>4</v>
      </c>
      <c r="X191" s="26">
        <v>5</v>
      </c>
      <c r="Y191" s="26">
        <v>6</v>
      </c>
      <c r="Z191" s="26">
        <v>7</v>
      </c>
      <c r="AA191" s="26">
        <v>8</v>
      </c>
      <c r="AB191" s="26">
        <v>9</v>
      </c>
      <c r="AC191" s="26">
        <v>10</v>
      </c>
      <c r="AD191" s="26">
        <v>11</v>
      </c>
      <c r="AE191" s="26">
        <v>12</v>
      </c>
      <c r="AF191" s="1713"/>
      <c r="AG191" s="26">
        <v>1</v>
      </c>
      <c r="AH191" s="26">
        <v>2</v>
      </c>
      <c r="AI191" s="26">
        <v>3</v>
      </c>
      <c r="AJ191" s="26">
        <v>4</v>
      </c>
      <c r="AK191" s="26">
        <v>5</v>
      </c>
      <c r="AL191" s="26">
        <v>6</v>
      </c>
      <c r="AM191" s="26">
        <v>7</v>
      </c>
      <c r="AN191" s="26">
        <v>8</v>
      </c>
      <c r="AO191" s="26">
        <v>9</v>
      </c>
      <c r="AP191" s="26">
        <v>10</v>
      </c>
      <c r="AQ191" s="26">
        <v>11</v>
      </c>
      <c r="AR191" s="26">
        <v>12</v>
      </c>
      <c r="AS191" s="26" t="s">
        <v>13</v>
      </c>
      <c r="AT191" s="173">
        <v>1</v>
      </c>
      <c r="AU191" s="173">
        <v>2</v>
      </c>
      <c r="AV191" s="173">
        <v>3</v>
      </c>
      <c r="AW191" s="173">
        <v>4</v>
      </c>
      <c r="AX191" s="173">
        <v>5</v>
      </c>
      <c r="AY191" s="173">
        <v>6</v>
      </c>
      <c r="AZ191" s="173">
        <v>7</v>
      </c>
      <c r="BA191" s="173">
        <v>8</v>
      </c>
      <c r="BB191" s="173">
        <v>9</v>
      </c>
      <c r="BC191" s="173">
        <v>10</v>
      </c>
      <c r="BD191" s="173">
        <v>11</v>
      </c>
      <c r="BE191" s="173">
        <v>12</v>
      </c>
      <c r="BF191" s="26" t="s">
        <v>13</v>
      </c>
      <c r="BG191" s="1708"/>
      <c r="BH191" s="1708"/>
      <c r="BI191" s="1711"/>
      <c r="BJ191" s="7"/>
      <c r="BK191" s="1743" t="s">
        <v>19</v>
      </c>
      <c r="BL191" s="1744"/>
      <c r="BM191" s="1745"/>
      <c r="BN191" s="621"/>
      <c r="BO191" s="173">
        <v>1</v>
      </c>
      <c r="BP191" s="173">
        <v>2</v>
      </c>
      <c r="BQ191" s="173">
        <v>3</v>
      </c>
      <c r="BR191" s="173">
        <v>4</v>
      </c>
      <c r="BS191" s="173">
        <v>5</v>
      </c>
      <c r="BT191" s="173">
        <v>6</v>
      </c>
      <c r="BU191" s="173">
        <v>7</v>
      </c>
      <c r="BV191" s="173">
        <v>8</v>
      </c>
      <c r="BW191" s="173">
        <v>9</v>
      </c>
      <c r="BX191" s="173">
        <v>10</v>
      </c>
      <c r="BY191" s="173">
        <v>11</v>
      </c>
      <c r="BZ191" s="173">
        <v>12</v>
      </c>
      <c r="CA191" s="26" t="s">
        <v>13</v>
      </c>
      <c r="CB191" s="173">
        <v>1</v>
      </c>
      <c r="CC191" s="173">
        <v>2</v>
      </c>
      <c r="CD191" s="173">
        <v>3</v>
      </c>
      <c r="CE191" s="173">
        <v>4</v>
      </c>
      <c r="CF191" s="173">
        <v>5</v>
      </c>
      <c r="CG191" s="173">
        <v>6</v>
      </c>
      <c r="CH191" s="173">
        <v>7</v>
      </c>
      <c r="CI191" s="173">
        <v>8</v>
      </c>
      <c r="CJ191" s="173">
        <v>9</v>
      </c>
      <c r="CK191" s="173">
        <v>10</v>
      </c>
      <c r="CL191" s="173">
        <v>11</v>
      </c>
      <c r="CM191" s="173">
        <v>12</v>
      </c>
      <c r="CN191" s="26" t="s">
        <v>13</v>
      </c>
    </row>
    <row r="192" spans="1:98" s="7" customFormat="1" ht="24.75" customHeight="1" x14ac:dyDescent="0.2">
      <c r="A192" s="41"/>
      <c r="B192" s="141" t="s">
        <v>102</v>
      </c>
      <c r="C192" s="29" t="s">
        <v>25</v>
      </c>
      <c r="D192" s="555">
        <v>1600</v>
      </c>
      <c r="E192" s="1320">
        <v>1600</v>
      </c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1">
        <f t="shared" ref="Q192:Q198" si="439">SUM(E192:P192)</f>
        <v>1600</v>
      </c>
      <c r="R192" s="83" t="s">
        <v>7</v>
      </c>
      <c r="S192" s="142">
        <v>570</v>
      </c>
      <c r="T192" s="1322">
        <v>570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69">
        <f t="shared" ref="AF192:AF198" si="440">SUM(Q192*S192)</f>
        <v>912000</v>
      </c>
      <c r="AG192" s="1202">
        <f t="shared" ref="AG192:AG198" si="441">T192*E192</f>
        <v>912000</v>
      </c>
      <c r="AH192" s="70">
        <f t="shared" ref="AH192:AH198" si="442">U192*F192</f>
        <v>0</v>
      </c>
      <c r="AI192" s="70">
        <f t="shared" ref="AI192:AI198" si="443">V192*G192</f>
        <v>0</v>
      </c>
      <c r="AJ192" s="70">
        <f t="shared" ref="AJ192:AJ198" si="444">W192*H192</f>
        <v>0</v>
      </c>
      <c r="AK192" s="70">
        <f t="shared" ref="AK192:AK198" si="445">X192*I192</f>
        <v>0</v>
      </c>
      <c r="AL192" s="70">
        <f t="shared" ref="AL192:AL198" si="446">Y192*J192</f>
        <v>0</v>
      </c>
      <c r="AM192" s="70">
        <f t="shared" ref="AM192:AM198" si="447">Z192*K192</f>
        <v>0</v>
      </c>
      <c r="AN192" s="70">
        <f t="shared" ref="AN192:AN198" si="448">AA192*L192</f>
        <v>0</v>
      </c>
      <c r="AO192" s="70">
        <f t="shared" ref="AO192:AO198" si="449">AB192*M192</f>
        <v>0</v>
      </c>
      <c r="AP192" s="70">
        <f t="shared" ref="AP192:AP198" si="450">AC192*N192</f>
        <v>0</v>
      </c>
      <c r="AQ192" s="70">
        <f t="shared" ref="AQ192:AQ198" si="451">AD192*O192</f>
        <v>0</v>
      </c>
      <c r="AR192" s="70">
        <f t="shared" ref="AR192:AR198" si="452">AE192*P192</f>
        <v>0</v>
      </c>
      <c r="AS192" s="71">
        <f t="shared" ref="AS192:AS198" si="453">SUM(AG192:AR192)</f>
        <v>912000</v>
      </c>
      <c r="AT192" s="1130">
        <f>SUM(AG192*2%)</f>
        <v>18240</v>
      </c>
      <c r="AU192" s="70">
        <f t="shared" ref="AU192:AU194" si="454">SUM(AH192*14%)</f>
        <v>0</v>
      </c>
      <c r="AV192" s="70">
        <f t="shared" ref="AV192:AV198" si="455">SUM(AI192*14%)</f>
        <v>0</v>
      </c>
      <c r="AW192" s="70">
        <f t="shared" ref="AW192:AW198" si="456">SUM(AJ192*14%)</f>
        <v>0</v>
      </c>
      <c r="AX192" s="70">
        <f t="shared" ref="AX192:AX198" si="457">SUM(AK192*14%)</f>
        <v>0</v>
      </c>
      <c r="AY192" s="70">
        <f t="shared" ref="AY192:AY198" si="458">SUM(AL192*14%)</f>
        <v>0</v>
      </c>
      <c r="AZ192" s="70">
        <f t="shared" ref="AZ192:AZ198" si="459">SUM(AM192*14%)</f>
        <v>0</v>
      </c>
      <c r="BA192" s="70">
        <f t="shared" ref="BA192:BA198" si="460">SUM(AN192*14%)</f>
        <v>0</v>
      </c>
      <c r="BB192" s="70">
        <f t="shared" ref="BB192:BB198" si="461">SUM(AO192*14%)</f>
        <v>0</v>
      </c>
      <c r="BC192" s="70">
        <f t="shared" ref="BC192:BC198" si="462">SUM(AP192*14%)</f>
        <v>0</v>
      </c>
      <c r="BD192" s="70">
        <f t="shared" ref="BD192:BD198" si="463">SUM(AQ192*14%)</f>
        <v>0</v>
      </c>
      <c r="BE192" s="70">
        <f t="shared" ref="BE192:BE198" si="464">SUM(AR192*14%)</f>
        <v>0</v>
      </c>
      <c r="BF192" s="72">
        <f t="shared" ref="BF192:BF198" si="465">SUM(AT192:BE192)</f>
        <v>18240</v>
      </c>
      <c r="BG192" s="73">
        <f>AF192-AS192</f>
        <v>0</v>
      </c>
      <c r="BH192" s="74">
        <f t="shared" ref="BH192:BH198" si="466">S192*D192</f>
        <v>912000</v>
      </c>
      <c r="BI192" s="75">
        <f>BH192-AS192</f>
        <v>0</v>
      </c>
      <c r="BJ192" s="175">
        <f t="shared" ref="BJ192:BJ198" si="467">SUM(Q192/D192)</f>
        <v>1</v>
      </c>
      <c r="BK192" s="1081">
        <f>AG192-AT192</f>
        <v>893760</v>
      </c>
      <c r="BL192" s="1081">
        <f>1600*500</f>
        <v>800000</v>
      </c>
      <c r="BM192" s="1083">
        <f>BK192-BL192</f>
        <v>93760</v>
      </c>
      <c r="BN192" s="1084"/>
      <c r="BO192" s="862"/>
      <c r="BP192" s="862"/>
      <c r="BQ192" s="862"/>
      <c r="BR192" s="862"/>
      <c r="BS192" s="862"/>
      <c r="BT192" s="862"/>
      <c r="BU192" s="862"/>
      <c r="BV192" s="862"/>
      <c r="BW192" s="1081">
        <f t="shared" ref="BW192:BW193" si="468">SUM(AN192*12.5%)</f>
        <v>0</v>
      </c>
      <c r="BX192" s="862"/>
      <c r="BY192" s="862"/>
      <c r="BZ192" s="862"/>
      <c r="CA192" s="73">
        <f t="shared" ref="CA192" si="469">SUM(BO192:BZ192)</f>
        <v>0</v>
      </c>
      <c r="CB192" s="862"/>
      <c r="CC192" s="862"/>
      <c r="CD192" s="862"/>
      <c r="CE192" s="862"/>
      <c r="CF192" s="862"/>
      <c r="CG192" s="862"/>
      <c r="CH192" s="862"/>
      <c r="CI192" s="862"/>
      <c r="CJ192" s="1081"/>
      <c r="CK192" s="862"/>
      <c r="CL192" s="862"/>
      <c r="CM192" s="862"/>
      <c r="CN192" s="73">
        <f t="shared" ref="CN192:CN193" si="470">SUM(CB192:CM192)</f>
        <v>0</v>
      </c>
    </row>
    <row r="193" spans="1:98" s="7" customFormat="1" ht="24.75" customHeight="1" x14ac:dyDescent="0.2">
      <c r="A193" s="41"/>
      <c r="B193" s="141" t="s">
        <v>95</v>
      </c>
      <c r="C193" s="29" t="s">
        <v>25</v>
      </c>
      <c r="D193" s="555">
        <v>3</v>
      </c>
      <c r="E193" s="1320">
        <v>3</v>
      </c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1">
        <f t="shared" si="439"/>
        <v>3</v>
      </c>
      <c r="R193" s="83" t="s">
        <v>96</v>
      </c>
      <c r="S193" s="142">
        <v>28400</v>
      </c>
      <c r="T193" s="1322">
        <v>25500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69">
        <f t="shared" si="440"/>
        <v>85200</v>
      </c>
      <c r="AG193" s="1202">
        <f t="shared" si="441"/>
        <v>76500</v>
      </c>
      <c r="AH193" s="70">
        <f t="shared" si="442"/>
        <v>0</v>
      </c>
      <c r="AI193" s="70">
        <f t="shared" si="443"/>
        <v>0</v>
      </c>
      <c r="AJ193" s="70">
        <f t="shared" si="444"/>
        <v>0</v>
      </c>
      <c r="AK193" s="70">
        <f t="shared" si="445"/>
        <v>0</v>
      </c>
      <c r="AL193" s="70">
        <f t="shared" si="446"/>
        <v>0</v>
      </c>
      <c r="AM193" s="70">
        <f t="shared" si="447"/>
        <v>0</v>
      </c>
      <c r="AN193" s="70">
        <f t="shared" si="448"/>
        <v>0</v>
      </c>
      <c r="AO193" s="70">
        <f t="shared" si="449"/>
        <v>0</v>
      </c>
      <c r="AP193" s="70">
        <f t="shared" si="450"/>
        <v>0</v>
      </c>
      <c r="AQ193" s="70">
        <f t="shared" si="451"/>
        <v>0</v>
      </c>
      <c r="AR193" s="70">
        <f t="shared" si="452"/>
        <v>0</v>
      </c>
      <c r="AS193" s="71">
        <f t="shared" si="453"/>
        <v>76500</v>
      </c>
      <c r="AT193" s="1130">
        <f>SUM(AG193*2%)</f>
        <v>1530</v>
      </c>
      <c r="AU193" s="70">
        <f t="shared" si="454"/>
        <v>0</v>
      </c>
      <c r="AV193" s="70">
        <f t="shared" si="455"/>
        <v>0</v>
      </c>
      <c r="AW193" s="70">
        <f t="shared" si="456"/>
        <v>0</v>
      </c>
      <c r="AX193" s="70">
        <f t="shared" si="457"/>
        <v>0</v>
      </c>
      <c r="AY193" s="70">
        <f t="shared" si="458"/>
        <v>0</v>
      </c>
      <c r="AZ193" s="70">
        <f t="shared" si="459"/>
        <v>0</v>
      </c>
      <c r="BA193" s="70">
        <f t="shared" si="460"/>
        <v>0</v>
      </c>
      <c r="BB193" s="70">
        <f t="shared" si="461"/>
        <v>0</v>
      </c>
      <c r="BC193" s="70">
        <f t="shared" si="462"/>
        <v>0</v>
      </c>
      <c r="BD193" s="70">
        <f t="shared" si="463"/>
        <v>0</v>
      </c>
      <c r="BE193" s="70">
        <f t="shared" si="464"/>
        <v>0</v>
      </c>
      <c r="BF193" s="72">
        <f t="shared" si="465"/>
        <v>1530</v>
      </c>
      <c r="BG193" s="73">
        <f t="shared" ref="BG193:BG198" si="471">AF193-AS193</f>
        <v>8700</v>
      </c>
      <c r="BH193" s="74">
        <f t="shared" si="466"/>
        <v>85200</v>
      </c>
      <c r="BI193" s="75">
        <f t="shared" ref="BI193:BI198" si="472">BH193-AS193</f>
        <v>8700</v>
      </c>
      <c r="BJ193" s="175">
        <f t="shared" si="467"/>
        <v>1</v>
      </c>
      <c r="BK193" s="1081"/>
      <c r="BL193" s="1081"/>
      <c r="BM193" s="1083"/>
      <c r="BN193" s="1084"/>
      <c r="BO193" s="862"/>
      <c r="BP193" s="862"/>
      <c r="BQ193" s="862"/>
      <c r="BR193" s="862"/>
      <c r="BS193" s="862"/>
      <c r="BT193" s="862"/>
      <c r="BU193" s="862"/>
      <c r="BV193" s="862"/>
      <c r="BW193" s="1081">
        <f t="shared" si="468"/>
        <v>0</v>
      </c>
      <c r="BX193" s="862"/>
      <c r="BY193" s="862"/>
      <c r="BZ193" s="862"/>
      <c r="CA193" s="73">
        <f t="shared" ref="CA193" si="473">SUM(BO193:BZ193)</f>
        <v>0</v>
      </c>
      <c r="CB193" s="862"/>
      <c r="CC193" s="862"/>
      <c r="CD193" s="862"/>
      <c r="CE193" s="862"/>
      <c r="CF193" s="862"/>
      <c r="CG193" s="862"/>
      <c r="CH193" s="862"/>
      <c r="CI193" s="862"/>
      <c r="CJ193" s="1081"/>
      <c r="CK193" s="862"/>
      <c r="CL193" s="862"/>
      <c r="CM193" s="862"/>
      <c r="CN193" s="73">
        <f t="shared" si="470"/>
        <v>0</v>
      </c>
    </row>
    <row r="194" spans="1:98" s="7" customFormat="1" ht="24.75" customHeight="1" x14ac:dyDescent="0.2">
      <c r="A194" s="41"/>
      <c r="B194" s="141" t="s">
        <v>316</v>
      </c>
      <c r="C194" s="29" t="s">
        <v>25</v>
      </c>
      <c r="D194" s="555">
        <v>27</v>
      </c>
      <c r="E194" s="1320">
        <v>27</v>
      </c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1">
        <f t="shared" si="439"/>
        <v>27</v>
      </c>
      <c r="R194" s="83" t="s">
        <v>107</v>
      </c>
      <c r="S194" s="556">
        <v>28500</v>
      </c>
      <c r="T194" s="1323">
        <v>28000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69">
        <f t="shared" si="440"/>
        <v>769500</v>
      </c>
      <c r="AG194" s="1202">
        <f t="shared" si="441"/>
        <v>756000</v>
      </c>
      <c r="AH194" s="70">
        <f t="shared" si="442"/>
        <v>0</v>
      </c>
      <c r="AI194" s="70">
        <f t="shared" si="443"/>
        <v>0</v>
      </c>
      <c r="AJ194" s="70">
        <f t="shared" si="444"/>
        <v>0</v>
      </c>
      <c r="AK194" s="70">
        <f t="shared" si="445"/>
        <v>0</v>
      </c>
      <c r="AL194" s="70">
        <f t="shared" si="446"/>
        <v>0</v>
      </c>
      <c r="AM194" s="70">
        <f t="shared" si="447"/>
        <v>0</v>
      </c>
      <c r="AN194" s="70">
        <f t="shared" si="448"/>
        <v>0</v>
      </c>
      <c r="AO194" s="70">
        <f t="shared" si="449"/>
        <v>0</v>
      </c>
      <c r="AP194" s="70">
        <f t="shared" si="450"/>
        <v>0</v>
      </c>
      <c r="AQ194" s="70">
        <f t="shared" si="451"/>
        <v>0</v>
      </c>
      <c r="AR194" s="70">
        <f t="shared" si="452"/>
        <v>0</v>
      </c>
      <c r="AS194" s="71">
        <f t="shared" si="453"/>
        <v>756000</v>
      </c>
      <c r="AT194" s="1130">
        <f>SUM(AG194*2%)</f>
        <v>15120</v>
      </c>
      <c r="AU194" s="70">
        <f t="shared" si="454"/>
        <v>0</v>
      </c>
      <c r="AV194" s="70">
        <f t="shared" si="455"/>
        <v>0</v>
      </c>
      <c r="AW194" s="70">
        <f t="shared" si="456"/>
        <v>0</v>
      </c>
      <c r="AX194" s="70">
        <f t="shared" si="457"/>
        <v>0</v>
      </c>
      <c r="AY194" s="70">
        <f t="shared" si="458"/>
        <v>0</v>
      </c>
      <c r="AZ194" s="70">
        <f t="shared" si="459"/>
        <v>0</v>
      </c>
      <c r="BA194" s="70">
        <f t="shared" si="460"/>
        <v>0</v>
      </c>
      <c r="BB194" s="70">
        <f t="shared" si="461"/>
        <v>0</v>
      </c>
      <c r="BC194" s="70">
        <f t="shared" si="462"/>
        <v>0</v>
      </c>
      <c r="BD194" s="70">
        <f t="shared" si="463"/>
        <v>0</v>
      </c>
      <c r="BE194" s="70">
        <f t="shared" si="464"/>
        <v>0</v>
      </c>
      <c r="BF194" s="72">
        <f t="shared" si="465"/>
        <v>15120</v>
      </c>
      <c r="BG194" s="73">
        <f t="shared" si="471"/>
        <v>13500</v>
      </c>
      <c r="BH194" s="74">
        <f t="shared" si="466"/>
        <v>769500</v>
      </c>
      <c r="BI194" s="75">
        <f t="shared" si="472"/>
        <v>13500</v>
      </c>
      <c r="BJ194" s="175">
        <f t="shared" si="467"/>
        <v>1</v>
      </c>
      <c r="BK194" s="1081">
        <f>AG194-AT194</f>
        <v>740880</v>
      </c>
      <c r="BL194" s="1081">
        <f>27*25000</f>
        <v>675000</v>
      </c>
      <c r="BM194" s="1083">
        <f>BK194-BL194</f>
        <v>65880</v>
      </c>
      <c r="BN194" s="1084"/>
      <c r="BO194" s="862"/>
      <c r="BP194" s="862"/>
      <c r="BQ194" s="862"/>
      <c r="BR194" s="862"/>
      <c r="BS194" s="862"/>
      <c r="BT194" s="862"/>
      <c r="BU194" s="862"/>
      <c r="BV194" s="862"/>
      <c r="BW194" s="1081">
        <f t="shared" ref="BW194:BW199" si="474">SUM(AN194*12.5%)</f>
        <v>0</v>
      </c>
      <c r="BX194" s="862"/>
      <c r="BY194" s="862"/>
      <c r="BZ194" s="862"/>
      <c r="CA194" s="73">
        <f t="shared" ref="CA194:CA199" si="475">SUM(BO194:BZ194)</f>
        <v>0</v>
      </c>
      <c r="CB194" s="862"/>
      <c r="CC194" s="862"/>
      <c r="CD194" s="862"/>
      <c r="CE194" s="862"/>
      <c r="CF194" s="862"/>
      <c r="CG194" s="862"/>
      <c r="CH194" s="862"/>
      <c r="CI194" s="862"/>
      <c r="CJ194" s="1081"/>
      <c r="CK194" s="862"/>
      <c r="CL194" s="862"/>
      <c r="CM194" s="862"/>
      <c r="CN194" s="73">
        <f t="shared" ref="CN194:CN199" si="476">SUM(CB194:CM194)</f>
        <v>0</v>
      </c>
    </row>
    <row r="195" spans="1:98" s="7" customFormat="1" ht="24.75" customHeight="1" x14ac:dyDescent="0.2">
      <c r="A195" s="41"/>
      <c r="B195" s="141" t="s">
        <v>103</v>
      </c>
      <c r="C195" s="29" t="s">
        <v>25</v>
      </c>
      <c r="D195" s="555">
        <v>3</v>
      </c>
      <c r="E195" s="1320">
        <v>2</v>
      </c>
      <c r="F195" s="30">
        <v>1</v>
      </c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1">
        <f t="shared" si="439"/>
        <v>3</v>
      </c>
      <c r="R195" s="83" t="s">
        <v>107</v>
      </c>
      <c r="S195" s="142">
        <v>500000</v>
      </c>
      <c r="T195" s="1323">
        <v>500000</v>
      </c>
      <c r="U195" s="1323">
        <v>500000</v>
      </c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69">
        <f t="shared" si="440"/>
        <v>1500000</v>
      </c>
      <c r="AG195" s="1202">
        <f t="shared" si="441"/>
        <v>1000000</v>
      </c>
      <c r="AH195" s="862">
        <f t="shared" si="442"/>
        <v>500000</v>
      </c>
      <c r="AI195" s="70">
        <f t="shared" si="443"/>
        <v>0</v>
      </c>
      <c r="AJ195" s="70">
        <f t="shared" si="444"/>
        <v>0</v>
      </c>
      <c r="AK195" s="70">
        <f t="shared" si="445"/>
        <v>0</v>
      </c>
      <c r="AL195" s="70">
        <f t="shared" si="446"/>
        <v>0</v>
      </c>
      <c r="AM195" s="70">
        <f t="shared" si="447"/>
        <v>0</v>
      </c>
      <c r="AN195" s="70">
        <f t="shared" si="448"/>
        <v>0</v>
      </c>
      <c r="AO195" s="70">
        <f t="shared" si="449"/>
        <v>0</v>
      </c>
      <c r="AP195" s="70">
        <f t="shared" si="450"/>
        <v>0</v>
      </c>
      <c r="AQ195" s="70">
        <f t="shared" si="451"/>
        <v>0</v>
      </c>
      <c r="AR195" s="70">
        <f t="shared" si="452"/>
        <v>0</v>
      </c>
      <c r="AS195" s="71">
        <f t="shared" si="453"/>
        <v>1500000</v>
      </c>
      <c r="AT195" s="1130">
        <f>SUM(AG195*5%)</f>
        <v>50000</v>
      </c>
      <c r="AU195" s="1123">
        <f>SUM(AH195*5%)</f>
        <v>25000</v>
      </c>
      <c r="AV195" s="70">
        <f t="shared" si="455"/>
        <v>0</v>
      </c>
      <c r="AW195" s="70">
        <f t="shared" si="456"/>
        <v>0</v>
      </c>
      <c r="AX195" s="70">
        <f t="shared" si="457"/>
        <v>0</v>
      </c>
      <c r="AY195" s="70">
        <f t="shared" si="458"/>
        <v>0</v>
      </c>
      <c r="AZ195" s="70">
        <f t="shared" si="459"/>
        <v>0</v>
      </c>
      <c r="BA195" s="70">
        <f t="shared" si="460"/>
        <v>0</v>
      </c>
      <c r="BB195" s="70">
        <f t="shared" si="461"/>
        <v>0</v>
      </c>
      <c r="BC195" s="70">
        <f t="shared" si="462"/>
        <v>0</v>
      </c>
      <c r="BD195" s="70">
        <f t="shared" si="463"/>
        <v>0</v>
      </c>
      <c r="BE195" s="70">
        <f t="shared" si="464"/>
        <v>0</v>
      </c>
      <c r="BF195" s="72">
        <f t="shared" si="465"/>
        <v>75000</v>
      </c>
      <c r="BG195" s="73">
        <f t="shared" si="471"/>
        <v>0</v>
      </c>
      <c r="BH195" s="74">
        <f t="shared" si="466"/>
        <v>1500000</v>
      </c>
      <c r="BI195" s="75">
        <f t="shared" si="472"/>
        <v>0</v>
      </c>
      <c r="BJ195" s="175">
        <f t="shared" si="467"/>
        <v>1</v>
      </c>
      <c r="BK195" s="1081"/>
      <c r="BL195" s="1081"/>
      <c r="BM195" s="1083"/>
      <c r="BN195" s="1084"/>
      <c r="BO195" s="862"/>
      <c r="BP195" s="862"/>
      <c r="BQ195" s="862"/>
      <c r="BR195" s="862"/>
      <c r="BS195" s="862"/>
      <c r="BT195" s="862"/>
      <c r="BU195" s="862"/>
      <c r="BV195" s="862"/>
      <c r="BW195" s="1081">
        <f t="shared" si="474"/>
        <v>0</v>
      </c>
      <c r="BX195" s="862"/>
      <c r="BY195" s="862"/>
      <c r="BZ195" s="862"/>
      <c r="CA195" s="73">
        <f t="shared" si="475"/>
        <v>0</v>
      </c>
      <c r="CB195" s="862"/>
      <c r="CC195" s="862"/>
      <c r="CD195" s="862"/>
      <c r="CE195" s="862"/>
      <c r="CF195" s="862"/>
      <c r="CG195" s="862"/>
      <c r="CH195" s="862"/>
      <c r="CI195" s="862"/>
      <c r="CJ195" s="1081"/>
      <c r="CK195" s="862"/>
      <c r="CL195" s="862"/>
      <c r="CM195" s="862"/>
      <c r="CN195" s="73">
        <f t="shared" si="476"/>
        <v>0</v>
      </c>
    </row>
    <row r="196" spans="1:98" s="7" customFormat="1" ht="24.75" customHeight="1" x14ac:dyDescent="0.2">
      <c r="A196" s="41"/>
      <c r="B196" s="141" t="s">
        <v>104</v>
      </c>
      <c r="C196" s="29" t="s">
        <v>25</v>
      </c>
      <c r="D196" s="555">
        <v>3</v>
      </c>
      <c r="E196" s="1320">
        <v>2</v>
      </c>
      <c r="F196" s="30">
        <v>1</v>
      </c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1">
        <f t="shared" si="439"/>
        <v>3</v>
      </c>
      <c r="R196" s="83" t="s">
        <v>107</v>
      </c>
      <c r="S196" s="142">
        <v>450000</v>
      </c>
      <c r="T196" s="1323">
        <v>450000</v>
      </c>
      <c r="U196" s="1323">
        <v>450000</v>
      </c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69">
        <f t="shared" si="440"/>
        <v>1350000</v>
      </c>
      <c r="AG196" s="1202">
        <f t="shared" si="441"/>
        <v>900000</v>
      </c>
      <c r="AH196" s="862">
        <f t="shared" si="442"/>
        <v>450000</v>
      </c>
      <c r="AI196" s="70">
        <f t="shared" si="443"/>
        <v>0</v>
      </c>
      <c r="AJ196" s="70">
        <f t="shared" si="444"/>
        <v>0</v>
      </c>
      <c r="AK196" s="70">
        <f t="shared" si="445"/>
        <v>0</v>
      </c>
      <c r="AL196" s="70">
        <f t="shared" si="446"/>
        <v>0</v>
      </c>
      <c r="AM196" s="70">
        <f t="shared" si="447"/>
        <v>0</v>
      </c>
      <c r="AN196" s="70">
        <f t="shared" si="448"/>
        <v>0</v>
      </c>
      <c r="AO196" s="70">
        <f t="shared" si="449"/>
        <v>0</v>
      </c>
      <c r="AP196" s="70">
        <f t="shared" si="450"/>
        <v>0</v>
      </c>
      <c r="AQ196" s="70">
        <f t="shared" si="451"/>
        <v>0</v>
      </c>
      <c r="AR196" s="70">
        <f t="shared" si="452"/>
        <v>0</v>
      </c>
      <c r="AS196" s="71">
        <f t="shared" si="453"/>
        <v>1350000</v>
      </c>
      <c r="AT196" s="1130">
        <f t="shared" ref="AT196:AU198" si="477">SUM(AG196*5%)</f>
        <v>45000</v>
      </c>
      <c r="AU196" s="1123">
        <f t="shared" si="477"/>
        <v>22500</v>
      </c>
      <c r="AV196" s="70">
        <f t="shared" si="455"/>
        <v>0</v>
      </c>
      <c r="AW196" s="70">
        <f t="shared" si="456"/>
        <v>0</v>
      </c>
      <c r="AX196" s="70">
        <f t="shared" si="457"/>
        <v>0</v>
      </c>
      <c r="AY196" s="70">
        <f t="shared" si="458"/>
        <v>0</v>
      </c>
      <c r="AZ196" s="70">
        <f t="shared" si="459"/>
        <v>0</v>
      </c>
      <c r="BA196" s="70">
        <f t="shared" si="460"/>
        <v>0</v>
      </c>
      <c r="BB196" s="70">
        <f t="shared" si="461"/>
        <v>0</v>
      </c>
      <c r="BC196" s="70">
        <f t="shared" si="462"/>
        <v>0</v>
      </c>
      <c r="BD196" s="70">
        <f t="shared" si="463"/>
        <v>0</v>
      </c>
      <c r="BE196" s="70">
        <f t="shared" si="464"/>
        <v>0</v>
      </c>
      <c r="BF196" s="72">
        <f t="shared" si="465"/>
        <v>67500</v>
      </c>
      <c r="BG196" s="73">
        <f t="shared" si="471"/>
        <v>0</v>
      </c>
      <c r="BH196" s="74">
        <f t="shared" si="466"/>
        <v>1350000</v>
      </c>
      <c r="BI196" s="75">
        <f t="shared" si="472"/>
        <v>0</v>
      </c>
      <c r="BJ196" s="175">
        <f t="shared" si="467"/>
        <v>1</v>
      </c>
      <c r="BK196" s="1081"/>
      <c r="BL196" s="1081"/>
      <c r="BM196" s="1083"/>
      <c r="BN196" s="1084"/>
      <c r="BO196" s="862"/>
      <c r="BP196" s="862"/>
      <c r="BQ196" s="862"/>
      <c r="BR196" s="862"/>
      <c r="BS196" s="862"/>
      <c r="BT196" s="862"/>
      <c r="BU196" s="862"/>
      <c r="BV196" s="862"/>
      <c r="BW196" s="1081">
        <f t="shared" si="474"/>
        <v>0</v>
      </c>
      <c r="BX196" s="862"/>
      <c r="BY196" s="862"/>
      <c r="BZ196" s="862"/>
      <c r="CA196" s="73">
        <f t="shared" si="475"/>
        <v>0</v>
      </c>
      <c r="CB196" s="862"/>
      <c r="CC196" s="862"/>
      <c r="CD196" s="862"/>
      <c r="CE196" s="862"/>
      <c r="CF196" s="862"/>
      <c r="CG196" s="862"/>
      <c r="CH196" s="862"/>
      <c r="CI196" s="862"/>
      <c r="CJ196" s="1081"/>
      <c r="CK196" s="862"/>
      <c r="CL196" s="862"/>
      <c r="CM196" s="862"/>
      <c r="CN196" s="73">
        <f t="shared" si="476"/>
        <v>0</v>
      </c>
    </row>
    <row r="197" spans="1:98" s="7" customFormat="1" ht="24.75" customHeight="1" x14ac:dyDescent="0.2">
      <c r="A197" s="41"/>
      <c r="B197" s="141" t="s">
        <v>105</v>
      </c>
      <c r="C197" s="29" t="s">
        <v>25</v>
      </c>
      <c r="D197" s="555">
        <v>3</v>
      </c>
      <c r="E197" s="1320">
        <v>2</v>
      </c>
      <c r="F197" s="30">
        <v>1</v>
      </c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1">
        <f t="shared" si="439"/>
        <v>3</v>
      </c>
      <c r="R197" s="83" t="s">
        <v>107</v>
      </c>
      <c r="S197" s="142">
        <v>400000</v>
      </c>
      <c r="T197" s="1323">
        <v>400000</v>
      </c>
      <c r="U197" s="1323">
        <v>400000</v>
      </c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69">
        <f t="shared" si="440"/>
        <v>1200000</v>
      </c>
      <c r="AG197" s="1202">
        <f t="shared" si="441"/>
        <v>800000</v>
      </c>
      <c r="AH197" s="862">
        <f t="shared" si="442"/>
        <v>400000</v>
      </c>
      <c r="AI197" s="70">
        <f t="shared" si="443"/>
        <v>0</v>
      </c>
      <c r="AJ197" s="70">
        <f t="shared" si="444"/>
        <v>0</v>
      </c>
      <c r="AK197" s="70">
        <f t="shared" si="445"/>
        <v>0</v>
      </c>
      <c r="AL197" s="70">
        <f t="shared" si="446"/>
        <v>0</v>
      </c>
      <c r="AM197" s="70">
        <f t="shared" si="447"/>
        <v>0</v>
      </c>
      <c r="AN197" s="70">
        <f t="shared" si="448"/>
        <v>0</v>
      </c>
      <c r="AO197" s="70">
        <f t="shared" si="449"/>
        <v>0</v>
      </c>
      <c r="AP197" s="70">
        <f t="shared" si="450"/>
        <v>0</v>
      </c>
      <c r="AQ197" s="70">
        <f t="shared" si="451"/>
        <v>0</v>
      </c>
      <c r="AR197" s="70">
        <f t="shared" si="452"/>
        <v>0</v>
      </c>
      <c r="AS197" s="71">
        <f t="shared" si="453"/>
        <v>1200000</v>
      </c>
      <c r="AT197" s="1130">
        <f t="shared" si="477"/>
        <v>40000</v>
      </c>
      <c r="AU197" s="1123">
        <f t="shared" si="477"/>
        <v>20000</v>
      </c>
      <c r="AV197" s="70">
        <f t="shared" si="455"/>
        <v>0</v>
      </c>
      <c r="AW197" s="70">
        <f t="shared" si="456"/>
        <v>0</v>
      </c>
      <c r="AX197" s="70">
        <f t="shared" si="457"/>
        <v>0</v>
      </c>
      <c r="AY197" s="70">
        <f t="shared" si="458"/>
        <v>0</v>
      </c>
      <c r="AZ197" s="70">
        <f t="shared" si="459"/>
        <v>0</v>
      </c>
      <c r="BA197" s="70">
        <f t="shared" si="460"/>
        <v>0</v>
      </c>
      <c r="BB197" s="70">
        <f t="shared" si="461"/>
        <v>0</v>
      </c>
      <c r="BC197" s="70">
        <f t="shared" si="462"/>
        <v>0</v>
      </c>
      <c r="BD197" s="70">
        <f t="shared" si="463"/>
        <v>0</v>
      </c>
      <c r="BE197" s="70">
        <f t="shared" si="464"/>
        <v>0</v>
      </c>
      <c r="BF197" s="72">
        <f t="shared" si="465"/>
        <v>60000</v>
      </c>
      <c r="BG197" s="73">
        <f t="shared" si="471"/>
        <v>0</v>
      </c>
      <c r="BH197" s="74">
        <f t="shared" si="466"/>
        <v>1200000</v>
      </c>
      <c r="BI197" s="75">
        <f t="shared" si="472"/>
        <v>0</v>
      </c>
      <c r="BJ197" s="175">
        <f t="shared" si="467"/>
        <v>1</v>
      </c>
      <c r="BK197" s="1081"/>
      <c r="BL197" s="1081"/>
      <c r="BM197" s="1083"/>
      <c r="BN197" s="1084"/>
      <c r="BO197" s="862"/>
      <c r="BP197" s="862"/>
      <c r="BQ197" s="862"/>
      <c r="BR197" s="862"/>
      <c r="BS197" s="862"/>
      <c r="BT197" s="862"/>
      <c r="BU197" s="862"/>
      <c r="BV197" s="862"/>
      <c r="BW197" s="1081">
        <f t="shared" si="474"/>
        <v>0</v>
      </c>
      <c r="BX197" s="862"/>
      <c r="BY197" s="862"/>
      <c r="BZ197" s="862"/>
      <c r="CA197" s="73">
        <f t="shared" si="475"/>
        <v>0</v>
      </c>
      <c r="CB197" s="862"/>
      <c r="CC197" s="862"/>
      <c r="CD197" s="862"/>
      <c r="CE197" s="862"/>
      <c r="CF197" s="862"/>
      <c r="CG197" s="862"/>
      <c r="CH197" s="862"/>
      <c r="CI197" s="862"/>
      <c r="CJ197" s="1081"/>
      <c r="CK197" s="862"/>
      <c r="CL197" s="862"/>
      <c r="CM197" s="862"/>
      <c r="CN197" s="73">
        <f t="shared" si="476"/>
        <v>0</v>
      </c>
    </row>
    <row r="198" spans="1:98" s="7" customFormat="1" ht="24.75" customHeight="1" thickBot="1" x14ac:dyDescent="0.25">
      <c r="A198" s="41"/>
      <c r="B198" s="141" t="s">
        <v>106</v>
      </c>
      <c r="C198" s="29" t="s">
        <v>25</v>
      </c>
      <c r="D198" s="555">
        <v>18</v>
      </c>
      <c r="E198" s="1321">
        <v>12</v>
      </c>
      <c r="F198" s="30">
        <v>6</v>
      </c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1">
        <f t="shared" si="439"/>
        <v>18</v>
      </c>
      <c r="R198" s="83" t="s">
        <v>107</v>
      </c>
      <c r="S198" s="142">
        <v>300000</v>
      </c>
      <c r="T198" s="1323">
        <v>300000</v>
      </c>
      <c r="U198" s="1323">
        <v>300000</v>
      </c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69">
        <f t="shared" si="440"/>
        <v>5400000</v>
      </c>
      <c r="AG198" s="1202">
        <f t="shared" si="441"/>
        <v>3600000</v>
      </c>
      <c r="AH198" s="862">
        <f t="shared" si="442"/>
        <v>1800000</v>
      </c>
      <c r="AI198" s="70">
        <f t="shared" si="443"/>
        <v>0</v>
      </c>
      <c r="AJ198" s="70">
        <f t="shared" si="444"/>
        <v>0</v>
      </c>
      <c r="AK198" s="70">
        <f t="shared" si="445"/>
        <v>0</v>
      </c>
      <c r="AL198" s="70">
        <f t="shared" si="446"/>
        <v>0</v>
      </c>
      <c r="AM198" s="70">
        <f t="shared" si="447"/>
        <v>0</v>
      </c>
      <c r="AN198" s="70">
        <f t="shared" si="448"/>
        <v>0</v>
      </c>
      <c r="AO198" s="70">
        <f t="shared" si="449"/>
        <v>0</v>
      </c>
      <c r="AP198" s="70">
        <f t="shared" si="450"/>
        <v>0</v>
      </c>
      <c r="AQ198" s="70">
        <f t="shared" si="451"/>
        <v>0</v>
      </c>
      <c r="AR198" s="70">
        <f t="shared" si="452"/>
        <v>0</v>
      </c>
      <c r="AS198" s="71">
        <f t="shared" si="453"/>
        <v>5400000</v>
      </c>
      <c r="AT198" s="1130">
        <f t="shared" si="477"/>
        <v>180000</v>
      </c>
      <c r="AU198" s="1123">
        <f t="shared" si="477"/>
        <v>90000</v>
      </c>
      <c r="AV198" s="70">
        <f t="shared" si="455"/>
        <v>0</v>
      </c>
      <c r="AW198" s="70">
        <f t="shared" si="456"/>
        <v>0</v>
      </c>
      <c r="AX198" s="70">
        <f t="shared" si="457"/>
        <v>0</v>
      </c>
      <c r="AY198" s="70">
        <f t="shared" si="458"/>
        <v>0</v>
      </c>
      <c r="AZ198" s="70">
        <f t="shared" si="459"/>
        <v>0</v>
      </c>
      <c r="BA198" s="70">
        <f t="shared" si="460"/>
        <v>0</v>
      </c>
      <c r="BB198" s="70">
        <f t="shared" si="461"/>
        <v>0</v>
      </c>
      <c r="BC198" s="70">
        <f t="shared" si="462"/>
        <v>0</v>
      </c>
      <c r="BD198" s="70">
        <f t="shared" si="463"/>
        <v>0</v>
      </c>
      <c r="BE198" s="70">
        <f t="shared" si="464"/>
        <v>0</v>
      </c>
      <c r="BF198" s="72">
        <f t="shared" si="465"/>
        <v>270000</v>
      </c>
      <c r="BG198" s="73">
        <f t="shared" si="471"/>
        <v>0</v>
      </c>
      <c r="BH198" s="74">
        <f t="shared" si="466"/>
        <v>5400000</v>
      </c>
      <c r="BI198" s="75">
        <f t="shared" si="472"/>
        <v>0</v>
      </c>
      <c r="BJ198" s="175">
        <f t="shared" si="467"/>
        <v>1</v>
      </c>
      <c r="BK198" s="1081"/>
      <c r="BL198" s="1081"/>
      <c r="BM198" s="1083"/>
      <c r="BN198" s="1084"/>
      <c r="BO198" s="862"/>
      <c r="BP198" s="862"/>
      <c r="BQ198" s="862"/>
      <c r="BR198" s="862"/>
      <c r="BS198" s="862"/>
      <c r="BT198" s="862"/>
      <c r="BU198" s="862"/>
      <c r="BV198" s="862"/>
      <c r="BW198" s="1081">
        <f t="shared" si="474"/>
        <v>0</v>
      </c>
      <c r="BX198" s="862"/>
      <c r="BY198" s="862"/>
      <c r="BZ198" s="862"/>
      <c r="CA198" s="73">
        <f t="shared" si="475"/>
        <v>0</v>
      </c>
      <c r="CB198" s="862"/>
      <c r="CC198" s="862"/>
      <c r="CD198" s="862"/>
      <c r="CE198" s="862"/>
      <c r="CF198" s="862"/>
      <c r="CG198" s="862"/>
      <c r="CH198" s="862"/>
      <c r="CI198" s="862"/>
      <c r="CJ198" s="1081"/>
      <c r="CK198" s="862"/>
      <c r="CL198" s="862"/>
      <c r="CM198" s="862"/>
      <c r="CN198" s="73">
        <f t="shared" si="476"/>
        <v>0</v>
      </c>
    </row>
    <row r="199" spans="1:98" s="38" customFormat="1" ht="24.75" customHeight="1" thickBot="1" x14ac:dyDescent="0.25">
      <c r="A199" s="554">
        <v>18</v>
      </c>
      <c r="B199" s="44" t="s">
        <v>4</v>
      </c>
      <c r="C199" s="44"/>
      <c r="D199" s="227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7"/>
      <c r="R199" s="77"/>
      <c r="S199" s="45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78">
        <f t="shared" ref="AF199:BF199" si="478">SUM(AF192:AF198)</f>
        <v>11216700</v>
      </c>
      <c r="AG199" s="78">
        <f>SUM(AG192:AG198)-1000000</f>
        <v>7044500</v>
      </c>
      <c r="AH199" s="78">
        <f>SUM(AH192:AH198)</f>
        <v>3150000</v>
      </c>
      <c r="AI199" s="78">
        <f t="shared" si="478"/>
        <v>0</v>
      </c>
      <c r="AJ199" s="78">
        <f t="shared" si="478"/>
        <v>0</v>
      </c>
      <c r="AK199" s="78">
        <f t="shared" si="478"/>
        <v>0</v>
      </c>
      <c r="AL199" s="78">
        <f t="shared" si="478"/>
        <v>0</v>
      </c>
      <c r="AM199" s="78">
        <f t="shared" si="478"/>
        <v>0</v>
      </c>
      <c r="AN199" s="78">
        <f t="shared" si="478"/>
        <v>0</v>
      </c>
      <c r="AO199" s="78">
        <f t="shared" si="478"/>
        <v>0</v>
      </c>
      <c r="AP199" s="78">
        <f t="shared" si="478"/>
        <v>0</v>
      </c>
      <c r="AQ199" s="78">
        <f t="shared" si="478"/>
        <v>0</v>
      </c>
      <c r="AR199" s="78">
        <f t="shared" si="478"/>
        <v>0</v>
      </c>
      <c r="AS199" s="78">
        <f>SUM(AS192:AS198)-1000000</f>
        <v>10194500</v>
      </c>
      <c r="AT199" s="78">
        <f>SUM(AT192:AT198)</f>
        <v>349890</v>
      </c>
      <c r="AU199" s="1346">
        <f t="shared" si="478"/>
        <v>157500</v>
      </c>
      <c r="AV199" s="78">
        <f t="shared" si="478"/>
        <v>0</v>
      </c>
      <c r="AW199" s="78">
        <f t="shared" si="478"/>
        <v>0</v>
      </c>
      <c r="AX199" s="78">
        <f t="shared" si="478"/>
        <v>0</v>
      </c>
      <c r="AY199" s="78">
        <f t="shared" si="478"/>
        <v>0</v>
      </c>
      <c r="AZ199" s="78">
        <f t="shared" si="478"/>
        <v>0</v>
      </c>
      <c r="BA199" s="78">
        <f t="shared" si="478"/>
        <v>0</v>
      </c>
      <c r="BB199" s="78">
        <f t="shared" si="478"/>
        <v>0</v>
      </c>
      <c r="BC199" s="78">
        <f t="shared" si="478"/>
        <v>0</v>
      </c>
      <c r="BD199" s="78">
        <f t="shared" si="478"/>
        <v>0</v>
      </c>
      <c r="BE199" s="78">
        <f t="shared" si="478"/>
        <v>0</v>
      </c>
      <c r="BF199" s="78">
        <f t="shared" si="478"/>
        <v>507390</v>
      </c>
      <c r="BG199" s="79">
        <f>SUM(BG192:BG198)</f>
        <v>22200</v>
      </c>
      <c r="BH199" s="78">
        <f>SUM(BH192:BH198)</f>
        <v>11216700</v>
      </c>
      <c r="BI199" s="78">
        <f>SUM(BI192:BI198)</f>
        <v>22200</v>
      </c>
      <c r="BJ199" s="176">
        <f>SUM(BJ192:BJ198)/7</f>
        <v>1</v>
      </c>
      <c r="BK199" s="1081">
        <f>SUM(BK194:BK198)</f>
        <v>740880</v>
      </c>
      <c r="BL199" s="1081">
        <f>SUM(BL194:BL198)</f>
        <v>675000</v>
      </c>
      <c r="BM199" s="1083">
        <f>SUM(BM192:BM198)</f>
        <v>159640</v>
      </c>
      <c r="BN199" s="1084"/>
      <c r="BO199" s="862"/>
      <c r="BP199" s="862"/>
      <c r="BQ199" s="862"/>
      <c r="BR199" s="862"/>
      <c r="BS199" s="862"/>
      <c r="BT199" s="862"/>
      <c r="BU199" s="862"/>
      <c r="BV199" s="862"/>
      <c r="BW199" s="1081">
        <f t="shared" si="474"/>
        <v>0</v>
      </c>
      <c r="BX199" s="862"/>
      <c r="BY199" s="862"/>
      <c r="BZ199" s="862"/>
      <c r="CA199" s="73">
        <f t="shared" si="475"/>
        <v>0</v>
      </c>
      <c r="CB199" s="862"/>
      <c r="CC199" s="862"/>
      <c r="CD199" s="862"/>
      <c r="CE199" s="862"/>
      <c r="CF199" s="862"/>
      <c r="CG199" s="862"/>
      <c r="CH199" s="862"/>
      <c r="CI199" s="862"/>
      <c r="CJ199" s="1081"/>
      <c r="CK199" s="862"/>
      <c r="CL199" s="862"/>
      <c r="CM199" s="862"/>
      <c r="CN199" s="73">
        <f t="shared" si="476"/>
        <v>0</v>
      </c>
    </row>
    <row r="200" spans="1:98" s="20" customFormat="1" ht="24.75" customHeight="1" x14ac:dyDescent="0.2">
      <c r="A200" s="50"/>
      <c r="D200" s="22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AE200" s="40"/>
      <c r="AS200" s="51"/>
      <c r="BF200" s="52">
        <f>SUM(AS199+BF199)</f>
        <v>10701890</v>
      </c>
      <c r="BG200" s="53">
        <f>AF199-AS199</f>
        <v>1022200</v>
      </c>
      <c r="BH200" s="54">
        <f>SUM(BI199+AS199)</f>
        <v>10216700</v>
      </c>
      <c r="BI200" s="55">
        <f>SUM(BG199)</f>
        <v>22200</v>
      </c>
      <c r="BJ200" s="40" t="s">
        <v>38</v>
      </c>
      <c r="BK200" s="40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</row>
    <row r="201" spans="1:98" s="20" customFormat="1" ht="24.75" customHeight="1" x14ac:dyDescent="0.2">
      <c r="A201" s="50"/>
      <c r="D201" s="22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AE201" s="40"/>
      <c r="AS201" s="40"/>
      <c r="AT201" s="123">
        <f>SUM(AG199+AT199)</f>
        <v>7394390</v>
      </c>
      <c r="AU201" s="123">
        <f t="shared" ref="AU201" si="479">SUM(AH199+AU199)</f>
        <v>3307500</v>
      </c>
      <c r="AV201" s="123">
        <f t="shared" ref="AV201" si="480">SUM(AI199+AV199)</f>
        <v>0</v>
      </c>
      <c r="AW201" s="123">
        <f t="shared" ref="AW201" si="481">SUM(AJ199+AW199)</f>
        <v>0</v>
      </c>
      <c r="AX201" s="123">
        <f t="shared" ref="AX201" si="482">SUM(AK199+AX199)</f>
        <v>0</v>
      </c>
      <c r="AY201" s="123">
        <f t="shared" ref="AY201" si="483">SUM(AL199+AY199)</f>
        <v>0</v>
      </c>
      <c r="AZ201" s="123">
        <f t="shared" ref="AZ201" si="484">SUM(AM199+AZ199)</f>
        <v>0</v>
      </c>
      <c r="BA201" s="123">
        <f t="shared" ref="BA201" si="485">SUM(AN199+BA199)</f>
        <v>0</v>
      </c>
      <c r="BB201" s="123">
        <f t="shared" ref="BB201" si="486">SUM(AO199+BB199)</f>
        <v>0</v>
      </c>
      <c r="BC201" s="123">
        <f t="shared" ref="BC201" si="487">SUM(AP199+BC199)</f>
        <v>0</v>
      </c>
      <c r="BD201" s="123">
        <f t="shared" ref="BD201" si="488">SUM(AQ199+BD199)</f>
        <v>0</v>
      </c>
      <c r="BE201" s="123">
        <f t="shared" ref="BE201" si="489">SUM(AR199+BE199)</f>
        <v>0</v>
      </c>
      <c r="BF201" s="123">
        <f>SUM(AT201:BE201)</f>
        <v>10701890</v>
      </c>
      <c r="BG201" s="57">
        <f>SUM(BG199-BG200)</f>
        <v>-1000000</v>
      </c>
      <c r="BH201" s="57">
        <f>SUM(BH199-BH200)</f>
        <v>1000000</v>
      </c>
      <c r="BI201" s="57">
        <f>SUM(BI199-BI200)</f>
        <v>0</v>
      </c>
      <c r="BJ201" s="40" t="s">
        <v>37</v>
      </c>
      <c r="BK201" s="40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</row>
    <row r="202" spans="1:98" s="20" customFormat="1" ht="16.5" customHeight="1" x14ac:dyDescent="0.2">
      <c r="A202" s="1730" t="s">
        <v>8</v>
      </c>
      <c r="B202" s="1731"/>
      <c r="C202" s="124" t="s">
        <v>310</v>
      </c>
      <c r="D202" s="224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7"/>
      <c r="AF202" s="23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8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8"/>
      <c r="BG202" s="138"/>
      <c r="BH202" s="135"/>
      <c r="BI202" s="139"/>
      <c r="BJ202" s="135"/>
      <c r="BK202" s="136"/>
      <c r="BL202" s="136"/>
      <c r="BM202" s="136"/>
      <c r="BN202" s="136"/>
      <c r="BO202" s="136"/>
      <c r="BP202" s="137"/>
      <c r="BQ202" s="136"/>
      <c r="BR202" s="136"/>
      <c r="BS202" s="136"/>
      <c r="BT202" s="136"/>
      <c r="BU202" s="136"/>
      <c r="BV202" s="138"/>
      <c r="BW202" s="138"/>
      <c r="BX202" s="138"/>
      <c r="BY202" s="135"/>
      <c r="BZ202" s="139"/>
      <c r="CA202" s="138"/>
      <c r="CB202" s="138"/>
      <c r="CC202" s="24"/>
      <c r="CD202" s="24"/>
      <c r="CE202" s="24"/>
      <c r="CF202" s="24"/>
      <c r="CG202" s="24"/>
      <c r="CH202" s="140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</row>
    <row r="203" spans="1:98" s="8" customFormat="1" ht="48.75" customHeight="1" x14ac:dyDescent="0.2">
      <c r="A203" s="1703" t="s">
        <v>10</v>
      </c>
      <c r="B203" s="1706" t="s">
        <v>11</v>
      </c>
      <c r="C203" s="1706" t="s">
        <v>22</v>
      </c>
      <c r="D203" s="1721" t="s">
        <v>12</v>
      </c>
      <c r="E203" s="1721"/>
      <c r="F203" s="1721"/>
      <c r="G203" s="1721"/>
      <c r="H203" s="1721"/>
      <c r="I203" s="1721"/>
      <c r="J203" s="1721"/>
      <c r="K203" s="1721"/>
      <c r="L203" s="1721"/>
      <c r="M203" s="1721"/>
      <c r="N203" s="1721"/>
      <c r="O203" s="1721"/>
      <c r="P203" s="1721"/>
      <c r="Q203" s="1721"/>
      <c r="R203" s="1706" t="s">
        <v>20</v>
      </c>
      <c r="S203" s="1717" t="s">
        <v>17</v>
      </c>
      <c r="T203" s="1718"/>
      <c r="U203" s="1718"/>
      <c r="V203" s="1718"/>
      <c r="W203" s="1718"/>
      <c r="X203" s="1718"/>
      <c r="Y203" s="1718"/>
      <c r="Z203" s="1718"/>
      <c r="AA203" s="1718"/>
      <c r="AB203" s="1718"/>
      <c r="AC203" s="1718"/>
      <c r="AD203" s="1718"/>
      <c r="AE203" s="1719"/>
      <c r="AF203" s="1720" t="s">
        <v>6</v>
      </c>
      <c r="AG203" s="1720"/>
      <c r="AH203" s="1720"/>
      <c r="AI203" s="1720"/>
      <c r="AJ203" s="1720"/>
      <c r="AK203" s="1720"/>
      <c r="AL203" s="1720"/>
      <c r="AM203" s="1720"/>
      <c r="AN203" s="1720"/>
      <c r="AO203" s="1720"/>
      <c r="AP203" s="1720"/>
      <c r="AQ203" s="1720"/>
      <c r="AR203" s="1720"/>
      <c r="AS203" s="1720"/>
      <c r="AT203" s="1722" t="s">
        <v>41</v>
      </c>
      <c r="AU203" s="1723"/>
      <c r="AV203" s="1723"/>
      <c r="AW203" s="1723"/>
      <c r="AX203" s="1723"/>
      <c r="AY203" s="1723"/>
      <c r="AZ203" s="1723"/>
      <c r="BA203" s="1723"/>
      <c r="BB203" s="1723"/>
      <c r="BC203" s="1723"/>
      <c r="BD203" s="1723"/>
      <c r="BE203" s="1723"/>
      <c r="BF203" s="1724"/>
      <c r="BG203" s="1706" t="s">
        <v>38</v>
      </c>
      <c r="BH203" s="1706" t="s">
        <v>256</v>
      </c>
      <c r="BI203" s="1709" t="s">
        <v>39</v>
      </c>
      <c r="BJ203" s="135"/>
      <c r="BK203" s="135"/>
      <c r="BL203" s="135"/>
      <c r="BM203" s="135"/>
      <c r="BN203" s="135"/>
      <c r="BO203" s="1733" t="s">
        <v>41</v>
      </c>
      <c r="BP203" s="1734"/>
      <c r="BQ203" s="1734"/>
      <c r="BR203" s="1734"/>
      <c r="BS203" s="1734"/>
      <c r="BT203" s="1734"/>
      <c r="BU203" s="1734"/>
      <c r="BV203" s="1734"/>
      <c r="BW203" s="1734"/>
      <c r="BX203" s="1734"/>
      <c r="BY203" s="1734"/>
      <c r="BZ203" s="1734"/>
      <c r="CA203" s="1734"/>
      <c r="CB203" s="1734"/>
      <c r="CC203" s="1734"/>
      <c r="CD203" s="1734"/>
      <c r="CE203" s="1734"/>
      <c r="CF203" s="1734"/>
      <c r="CG203" s="1734"/>
      <c r="CH203" s="1734"/>
      <c r="CI203" s="1734"/>
      <c r="CJ203" s="1734"/>
      <c r="CK203" s="1734"/>
      <c r="CL203" s="1734"/>
      <c r="CM203" s="1734"/>
      <c r="CN203" s="1735"/>
    </row>
    <row r="204" spans="1:98" s="8" customFormat="1" ht="48.75" customHeight="1" x14ac:dyDescent="0.2">
      <c r="A204" s="1704"/>
      <c r="B204" s="1707"/>
      <c r="C204" s="1707"/>
      <c r="D204" s="1728" t="s">
        <v>18</v>
      </c>
      <c r="E204" s="1714" t="s">
        <v>19</v>
      </c>
      <c r="F204" s="1715"/>
      <c r="G204" s="1715"/>
      <c r="H204" s="1715"/>
      <c r="I204" s="1715"/>
      <c r="J204" s="1715"/>
      <c r="K204" s="1715"/>
      <c r="L204" s="1715"/>
      <c r="M204" s="1715"/>
      <c r="N204" s="1715"/>
      <c r="O204" s="1715"/>
      <c r="P204" s="1715"/>
      <c r="Q204" s="1715"/>
      <c r="R204" s="1707"/>
      <c r="S204" s="1712" t="s">
        <v>18</v>
      </c>
      <c r="T204" s="1714" t="s">
        <v>19</v>
      </c>
      <c r="U204" s="1715"/>
      <c r="V204" s="1715"/>
      <c r="W204" s="1715"/>
      <c r="X204" s="1715"/>
      <c r="Y204" s="1715"/>
      <c r="Z204" s="1715"/>
      <c r="AA204" s="1715"/>
      <c r="AB204" s="1715"/>
      <c r="AC204" s="1715"/>
      <c r="AD204" s="1715"/>
      <c r="AE204" s="1716"/>
      <c r="AF204" s="1712" t="s">
        <v>18</v>
      </c>
      <c r="AG204" s="1714" t="s">
        <v>19</v>
      </c>
      <c r="AH204" s="1715"/>
      <c r="AI204" s="1715"/>
      <c r="AJ204" s="1715"/>
      <c r="AK204" s="1715"/>
      <c r="AL204" s="1715"/>
      <c r="AM204" s="1715"/>
      <c r="AN204" s="1715"/>
      <c r="AO204" s="1715"/>
      <c r="AP204" s="1715"/>
      <c r="AQ204" s="1715"/>
      <c r="AR204" s="1715"/>
      <c r="AS204" s="1716"/>
      <c r="AT204" s="1725"/>
      <c r="AU204" s="1726"/>
      <c r="AV204" s="1726"/>
      <c r="AW204" s="1726"/>
      <c r="AX204" s="1726"/>
      <c r="AY204" s="1726"/>
      <c r="AZ204" s="1726"/>
      <c r="BA204" s="1726"/>
      <c r="BB204" s="1726"/>
      <c r="BC204" s="1726"/>
      <c r="BD204" s="1726"/>
      <c r="BE204" s="1726"/>
      <c r="BF204" s="1727"/>
      <c r="BG204" s="1707"/>
      <c r="BH204" s="1707"/>
      <c r="BI204" s="1710"/>
      <c r="BJ204" s="135"/>
      <c r="BK204" s="1736">
        <f>SUM(BK206/60)</f>
        <v>0</v>
      </c>
      <c r="BL204" s="1736"/>
      <c r="BM204" s="1736"/>
      <c r="BN204" s="23"/>
      <c r="BO204" s="1737" t="s">
        <v>686</v>
      </c>
      <c r="BP204" s="1738"/>
      <c r="BQ204" s="1738"/>
      <c r="BR204" s="1738"/>
      <c r="BS204" s="1738"/>
      <c r="BT204" s="1738"/>
      <c r="BU204" s="1738"/>
      <c r="BV204" s="1738"/>
      <c r="BW204" s="1738"/>
      <c r="BX204" s="1738"/>
      <c r="BY204" s="1738"/>
      <c r="BZ204" s="1738"/>
      <c r="CA204" s="1739"/>
      <c r="CB204" s="1740" t="s">
        <v>687</v>
      </c>
      <c r="CC204" s="1741"/>
      <c r="CD204" s="1741"/>
      <c r="CE204" s="1741"/>
      <c r="CF204" s="1741"/>
      <c r="CG204" s="1741"/>
      <c r="CH204" s="1741"/>
      <c r="CI204" s="1741"/>
      <c r="CJ204" s="1741"/>
      <c r="CK204" s="1741"/>
      <c r="CL204" s="1741"/>
      <c r="CM204" s="1741"/>
      <c r="CN204" s="1742"/>
    </row>
    <row r="205" spans="1:98" s="6" customFormat="1" ht="28.5" customHeight="1" x14ac:dyDescent="0.2">
      <c r="A205" s="1705"/>
      <c r="B205" s="1708"/>
      <c r="C205" s="1708"/>
      <c r="D205" s="1729"/>
      <c r="E205" s="26">
        <v>1</v>
      </c>
      <c r="F205" s="26">
        <v>2</v>
      </c>
      <c r="G205" s="26">
        <v>3</v>
      </c>
      <c r="H205" s="26">
        <v>4</v>
      </c>
      <c r="I205" s="26">
        <v>5</v>
      </c>
      <c r="J205" s="26">
        <v>6</v>
      </c>
      <c r="K205" s="26">
        <v>7</v>
      </c>
      <c r="L205" s="26">
        <v>8</v>
      </c>
      <c r="M205" s="26">
        <v>9</v>
      </c>
      <c r="N205" s="26">
        <v>10</v>
      </c>
      <c r="O205" s="26">
        <v>11</v>
      </c>
      <c r="P205" s="26">
        <v>12</v>
      </c>
      <c r="Q205" s="26" t="s">
        <v>21</v>
      </c>
      <c r="R205" s="1708"/>
      <c r="S205" s="1713"/>
      <c r="T205" s="26">
        <v>1</v>
      </c>
      <c r="U205" s="26">
        <v>2</v>
      </c>
      <c r="V205" s="26">
        <v>3</v>
      </c>
      <c r="W205" s="26">
        <v>4</v>
      </c>
      <c r="X205" s="26">
        <v>5</v>
      </c>
      <c r="Y205" s="26">
        <v>6</v>
      </c>
      <c r="Z205" s="26">
        <v>7</v>
      </c>
      <c r="AA205" s="26">
        <v>8</v>
      </c>
      <c r="AB205" s="26">
        <v>9</v>
      </c>
      <c r="AC205" s="26">
        <v>10</v>
      </c>
      <c r="AD205" s="26">
        <v>11</v>
      </c>
      <c r="AE205" s="26">
        <v>12</v>
      </c>
      <c r="AF205" s="1713"/>
      <c r="AG205" s="26">
        <v>1</v>
      </c>
      <c r="AH205" s="26">
        <v>2</v>
      </c>
      <c r="AI205" s="26">
        <v>3</v>
      </c>
      <c r="AJ205" s="26">
        <v>4</v>
      </c>
      <c r="AK205" s="26">
        <v>5</v>
      </c>
      <c r="AL205" s="26">
        <v>6</v>
      </c>
      <c r="AM205" s="26">
        <v>7</v>
      </c>
      <c r="AN205" s="26">
        <v>8</v>
      </c>
      <c r="AO205" s="26">
        <v>9</v>
      </c>
      <c r="AP205" s="26">
        <v>10</v>
      </c>
      <c r="AQ205" s="26">
        <v>11</v>
      </c>
      <c r="AR205" s="26">
        <v>12</v>
      </c>
      <c r="AS205" s="26" t="s">
        <v>13</v>
      </c>
      <c r="AT205" s="173">
        <v>1</v>
      </c>
      <c r="AU205" s="173">
        <v>2</v>
      </c>
      <c r="AV205" s="173">
        <v>3</v>
      </c>
      <c r="AW205" s="173">
        <v>4</v>
      </c>
      <c r="AX205" s="173">
        <v>5</v>
      </c>
      <c r="AY205" s="173">
        <v>6</v>
      </c>
      <c r="AZ205" s="173">
        <v>7</v>
      </c>
      <c r="BA205" s="173">
        <v>8</v>
      </c>
      <c r="BB205" s="173">
        <v>9</v>
      </c>
      <c r="BC205" s="173">
        <v>10</v>
      </c>
      <c r="BD205" s="173">
        <v>11</v>
      </c>
      <c r="BE205" s="173">
        <v>12</v>
      </c>
      <c r="BF205" s="26" t="s">
        <v>13</v>
      </c>
      <c r="BG205" s="1708"/>
      <c r="BH205" s="1708"/>
      <c r="BI205" s="1711"/>
      <c r="BJ205" s="7"/>
      <c r="BK205" s="1743" t="s">
        <v>19</v>
      </c>
      <c r="BL205" s="1744"/>
      <c r="BM205" s="1745"/>
      <c r="BN205" s="621"/>
      <c r="BO205" s="173">
        <v>1</v>
      </c>
      <c r="BP205" s="173">
        <v>2</v>
      </c>
      <c r="BQ205" s="173">
        <v>3</v>
      </c>
      <c r="BR205" s="173">
        <v>4</v>
      </c>
      <c r="BS205" s="173">
        <v>5</v>
      </c>
      <c r="BT205" s="173">
        <v>6</v>
      </c>
      <c r="BU205" s="173">
        <v>7</v>
      </c>
      <c r="BV205" s="173">
        <v>8</v>
      </c>
      <c r="BW205" s="173">
        <v>9</v>
      </c>
      <c r="BX205" s="173">
        <v>10</v>
      </c>
      <c r="BY205" s="173">
        <v>11</v>
      </c>
      <c r="BZ205" s="173">
        <v>12</v>
      </c>
      <c r="CA205" s="26" t="s">
        <v>13</v>
      </c>
      <c r="CB205" s="173">
        <v>1</v>
      </c>
      <c r="CC205" s="173">
        <v>2</v>
      </c>
      <c r="CD205" s="173">
        <v>3</v>
      </c>
      <c r="CE205" s="173">
        <v>4</v>
      </c>
      <c r="CF205" s="173">
        <v>5</v>
      </c>
      <c r="CG205" s="173">
        <v>6</v>
      </c>
      <c r="CH205" s="173">
        <v>7</v>
      </c>
      <c r="CI205" s="173">
        <v>8</v>
      </c>
      <c r="CJ205" s="173">
        <v>9</v>
      </c>
      <c r="CK205" s="173">
        <v>10</v>
      </c>
      <c r="CL205" s="173">
        <v>11</v>
      </c>
      <c r="CM205" s="173">
        <v>12</v>
      </c>
      <c r="CN205" s="26" t="s">
        <v>13</v>
      </c>
    </row>
    <row r="206" spans="1:98" s="7" customFormat="1" ht="24.75" customHeight="1" x14ac:dyDescent="0.2">
      <c r="A206" s="41"/>
      <c r="B206" s="141" t="s">
        <v>94</v>
      </c>
      <c r="C206" s="29" t="s">
        <v>25</v>
      </c>
      <c r="D206" s="557">
        <v>400</v>
      </c>
      <c r="E206" s="82">
        <v>400</v>
      </c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1">
        <f>SUM(E206:P206)</f>
        <v>400</v>
      </c>
      <c r="R206" s="83" t="s">
        <v>7</v>
      </c>
      <c r="S206" s="561">
        <v>570</v>
      </c>
      <c r="T206" s="84">
        <v>570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69">
        <f t="shared" ref="AF206:AF207" si="490">SUM(Q206*S206)</f>
        <v>228000</v>
      </c>
      <c r="AG206" s="70">
        <f t="shared" ref="AG206:AI207" si="491">T206*E206</f>
        <v>228000</v>
      </c>
      <c r="AH206" s="70">
        <f t="shared" si="491"/>
        <v>0</v>
      </c>
      <c r="AI206" s="70">
        <f t="shared" si="491"/>
        <v>0</v>
      </c>
      <c r="AJ206" s="70">
        <f t="shared" ref="AJ206:AR207" si="492">W206*H206</f>
        <v>0</v>
      </c>
      <c r="AK206" s="70">
        <f t="shared" si="492"/>
        <v>0</v>
      </c>
      <c r="AL206" s="70">
        <f t="shared" si="492"/>
        <v>0</v>
      </c>
      <c r="AM206" s="70">
        <f t="shared" si="492"/>
        <v>0</v>
      </c>
      <c r="AN206" s="70">
        <f t="shared" si="492"/>
        <v>0</v>
      </c>
      <c r="AO206" s="70">
        <f t="shared" si="492"/>
        <v>0</v>
      </c>
      <c r="AP206" s="70">
        <f t="shared" si="492"/>
        <v>0</v>
      </c>
      <c r="AQ206" s="70">
        <f t="shared" si="492"/>
        <v>0</v>
      </c>
      <c r="AR206" s="70">
        <f t="shared" si="492"/>
        <v>0</v>
      </c>
      <c r="AS206" s="71">
        <f>SUM(AG206:AR206)</f>
        <v>228000</v>
      </c>
      <c r="AT206" s="70">
        <f>SUM(AG206*4%)</f>
        <v>9120</v>
      </c>
      <c r="AU206" s="70">
        <f t="shared" ref="AU206:BE207" si="493">SUM(AH206*14%)</f>
        <v>0</v>
      </c>
      <c r="AV206" s="70">
        <f t="shared" si="493"/>
        <v>0</v>
      </c>
      <c r="AW206" s="70">
        <f t="shared" si="493"/>
        <v>0</v>
      </c>
      <c r="AX206" s="70">
        <f t="shared" si="493"/>
        <v>0</v>
      </c>
      <c r="AY206" s="70">
        <f t="shared" si="493"/>
        <v>0</v>
      </c>
      <c r="AZ206" s="70">
        <f t="shared" si="493"/>
        <v>0</v>
      </c>
      <c r="BA206" s="70">
        <f t="shared" si="493"/>
        <v>0</v>
      </c>
      <c r="BB206" s="70">
        <f t="shared" si="493"/>
        <v>0</v>
      </c>
      <c r="BC206" s="70">
        <f t="shared" si="493"/>
        <v>0</v>
      </c>
      <c r="BD206" s="70">
        <f t="shared" si="493"/>
        <v>0</v>
      </c>
      <c r="BE206" s="70">
        <f t="shared" si="493"/>
        <v>0</v>
      </c>
      <c r="BF206" s="72">
        <f>SUM(AT206:BE206)</f>
        <v>9120</v>
      </c>
      <c r="BG206" s="73">
        <f>AF206-AS206</f>
        <v>0</v>
      </c>
      <c r="BH206" s="74">
        <f>S206*D206</f>
        <v>228000</v>
      </c>
      <c r="BI206" s="75">
        <f>BH206-AS206</f>
        <v>0</v>
      </c>
      <c r="BJ206" s="175">
        <f>SUM(Q206/D206)</f>
        <v>1</v>
      </c>
      <c r="BK206" s="1081"/>
      <c r="BL206" s="1081"/>
      <c r="BM206" s="1083"/>
      <c r="BN206" s="1084"/>
      <c r="BO206" s="862"/>
      <c r="BP206" s="862"/>
      <c r="BQ206" s="862"/>
      <c r="BR206" s="862"/>
      <c r="BS206" s="862"/>
      <c r="BT206" s="862"/>
      <c r="BU206" s="862"/>
      <c r="BV206" s="862"/>
      <c r="BW206" s="1081">
        <f t="shared" ref="BW206:BW207" si="494">SUM(AN206*12.5%)</f>
        <v>0</v>
      </c>
      <c r="BX206" s="862"/>
      <c r="BY206" s="862"/>
      <c r="BZ206" s="862"/>
      <c r="CA206" s="73">
        <f t="shared" ref="CA206" si="495">SUM(BO206:BZ206)</f>
        <v>0</v>
      </c>
      <c r="CB206" s="862"/>
      <c r="CC206" s="862"/>
      <c r="CD206" s="862"/>
      <c r="CE206" s="862"/>
      <c r="CF206" s="862"/>
      <c r="CG206" s="862"/>
      <c r="CH206" s="862"/>
      <c r="CI206" s="862"/>
      <c r="CJ206" s="1081"/>
      <c r="CK206" s="862"/>
      <c r="CL206" s="862"/>
      <c r="CM206" s="862"/>
      <c r="CN206" s="73">
        <f t="shared" ref="CN206:CN207" si="496">SUM(CB206:CM206)</f>
        <v>0</v>
      </c>
    </row>
    <row r="207" spans="1:98" s="7" customFormat="1" ht="24.75" customHeight="1" thickBot="1" x14ac:dyDescent="0.25">
      <c r="A207" s="41"/>
      <c r="B207" s="141" t="s">
        <v>95</v>
      </c>
      <c r="C207" s="29" t="s">
        <v>25</v>
      </c>
      <c r="D207" s="557">
        <v>3</v>
      </c>
      <c r="E207" s="82">
        <v>3</v>
      </c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1">
        <f>SUM(E207:P207)</f>
        <v>3</v>
      </c>
      <c r="R207" s="83" t="s">
        <v>96</v>
      </c>
      <c r="S207" s="561">
        <v>28400</v>
      </c>
      <c r="T207" s="84">
        <v>25500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69">
        <f t="shared" si="490"/>
        <v>85200</v>
      </c>
      <c r="AG207" s="70">
        <f t="shared" si="491"/>
        <v>76500</v>
      </c>
      <c r="AH207" s="70">
        <f t="shared" si="491"/>
        <v>0</v>
      </c>
      <c r="AI207" s="70">
        <f t="shared" si="491"/>
        <v>0</v>
      </c>
      <c r="AJ207" s="70">
        <f t="shared" si="492"/>
        <v>0</v>
      </c>
      <c r="AK207" s="70">
        <f t="shared" si="492"/>
        <v>0</v>
      </c>
      <c r="AL207" s="70">
        <f t="shared" si="492"/>
        <v>0</v>
      </c>
      <c r="AM207" s="70">
        <f t="shared" si="492"/>
        <v>0</v>
      </c>
      <c r="AN207" s="70">
        <f t="shared" si="492"/>
        <v>0</v>
      </c>
      <c r="AO207" s="70">
        <f t="shared" si="492"/>
        <v>0</v>
      </c>
      <c r="AP207" s="70">
        <f t="shared" si="492"/>
        <v>0</v>
      </c>
      <c r="AQ207" s="70">
        <f t="shared" si="492"/>
        <v>0</v>
      </c>
      <c r="AR207" s="70">
        <f t="shared" si="492"/>
        <v>0</v>
      </c>
      <c r="AS207" s="71">
        <f>SUM(AG207:AR207)</f>
        <v>76500</v>
      </c>
      <c r="AT207" s="70">
        <f>SUM(AG207*4%)</f>
        <v>3060</v>
      </c>
      <c r="AU207" s="70">
        <f t="shared" si="493"/>
        <v>0</v>
      </c>
      <c r="AV207" s="70">
        <f t="shared" si="493"/>
        <v>0</v>
      </c>
      <c r="AW207" s="70">
        <f t="shared" si="493"/>
        <v>0</v>
      </c>
      <c r="AX207" s="70">
        <f t="shared" si="493"/>
        <v>0</v>
      </c>
      <c r="AY207" s="70">
        <f t="shared" si="493"/>
        <v>0</v>
      </c>
      <c r="AZ207" s="70">
        <f t="shared" si="493"/>
        <v>0</v>
      </c>
      <c r="BA207" s="70">
        <f t="shared" si="493"/>
        <v>0</v>
      </c>
      <c r="BB207" s="70">
        <f t="shared" si="493"/>
        <v>0</v>
      </c>
      <c r="BC207" s="70">
        <f t="shared" si="493"/>
        <v>0</v>
      </c>
      <c r="BD207" s="70">
        <f t="shared" si="493"/>
        <v>0</v>
      </c>
      <c r="BE207" s="70">
        <f t="shared" si="493"/>
        <v>0</v>
      </c>
      <c r="BF207" s="72">
        <f>SUM(AT207:BE207)</f>
        <v>3060</v>
      </c>
      <c r="BG207" s="73">
        <f>AF207-AS207</f>
        <v>8700</v>
      </c>
      <c r="BH207" s="74">
        <f>S207*D207</f>
        <v>85200</v>
      </c>
      <c r="BI207" s="75">
        <f>BH207-AS207</f>
        <v>8700</v>
      </c>
      <c r="BJ207" s="175">
        <f>SUM(Q207/D207)</f>
        <v>1</v>
      </c>
      <c r="BK207" s="1081"/>
      <c r="BL207" s="1081"/>
      <c r="BM207" s="1083"/>
      <c r="BN207" s="1084"/>
      <c r="BO207" s="862"/>
      <c r="BP207" s="862"/>
      <c r="BQ207" s="862"/>
      <c r="BR207" s="862"/>
      <c r="BS207" s="862"/>
      <c r="BT207" s="862"/>
      <c r="BU207" s="862"/>
      <c r="BV207" s="862"/>
      <c r="BW207" s="1081">
        <f t="shared" si="494"/>
        <v>0</v>
      </c>
      <c r="BX207" s="862"/>
      <c r="BY207" s="862"/>
      <c r="BZ207" s="862"/>
      <c r="CA207" s="73">
        <f t="shared" ref="CA207" si="497">SUM(BO207:BZ207)</f>
        <v>0</v>
      </c>
      <c r="CB207" s="862"/>
      <c r="CC207" s="862"/>
      <c r="CD207" s="862"/>
      <c r="CE207" s="862"/>
      <c r="CF207" s="862"/>
      <c r="CG207" s="862"/>
      <c r="CH207" s="862"/>
      <c r="CI207" s="862"/>
      <c r="CJ207" s="1081"/>
      <c r="CK207" s="862"/>
      <c r="CL207" s="862"/>
      <c r="CM207" s="862"/>
      <c r="CN207" s="73">
        <f t="shared" si="496"/>
        <v>0</v>
      </c>
    </row>
    <row r="208" spans="1:98" s="38" customFormat="1" ht="24.75" customHeight="1" thickBot="1" x14ac:dyDescent="0.25">
      <c r="A208" s="554">
        <v>19</v>
      </c>
      <c r="B208" s="44" t="s">
        <v>4</v>
      </c>
      <c r="C208" s="44"/>
      <c r="D208" s="227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7"/>
      <c r="R208" s="77"/>
      <c r="S208" s="45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78">
        <f t="shared" ref="AF208:BF208" si="498">SUM(AF206:AF207)</f>
        <v>313200</v>
      </c>
      <c r="AG208" s="78">
        <f t="shared" si="498"/>
        <v>304500</v>
      </c>
      <c r="AH208" s="78">
        <f t="shared" si="498"/>
        <v>0</v>
      </c>
      <c r="AI208" s="78">
        <f t="shared" si="498"/>
        <v>0</v>
      </c>
      <c r="AJ208" s="78">
        <f t="shared" ref="AJ208:AR208" si="499">SUM(AJ206:AJ207)</f>
        <v>0</v>
      </c>
      <c r="AK208" s="78">
        <f t="shared" si="499"/>
        <v>0</v>
      </c>
      <c r="AL208" s="78">
        <f t="shared" si="499"/>
        <v>0</v>
      </c>
      <c r="AM208" s="78">
        <f t="shared" si="499"/>
        <v>0</v>
      </c>
      <c r="AN208" s="78">
        <f t="shared" si="499"/>
        <v>0</v>
      </c>
      <c r="AO208" s="78">
        <f t="shared" si="499"/>
        <v>0</v>
      </c>
      <c r="AP208" s="78">
        <f t="shared" si="499"/>
        <v>0</v>
      </c>
      <c r="AQ208" s="78">
        <f t="shared" si="499"/>
        <v>0</v>
      </c>
      <c r="AR208" s="78">
        <f t="shared" si="499"/>
        <v>0</v>
      </c>
      <c r="AS208" s="78">
        <f t="shared" si="498"/>
        <v>304500</v>
      </c>
      <c r="AT208" s="78">
        <f t="shared" si="498"/>
        <v>12180</v>
      </c>
      <c r="AU208" s="78">
        <f t="shared" ref="AU208:BE208" si="500">SUM(AU206:AU207)</f>
        <v>0</v>
      </c>
      <c r="AV208" s="78">
        <f t="shared" si="500"/>
        <v>0</v>
      </c>
      <c r="AW208" s="78">
        <f t="shared" si="500"/>
        <v>0</v>
      </c>
      <c r="AX208" s="78">
        <f t="shared" si="500"/>
        <v>0</v>
      </c>
      <c r="AY208" s="78">
        <f t="shared" si="500"/>
        <v>0</v>
      </c>
      <c r="AZ208" s="78">
        <f t="shared" si="500"/>
        <v>0</v>
      </c>
      <c r="BA208" s="78">
        <f t="shared" si="500"/>
        <v>0</v>
      </c>
      <c r="BB208" s="78">
        <f t="shared" si="500"/>
        <v>0</v>
      </c>
      <c r="BC208" s="78">
        <f t="shared" si="500"/>
        <v>0</v>
      </c>
      <c r="BD208" s="78">
        <f t="shared" si="500"/>
        <v>0</v>
      </c>
      <c r="BE208" s="78">
        <f t="shared" si="500"/>
        <v>0</v>
      </c>
      <c r="BF208" s="78">
        <f t="shared" si="498"/>
        <v>12180</v>
      </c>
      <c r="BG208" s="79">
        <f>AF208-AS208</f>
        <v>8700</v>
      </c>
      <c r="BH208" s="78">
        <f>SUM(BH206:BH207)</f>
        <v>313200</v>
      </c>
      <c r="BI208" s="78">
        <f>SUM(BI206:BI207)</f>
        <v>8700</v>
      </c>
      <c r="BJ208" s="176">
        <f>SUM(BJ206:BJ207)/2</f>
        <v>1</v>
      </c>
      <c r="BK208" s="1081"/>
      <c r="BL208" s="1081"/>
      <c r="BM208" s="1083"/>
      <c r="BN208" s="1084"/>
      <c r="BO208" s="862"/>
      <c r="BP208" s="862"/>
      <c r="BQ208" s="862"/>
      <c r="BR208" s="862"/>
      <c r="BS208" s="862"/>
      <c r="BT208" s="862"/>
      <c r="BU208" s="862"/>
      <c r="BV208" s="862"/>
      <c r="BW208" s="1081">
        <f t="shared" ref="BW208" si="501">SUM(AN208*12.5%)</f>
        <v>0</v>
      </c>
      <c r="BX208" s="862"/>
      <c r="BY208" s="862"/>
      <c r="BZ208" s="862"/>
      <c r="CA208" s="73">
        <f t="shared" ref="CA208" si="502">SUM(BO208:BZ208)</f>
        <v>0</v>
      </c>
      <c r="CB208" s="862"/>
      <c r="CC208" s="862"/>
      <c r="CD208" s="862"/>
      <c r="CE208" s="862"/>
      <c r="CF208" s="862"/>
      <c r="CG208" s="862"/>
      <c r="CH208" s="862"/>
      <c r="CI208" s="862"/>
      <c r="CJ208" s="1081"/>
      <c r="CK208" s="862"/>
      <c r="CL208" s="862"/>
      <c r="CM208" s="862"/>
      <c r="CN208" s="73">
        <f t="shared" ref="CN208" si="503">SUM(CB208:CM208)</f>
        <v>0</v>
      </c>
    </row>
    <row r="209" spans="1:98" s="20" customFormat="1" ht="24.75" customHeight="1" x14ac:dyDescent="0.2">
      <c r="A209" s="50"/>
      <c r="D209" s="22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AE209" s="40"/>
      <c r="AS209" s="51"/>
      <c r="BF209" s="52">
        <f>SUM(AS208+BF208)</f>
        <v>316680</v>
      </c>
      <c r="BG209" s="53">
        <f>AF208-AS208</f>
        <v>8700</v>
      </c>
      <c r="BH209" s="54">
        <f>SUM(BI208+AS208)</f>
        <v>313200</v>
      </c>
      <c r="BI209" s="55">
        <f>SUM(BG208)</f>
        <v>8700</v>
      </c>
      <c r="BJ209" s="40" t="s">
        <v>38</v>
      </c>
      <c r="BK209" s="40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</row>
    <row r="210" spans="1:98" s="20" customFormat="1" ht="24.75" customHeight="1" x14ac:dyDescent="0.2">
      <c r="A210" s="50"/>
      <c r="D210" s="22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AE210" s="40"/>
      <c r="AS210" s="40"/>
      <c r="AT210" s="123">
        <f>SUM(AG208+AT208)</f>
        <v>316680</v>
      </c>
      <c r="AU210" s="123">
        <f t="shared" ref="AU210:BE210" si="504">SUM(AH208+AU208)</f>
        <v>0</v>
      </c>
      <c r="AV210" s="123">
        <f t="shared" si="504"/>
        <v>0</v>
      </c>
      <c r="AW210" s="123">
        <f t="shared" si="504"/>
        <v>0</v>
      </c>
      <c r="AX210" s="123">
        <f t="shared" si="504"/>
        <v>0</v>
      </c>
      <c r="AY210" s="123">
        <f t="shared" si="504"/>
        <v>0</v>
      </c>
      <c r="AZ210" s="123">
        <f t="shared" si="504"/>
        <v>0</v>
      </c>
      <c r="BA210" s="123">
        <f t="shared" si="504"/>
        <v>0</v>
      </c>
      <c r="BB210" s="123">
        <f t="shared" si="504"/>
        <v>0</v>
      </c>
      <c r="BC210" s="123">
        <f t="shared" si="504"/>
        <v>0</v>
      </c>
      <c r="BD210" s="123">
        <f t="shared" si="504"/>
        <v>0</v>
      </c>
      <c r="BE210" s="123">
        <f t="shared" si="504"/>
        <v>0</v>
      </c>
      <c r="BF210" s="123">
        <f>SUM(AT210:BE210)</f>
        <v>316680</v>
      </c>
      <c r="BG210" s="40"/>
      <c r="BH210" s="56"/>
      <c r="BI210" s="57">
        <f>SUM(BI208-BI209)</f>
        <v>0</v>
      </c>
      <c r="BJ210" s="40" t="s">
        <v>37</v>
      </c>
      <c r="BK210" s="40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</row>
    <row r="211" spans="1:98" s="20" customFormat="1" ht="16.5" customHeight="1" x14ac:dyDescent="0.2">
      <c r="A211" s="1730" t="s">
        <v>8</v>
      </c>
      <c r="B211" s="1731"/>
      <c r="C211" s="124" t="s">
        <v>97</v>
      </c>
      <c r="D211" s="224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  <c r="AE211" s="137"/>
      <c r="AF211" s="23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8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8"/>
      <c r="BG211" s="138"/>
      <c r="BH211" s="135"/>
      <c r="BI211" s="139"/>
      <c r="BJ211" s="135"/>
      <c r="BK211" s="136"/>
      <c r="BL211" s="136"/>
      <c r="BM211" s="136"/>
      <c r="BN211" s="136"/>
      <c r="BO211" s="136"/>
      <c r="BP211" s="137"/>
      <c r="BQ211" s="136"/>
      <c r="BR211" s="136"/>
      <c r="BS211" s="136"/>
      <c r="BT211" s="136"/>
      <c r="BU211" s="136"/>
      <c r="BV211" s="138"/>
      <c r="BW211" s="138"/>
      <c r="BX211" s="138"/>
      <c r="BY211" s="135"/>
      <c r="BZ211" s="139"/>
      <c r="CA211" s="138"/>
      <c r="CB211" s="138"/>
      <c r="CC211" s="24"/>
      <c r="CD211" s="24"/>
      <c r="CE211" s="24"/>
      <c r="CF211" s="24"/>
      <c r="CG211" s="24"/>
      <c r="CH211" s="140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</row>
    <row r="212" spans="1:98" s="8" customFormat="1" ht="48.75" customHeight="1" x14ac:dyDescent="0.2">
      <c r="A212" s="1703" t="s">
        <v>10</v>
      </c>
      <c r="B212" s="1706" t="s">
        <v>11</v>
      </c>
      <c r="C212" s="1706" t="s">
        <v>22</v>
      </c>
      <c r="D212" s="1721" t="s">
        <v>12</v>
      </c>
      <c r="E212" s="1721"/>
      <c r="F212" s="1721"/>
      <c r="G212" s="1721"/>
      <c r="H212" s="1721"/>
      <c r="I212" s="1721"/>
      <c r="J212" s="1721"/>
      <c r="K212" s="1721"/>
      <c r="L212" s="1721"/>
      <c r="M212" s="1721"/>
      <c r="N212" s="1721"/>
      <c r="O212" s="1721"/>
      <c r="P212" s="1721"/>
      <c r="Q212" s="1721"/>
      <c r="R212" s="1706" t="s">
        <v>20</v>
      </c>
      <c r="S212" s="1717" t="s">
        <v>17</v>
      </c>
      <c r="T212" s="1718"/>
      <c r="U212" s="1718"/>
      <c r="V212" s="1718"/>
      <c r="W212" s="1718"/>
      <c r="X212" s="1718"/>
      <c r="Y212" s="1718"/>
      <c r="Z212" s="1718"/>
      <c r="AA212" s="1718"/>
      <c r="AB212" s="1718"/>
      <c r="AC212" s="1718"/>
      <c r="AD212" s="1718"/>
      <c r="AE212" s="1719"/>
      <c r="AF212" s="1720" t="s">
        <v>6</v>
      </c>
      <c r="AG212" s="1720"/>
      <c r="AH212" s="1720"/>
      <c r="AI212" s="1720"/>
      <c r="AJ212" s="1720"/>
      <c r="AK212" s="1720"/>
      <c r="AL212" s="1720"/>
      <c r="AM212" s="1720"/>
      <c r="AN212" s="1720"/>
      <c r="AO212" s="1720"/>
      <c r="AP212" s="1720"/>
      <c r="AQ212" s="1720"/>
      <c r="AR212" s="1720"/>
      <c r="AS212" s="1720"/>
      <c r="AT212" s="1722" t="s">
        <v>41</v>
      </c>
      <c r="AU212" s="1723"/>
      <c r="AV212" s="1723"/>
      <c r="AW212" s="1723"/>
      <c r="AX212" s="1723"/>
      <c r="AY212" s="1723"/>
      <c r="AZ212" s="1723"/>
      <c r="BA212" s="1723"/>
      <c r="BB212" s="1723"/>
      <c r="BC212" s="1723"/>
      <c r="BD212" s="1723"/>
      <c r="BE212" s="1723"/>
      <c r="BF212" s="1724"/>
      <c r="BG212" s="1706" t="s">
        <v>38</v>
      </c>
      <c r="BH212" s="1706" t="s">
        <v>256</v>
      </c>
      <c r="BI212" s="1709" t="s">
        <v>39</v>
      </c>
      <c r="BJ212" s="135"/>
      <c r="BK212" s="135"/>
      <c r="BL212" s="135"/>
      <c r="BM212" s="135"/>
      <c r="BN212" s="135"/>
      <c r="BO212" s="1733" t="s">
        <v>41</v>
      </c>
      <c r="BP212" s="1734"/>
      <c r="BQ212" s="1734"/>
      <c r="BR212" s="1734"/>
      <c r="BS212" s="1734"/>
      <c r="BT212" s="1734"/>
      <c r="BU212" s="1734"/>
      <c r="BV212" s="1734"/>
      <c r="BW212" s="1734"/>
      <c r="BX212" s="1734"/>
      <c r="BY212" s="1734"/>
      <c r="BZ212" s="1734"/>
      <c r="CA212" s="1734"/>
      <c r="CB212" s="1734"/>
      <c r="CC212" s="1734"/>
      <c r="CD212" s="1734"/>
      <c r="CE212" s="1734"/>
      <c r="CF212" s="1734"/>
      <c r="CG212" s="1734"/>
      <c r="CH212" s="1734"/>
      <c r="CI212" s="1734"/>
      <c r="CJ212" s="1734"/>
      <c r="CK212" s="1734"/>
      <c r="CL212" s="1734"/>
      <c r="CM212" s="1734"/>
      <c r="CN212" s="1735"/>
    </row>
    <row r="213" spans="1:98" s="8" customFormat="1" ht="48.75" customHeight="1" x14ac:dyDescent="0.2">
      <c r="A213" s="1704"/>
      <c r="B213" s="1707"/>
      <c r="C213" s="1707"/>
      <c r="D213" s="1728" t="s">
        <v>18</v>
      </c>
      <c r="E213" s="1714" t="s">
        <v>19</v>
      </c>
      <c r="F213" s="1715"/>
      <c r="G213" s="1715"/>
      <c r="H213" s="1715"/>
      <c r="I213" s="1715"/>
      <c r="J213" s="1715"/>
      <c r="K213" s="1715"/>
      <c r="L213" s="1715"/>
      <c r="M213" s="1715"/>
      <c r="N213" s="1715"/>
      <c r="O213" s="1715"/>
      <c r="P213" s="1715"/>
      <c r="Q213" s="1715"/>
      <c r="R213" s="1707"/>
      <c r="S213" s="1712" t="s">
        <v>18</v>
      </c>
      <c r="T213" s="1714" t="s">
        <v>19</v>
      </c>
      <c r="U213" s="1715"/>
      <c r="V213" s="1715"/>
      <c r="W213" s="1715"/>
      <c r="X213" s="1715"/>
      <c r="Y213" s="1715"/>
      <c r="Z213" s="1715"/>
      <c r="AA213" s="1715"/>
      <c r="AB213" s="1715"/>
      <c r="AC213" s="1715"/>
      <c r="AD213" s="1715"/>
      <c r="AE213" s="1716"/>
      <c r="AF213" s="1712" t="s">
        <v>18</v>
      </c>
      <c r="AG213" s="1714" t="s">
        <v>19</v>
      </c>
      <c r="AH213" s="1715"/>
      <c r="AI213" s="1715"/>
      <c r="AJ213" s="1715"/>
      <c r="AK213" s="1715"/>
      <c r="AL213" s="1715"/>
      <c r="AM213" s="1715"/>
      <c r="AN213" s="1715"/>
      <c r="AO213" s="1715"/>
      <c r="AP213" s="1715"/>
      <c r="AQ213" s="1715"/>
      <c r="AR213" s="1715"/>
      <c r="AS213" s="1716"/>
      <c r="AT213" s="1725"/>
      <c r="AU213" s="1726"/>
      <c r="AV213" s="1726"/>
      <c r="AW213" s="1726"/>
      <c r="AX213" s="1726"/>
      <c r="AY213" s="1726"/>
      <c r="AZ213" s="1726"/>
      <c r="BA213" s="1726"/>
      <c r="BB213" s="1726"/>
      <c r="BC213" s="1726"/>
      <c r="BD213" s="1726"/>
      <c r="BE213" s="1726"/>
      <c r="BF213" s="1727"/>
      <c r="BG213" s="1707"/>
      <c r="BH213" s="1707"/>
      <c r="BI213" s="1710"/>
      <c r="BJ213" s="135"/>
      <c r="BK213" s="1736">
        <f>SUM(BK215/60)</f>
        <v>3724</v>
      </c>
      <c r="BL213" s="1736"/>
      <c r="BM213" s="1736"/>
      <c r="BN213" s="23"/>
      <c r="BO213" s="1737" t="s">
        <v>686</v>
      </c>
      <c r="BP213" s="1738"/>
      <c r="BQ213" s="1738"/>
      <c r="BR213" s="1738"/>
      <c r="BS213" s="1738"/>
      <c r="BT213" s="1738"/>
      <c r="BU213" s="1738"/>
      <c r="BV213" s="1738"/>
      <c r="BW213" s="1738"/>
      <c r="BX213" s="1738"/>
      <c r="BY213" s="1738"/>
      <c r="BZ213" s="1738"/>
      <c r="CA213" s="1739"/>
      <c r="CB213" s="1740" t="s">
        <v>687</v>
      </c>
      <c r="CC213" s="1741"/>
      <c r="CD213" s="1741"/>
      <c r="CE213" s="1741"/>
      <c r="CF213" s="1741"/>
      <c r="CG213" s="1741"/>
      <c r="CH213" s="1741"/>
      <c r="CI213" s="1741"/>
      <c r="CJ213" s="1741"/>
      <c r="CK213" s="1741"/>
      <c r="CL213" s="1741"/>
      <c r="CM213" s="1741"/>
      <c r="CN213" s="1742"/>
    </row>
    <row r="214" spans="1:98" s="6" customFormat="1" ht="28.5" customHeight="1" x14ac:dyDescent="0.2">
      <c r="A214" s="1705"/>
      <c r="B214" s="1708"/>
      <c r="C214" s="1708"/>
      <c r="D214" s="1729"/>
      <c r="E214" s="26">
        <v>1</v>
      </c>
      <c r="F214" s="26">
        <v>2</v>
      </c>
      <c r="G214" s="26">
        <v>3</v>
      </c>
      <c r="H214" s="26">
        <v>4</v>
      </c>
      <c r="I214" s="26">
        <v>5</v>
      </c>
      <c r="J214" s="26">
        <v>6</v>
      </c>
      <c r="K214" s="26">
        <v>7</v>
      </c>
      <c r="L214" s="26">
        <v>8</v>
      </c>
      <c r="M214" s="26">
        <v>9</v>
      </c>
      <c r="N214" s="26">
        <v>10</v>
      </c>
      <c r="O214" s="26">
        <v>11</v>
      </c>
      <c r="P214" s="26">
        <v>12</v>
      </c>
      <c r="Q214" s="26" t="s">
        <v>21</v>
      </c>
      <c r="R214" s="1708"/>
      <c r="S214" s="1713"/>
      <c r="T214" s="26">
        <v>1</v>
      </c>
      <c r="U214" s="26">
        <v>2</v>
      </c>
      <c r="V214" s="26">
        <v>3</v>
      </c>
      <c r="W214" s="26">
        <v>4</v>
      </c>
      <c r="X214" s="26">
        <v>5</v>
      </c>
      <c r="Y214" s="26">
        <v>6</v>
      </c>
      <c r="Z214" s="26">
        <v>7</v>
      </c>
      <c r="AA214" s="26">
        <v>8</v>
      </c>
      <c r="AB214" s="26">
        <v>9</v>
      </c>
      <c r="AC214" s="26">
        <v>10</v>
      </c>
      <c r="AD214" s="26">
        <v>11</v>
      </c>
      <c r="AE214" s="26">
        <v>12</v>
      </c>
      <c r="AF214" s="1713"/>
      <c r="AG214" s="26">
        <v>1</v>
      </c>
      <c r="AH214" s="26">
        <v>2</v>
      </c>
      <c r="AI214" s="26">
        <v>3</v>
      </c>
      <c r="AJ214" s="26">
        <v>4</v>
      </c>
      <c r="AK214" s="26">
        <v>5</v>
      </c>
      <c r="AL214" s="26">
        <v>6</v>
      </c>
      <c r="AM214" s="26">
        <v>7</v>
      </c>
      <c r="AN214" s="26">
        <v>8</v>
      </c>
      <c r="AO214" s="26">
        <v>9</v>
      </c>
      <c r="AP214" s="26">
        <v>10</v>
      </c>
      <c r="AQ214" s="26">
        <v>11</v>
      </c>
      <c r="AR214" s="26">
        <v>12</v>
      </c>
      <c r="AS214" s="26" t="s">
        <v>13</v>
      </c>
      <c r="AT214" s="173">
        <v>1</v>
      </c>
      <c r="AU214" s="173">
        <v>2</v>
      </c>
      <c r="AV214" s="173">
        <v>3</v>
      </c>
      <c r="AW214" s="173">
        <v>4</v>
      </c>
      <c r="AX214" s="173">
        <v>5</v>
      </c>
      <c r="AY214" s="173">
        <v>6</v>
      </c>
      <c r="AZ214" s="173">
        <v>7</v>
      </c>
      <c r="BA214" s="173">
        <v>8</v>
      </c>
      <c r="BB214" s="173">
        <v>9</v>
      </c>
      <c r="BC214" s="173">
        <v>10</v>
      </c>
      <c r="BD214" s="173">
        <v>11</v>
      </c>
      <c r="BE214" s="173">
        <v>12</v>
      </c>
      <c r="BF214" s="26" t="s">
        <v>13</v>
      </c>
      <c r="BG214" s="1708"/>
      <c r="BH214" s="1708"/>
      <c r="BI214" s="1711"/>
      <c r="BJ214" s="7"/>
      <c r="BK214" s="1743" t="s">
        <v>19</v>
      </c>
      <c r="BL214" s="1744"/>
      <c r="BM214" s="1745"/>
      <c r="BN214" s="621"/>
      <c r="BO214" s="173">
        <v>1</v>
      </c>
      <c r="BP214" s="173">
        <v>2</v>
      </c>
      <c r="BQ214" s="173">
        <v>3</v>
      </c>
      <c r="BR214" s="173">
        <v>4</v>
      </c>
      <c r="BS214" s="173">
        <v>5</v>
      </c>
      <c r="BT214" s="173">
        <v>6</v>
      </c>
      <c r="BU214" s="173">
        <v>7</v>
      </c>
      <c r="BV214" s="173">
        <v>8</v>
      </c>
      <c r="BW214" s="173">
        <v>9</v>
      </c>
      <c r="BX214" s="173">
        <v>10</v>
      </c>
      <c r="BY214" s="173">
        <v>11</v>
      </c>
      <c r="BZ214" s="173">
        <v>12</v>
      </c>
      <c r="CA214" s="26" t="s">
        <v>13</v>
      </c>
      <c r="CB214" s="173">
        <v>1</v>
      </c>
      <c r="CC214" s="173">
        <v>2</v>
      </c>
      <c r="CD214" s="173">
        <v>3</v>
      </c>
      <c r="CE214" s="173">
        <v>4</v>
      </c>
      <c r="CF214" s="173">
        <v>5</v>
      </c>
      <c r="CG214" s="173">
        <v>6</v>
      </c>
      <c r="CH214" s="173">
        <v>7</v>
      </c>
      <c r="CI214" s="173">
        <v>8</v>
      </c>
      <c r="CJ214" s="173">
        <v>9</v>
      </c>
      <c r="CK214" s="173">
        <v>10</v>
      </c>
      <c r="CL214" s="173">
        <v>11</v>
      </c>
      <c r="CM214" s="173">
        <v>12</v>
      </c>
      <c r="CN214" s="26" t="s">
        <v>13</v>
      </c>
    </row>
    <row r="215" spans="1:98" s="7" customFormat="1" ht="24.75" customHeight="1" x14ac:dyDescent="0.2">
      <c r="A215" s="41"/>
      <c r="B215" s="141" t="s">
        <v>94</v>
      </c>
      <c r="C215" s="29" t="s">
        <v>25</v>
      </c>
      <c r="D215" s="560">
        <v>400</v>
      </c>
      <c r="E215" s="1152">
        <v>400</v>
      </c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1">
        <f>SUM(E215:P215)</f>
        <v>400</v>
      </c>
      <c r="R215" s="83" t="s">
        <v>7</v>
      </c>
      <c r="S215" s="561">
        <v>570</v>
      </c>
      <c r="T215" s="1153">
        <v>570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69">
        <f t="shared" ref="AF215:AF216" si="505">SUM(Q215*S215)</f>
        <v>228000</v>
      </c>
      <c r="AG215" s="1081">
        <f t="shared" ref="AG215:AI216" si="506">T215*E215</f>
        <v>228000</v>
      </c>
      <c r="AH215" s="70">
        <f t="shared" si="506"/>
        <v>0</v>
      </c>
      <c r="AI215" s="70">
        <f t="shared" si="506"/>
        <v>0</v>
      </c>
      <c r="AJ215" s="70">
        <f t="shared" ref="AJ215:AR216" si="507">W215*H215</f>
        <v>0</v>
      </c>
      <c r="AK215" s="70">
        <f t="shared" si="507"/>
        <v>0</v>
      </c>
      <c r="AL215" s="70">
        <f t="shared" si="507"/>
        <v>0</v>
      </c>
      <c r="AM215" s="70">
        <f t="shared" si="507"/>
        <v>0</v>
      </c>
      <c r="AN215" s="70">
        <f t="shared" si="507"/>
        <v>0</v>
      </c>
      <c r="AO215" s="70">
        <f t="shared" si="507"/>
        <v>0</v>
      </c>
      <c r="AP215" s="70">
        <f t="shared" si="507"/>
        <v>0</v>
      </c>
      <c r="AQ215" s="70">
        <f t="shared" si="507"/>
        <v>0</v>
      </c>
      <c r="AR215" s="70">
        <f t="shared" si="507"/>
        <v>0</v>
      </c>
      <c r="AS215" s="71">
        <f>SUM(AG215:AR215)</f>
        <v>228000</v>
      </c>
      <c r="AT215" s="70">
        <f>SUM(AG215*2%)</f>
        <v>4560</v>
      </c>
      <c r="AU215" s="70">
        <f>SUM(AH215*14%)</f>
        <v>0</v>
      </c>
      <c r="AV215" s="70">
        <f t="shared" ref="AV215:BE216" si="508">SUM(AI215*14%)</f>
        <v>0</v>
      </c>
      <c r="AW215" s="70">
        <f t="shared" si="508"/>
        <v>0</v>
      </c>
      <c r="AX215" s="70">
        <f t="shared" si="508"/>
        <v>0</v>
      </c>
      <c r="AY215" s="70">
        <f t="shared" si="508"/>
        <v>0</v>
      </c>
      <c r="AZ215" s="70">
        <f t="shared" si="508"/>
        <v>0</v>
      </c>
      <c r="BA215" s="70">
        <f t="shared" si="508"/>
        <v>0</v>
      </c>
      <c r="BB215" s="70">
        <f t="shared" si="508"/>
        <v>0</v>
      </c>
      <c r="BC215" s="70">
        <f t="shared" si="508"/>
        <v>0</v>
      </c>
      <c r="BD215" s="70">
        <f t="shared" si="508"/>
        <v>0</v>
      </c>
      <c r="BE215" s="70">
        <f t="shared" si="508"/>
        <v>0</v>
      </c>
      <c r="BF215" s="72">
        <f>SUM(AT215:BE215)</f>
        <v>4560</v>
      </c>
      <c r="BG215" s="73">
        <f>AF215-AS215</f>
        <v>0</v>
      </c>
      <c r="BH215" s="74">
        <f>S215*D215</f>
        <v>228000</v>
      </c>
      <c r="BI215" s="75">
        <f>BH215-AS215</f>
        <v>0</v>
      </c>
      <c r="BJ215" s="175">
        <f>SUM(Q215/D215)</f>
        <v>1</v>
      </c>
      <c r="BK215" s="1081">
        <f>AG215-AT215</f>
        <v>223440</v>
      </c>
      <c r="BL215" s="1081">
        <f>400 *500</f>
        <v>200000</v>
      </c>
      <c r="BM215" s="1083">
        <f>BK215-BL215</f>
        <v>23440</v>
      </c>
      <c r="BN215" s="1084"/>
      <c r="BO215" s="862"/>
      <c r="BP215" s="862"/>
      <c r="BQ215" s="862"/>
      <c r="BR215" s="862"/>
      <c r="BS215" s="862"/>
      <c r="BT215" s="862"/>
      <c r="BU215" s="862"/>
      <c r="BV215" s="862"/>
      <c r="BW215" s="1081">
        <f t="shared" ref="BW215:BW216" si="509">SUM(AN215*12.5%)</f>
        <v>0</v>
      </c>
      <c r="BX215" s="862"/>
      <c r="BY215" s="862"/>
      <c r="BZ215" s="862"/>
      <c r="CA215" s="73">
        <f t="shared" ref="CA215" si="510">SUM(BO215:BZ215)</f>
        <v>0</v>
      </c>
      <c r="CB215" s="862"/>
      <c r="CC215" s="862"/>
      <c r="CD215" s="862"/>
      <c r="CE215" s="862"/>
      <c r="CF215" s="862"/>
      <c r="CG215" s="862"/>
      <c r="CH215" s="862"/>
      <c r="CI215" s="862"/>
      <c r="CJ215" s="1081"/>
      <c r="CK215" s="862"/>
      <c r="CL215" s="862"/>
      <c r="CM215" s="862"/>
      <c r="CN215" s="73">
        <f t="shared" ref="CN215:CN216" si="511">SUM(CB215:CM215)</f>
        <v>0</v>
      </c>
    </row>
    <row r="216" spans="1:98" s="7" customFormat="1" ht="24.75" customHeight="1" thickBot="1" x14ac:dyDescent="0.25">
      <c r="A216" s="41"/>
      <c r="B216" s="141" t="s">
        <v>95</v>
      </c>
      <c r="C216" s="29" t="s">
        <v>25</v>
      </c>
      <c r="D216" s="560">
        <v>3</v>
      </c>
      <c r="E216" s="1152">
        <v>3</v>
      </c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1">
        <f>SUM(E216:P216)</f>
        <v>3</v>
      </c>
      <c r="R216" s="83" t="s">
        <v>96</v>
      </c>
      <c r="S216" s="561">
        <v>28400</v>
      </c>
      <c r="T216" s="1153">
        <v>25500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69">
        <f t="shared" si="505"/>
        <v>85200</v>
      </c>
      <c r="AG216" s="1081">
        <f t="shared" si="506"/>
        <v>76500</v>
      </c>
      <c r="AH216" s="70">
        <f t="shared" si="506"/>
        <v>0</v>
      </c>
      <c r="AI216" s="70">
        <f t="shared" si="506"/>
        <v>0</v>
      </c>
      <c r="AJ216" s="70">
        <f t="shared" si="507"/>
        <v>0</v>
      </c>
      <c r="AK216" s="70">
        <f t="shared" si="507"/>
        <v>0</v>
      </c>
      <c r="AL216" s="70">
        <f t="shared" si="507"/>
        <v>0</v>
      </c>
      <c r="AM216" s="70">
        <f t="shared" si="507"/>
        <v>0</v>
      </c>
      <c r="AN216" s="70">
        <f t="shared" si="507"/>
        <v>0</v>
      </c>
      <c r="AO216" s="70">
        <f t="shared" si="507"/>
        <v>0</v>
      </c>
      <c r="AP216" s="70">
        <f t="shared" si="507"/>
        <v>0</v>
      </c>
      <c r="AQ216" s="70">
        <f t="shared" si="507"/>
        <v>0</v>
      </c>
      <c r="AR216" s="70">
        <f t="shared" si="507"/>
        <v>0</v>
      </c>
      <c r="AS216" s="71">
        <f>SUM(AG216:AR216)</f>
        <v>76500</v>
      </c>
      <c r="AT216" s="70">
        <f>SUM(AG216*2%)</f>
        <v>1530</v>
      </c>
      <c r="AU216" s="70">
        <f>SUM(AH216*14%)</f>
        <v>0</v>
      </c>
      <c r="AV216" s="70">
        <f t="shared" si="508"/>
        <v>0</v>
      </c>
      <c r="AW216" s="70">
        <f t="shared" si="508"/>
        <v>0</v>
      </c>
      <c r="AX216" s="70">
        <f t="shared" si="508"/>
        <v>0</v>
      </c>
      <c r="AY216" s="70">
        <f t="shared" si="508"/>
        <v>0</v>
      </c>
      <c r="AZ216" s="70">
        <f t="shared" si="508"/>
        <v>0</v>
      </c>
      <c r="BA216" s="70">
        <f t="shared" si="508"/>
        <v>0</v>
      </c>
      <c r="BB216" s="70">
        <f t="shared" si="508"/>
        <v>0</v>
      </c>
      <c r="BC216" s="70">
        <f t="shared" si="508"/>
        <v>0</v>
      </c>
      <c r="BD216" s="70">
        <f t="shared" si="508"/>
        <v>0</v>
      </c>
      <c r="BE216" s="70">
        <f t="shared" si="508"/>
        <v>0</v>
      </c>
      <c r="BF216" s="72">
        <f>SUM(AT216:BE216)</f>
        <v>1530</v>
      </c>
      <c r="BG216" s="73">
        <f>AF216-AS216</f>
        <v>8700</v>
      </c>
      <c r="BH216" s="74">
        <f>S216*D216</f>
        <v>85200</v>
      </c>
      <c r="BI216" s="75">
        <f>BH216-AS216</f>
        <v>8700</v>
      </c>
      <c r="BJ216" s="175">
        <f>SUM(Q216/D216)</f>
        <v>1</v>
      </c>
      <c r="BK216" s="1081">
        <f>AG216-AT216</f>
        <v>74970</v>
      </c>
      <c r="BL216" s="1081">
        <f>BK216</f>
        <v>74970</v>
      </c>
      <c r="BM216" s="1083">
        <f t="shared" ref="BM216" si="512">BK216-BL216</f>
        <v>0</v>
      </c>
      <c r="BN216" s="1084"/>
      <c r="BO216" s="862"/>
      <c r="BP216" s="862"/>
      <c r="BQ216" s="862"/>
      <c r="BR216" s="862"/>
      <c r="BS216" s="862"/>
      <c r="BT216" s="862"/>
      <c r="BU216" s="862"/>
      <c r="BV216" s="862"/>
      <c r="BW216" s="1081">
        <f t="shared" si="509"/>
        <v>0</v>
      </c>
      <c r="BX216" s="862"/>
      <c r="BY216" s="862"/>
      <c r="BZ216" s="862"/>
      <c r="CA216" s="73">
        <f t="shared" ref="CA216" si="513">SUM(BO216:BZ216)</f>
        <v>0</v>
      </c>
      <c r="CB216" s="862"/>
      <c r="CC216" s="862"/>
      <c r="CD216" s="862"/>
      <c r="CE216" s="862"/>
      <c r="CF216" s="862"/>
      <c r="CG216" s="862"/>
      <c r="CH216" s="862"/>
      <c r="CI216" s="862"/>
      <c r="CJ216" s="1081"/>
      <c r="CK216" s="862"/>
      <c r="CL216" s="862"/>
      <c r="CM216" s="862"/>
      <c r="CN216" s="73">
        <f t="shared" si="511"/>
        <v>0</v>
      </c>
    </row>
    <row r="217" spans="1:98" s="38" customFormat="1" ht="24.75" customHeight="1" thickBot="1" x14ac:dyDescent="0.25">
      <c r="A217" s="554">
        <v>20</v>
      </c>
      <c r="B217" s="44" t="s">
        <v>4</v>
      </c>
      <c r="C217" s="44"/>
      <c r="D217" s="227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7"/>
      <c r="R217" s="77"/>
      <c r="S217" s="45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78">
        <f t="shared" ref="AF217:BF217" si="514">SUM(AF215:AF216)</f>
        <v>313200</v>
      </c>
      <c r="AG217" s="1475">
        <f t="shared" si="514"/>
        <v>304500</v>
      </c>
      <c r="AH217" s="78">
        <f t="shared" si="514"/>
        <v>0</v>
      </c>
      <c r="AI217" s="78">
        <f t="shared" si="514"/>
        <v>0</v>
      </c>
      <c r="AJ217" s="78">
        <f t="shared" ref="AJ217:AR217" si="515">SUM(AJ215:AJ216)</f>
        <v>0</v>
      </c>
      <c r="AK217" s="78">
        <f t="shared" si="515"/>
        <v>0</v>
      </c>
      <c r="AL217" s="78">
        <f t="shared" si="515"/>
        <v>0</v>
      </c>
      <c r="AM217" s="78">
        <f t="shared" si="515"/>
        <v>0</v>
      </c>
      <c r="AN217" s="78">
        <f t="shared" si="515"/>
        <v>0</v>
      </c>
      <c r="AO217" s="78">
        <f t="shared" si="515"/>
        <v>0</v>
      </c>
      <c r="AP217" s="78">
        <f t="shared" si="515"/>
        <v>0</v>
      </c>
      <c r="AQ217" s="78">
        <f t="shared" si="515"/>
        <v>0</v>
      </c>
      <c r="AR217" s="78">
        <f t="shared" si="515"/>
        <v>0</v>
      </c>
      <c r="AS217" s="78">
        <f t="shared" si="514"/>
        <v>304500</v>
      </c>
      <c r="AT217" s="78">
        <f>SUM(AT215:AT216)</f>
        <v>6090</v>
      </c>
      <c r="AU217" s="78">
        <f t="shared" si="514"/>
        <v>0</v>
      </c>
      <c r="AV217" s="78">
        <f t="shared" ref="AV217:BE217" si="516">SUM(AV215:AV216)</f>
        <v>0</v>
      </c>
      <c r="AW217" s="78">
        <f t="shared" si="516"/>
        <v>0</v>
      </c>
      <c r="AX217" s="78">
        <f t="shared" si="516"/>
        <v>0</v>
      </c>
      <c r="AY217" s="78">
        <f t="shared" si="516"/>
        <v>0</v>
      </c>
      <c r="AZ217" s="78">
        <f t="shared" si="516"/>
        <v>0</v>
      </c>
      <c r="BA217" s="78">
        <f t="shared" si="516"/>
        <v>0</v>
      </c>
      <c r="BB217" s="78">
        <f t="shared" si="516"/>
        <v>0</v>
      </c>
      <c r="BC217" s="78">
        <f t="shared" si="516"/>
        <v>0</v>
      </c>
      <c r="BD217" s="78">
        <f t="shared" si="516"/>
        <v>0</v>
      </c>
      <c r="BE217" s="78">
        <f t="shared" si="516"/>
        <v>0</v>
      </c>
      <c r="BF217" s="78">
        <f t="shared" si="514"/>
        <v>6090</v>
      </c>
      <c r="BG217" s="79">
        <f>AF217-AS217-BF217</f>
        <v>2610</v>
      </c>
      <c r="BH217" s="78">
        <f>SUM(BH215:BH216)</f>
        <v>313200</v>
      </c>
      <c r="BI217" s="78">
        <f>SUM(BI215:BI216)</f>
        <v>8700</v>
      </c>
      <c r="BJ217" s="176">
        <f>SUM(BJ215:BJ216)/2</f>
        <v>1</v>
      </c>
      <c r="BK217" s="1081">
        <f>SUM(BK215:BK216)</f>
        <v>298410</v>
      </c>
      <c r="BL217" s="1081">
        <f>SUM(BL215:BL216)</f>
        <v>274970</v>
      </c>
      <c r="BM217" s="1083">
        <f>SUM(BM215:BM216)</f>
        <v>23440</v>
      </c>
      <c r="BN217" s="1084"/>
      <c r="BO217" s="862"/>
      <c r="BP217" s="862"/>
      <c r="BQ217" s="862"/>
      <c r="BR217" s="862"/>
      <c r="BS217" s="862"/>
      <c r="BT217" s="862"/>
      <c r="BU217" s="862"/>
      <c r="BV217" s="862"/>
      <c r="BW217" s="1081">
        <f t="shared" ref="BW217" si="517">SUM(AN217*12.5%)</f>
        <v>0</v>
      </c>
      <c r="BX217" s="862"/>
      <c r="BY217" s="862"/>
      <c r="BZ217" s="862"/>
      <c r="CA217" s="73">
        <f t="shared" ref="CA217" si="518">SUM(BO217:BZ217)</f>
        <v>0</v>
      </c>
      <c r="CB217" s="862"/>
      <c r="CC217" s="862"/>
      <c r="CD217" s="862"/>
      <c r="CE217" s="862"/>
      <c r="CF217" s="862"/>
      <c r="CG217" s="862"/>
      <c r="CH217" s="862"/>
      <c r="CI217" s="862"/>
      <c r="CJ217" s="1081"/>
      <c r="CK217" s="862"/>
      <c r="CL217" s="862"/>
      <c r="CM217" s="862"/>
      <c r="CN217" s="73">
        <f t="shared" ref="CN217" si="519">SUM(CB217:CM217)</f>
        <v>0</v>
      </c>
    </row>
    <row r="218" spans="1:98" s="20" customFormat="1" ht="24.75" customHeight="1" x14ac:dyDescent="0.2">
      <c r="A218" s="50"/>
      <c r="D218" s="22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AE218" s="40"/>
      <c r="AS218" s="51"/>
      <c r="BF218" s="52">
        <f>SUM(AS217+BF217)</f>
        <v>310590</v>
      </c>
      <c r="BG218" s="53">
        <f>AF217-AS217-BF217</f>
        <v>2610</v>
      </c>
      <c r="BH218" s="54">
        <f>SUM(BI217+AS217)</f>
        <v>313200</v>
      </c>
      <c r="BI218" s="55">
        <f>SUM(BG217)</f>
        <v>2610</v>
      </c>
      <c r="BJ218" s="40" t="s">
        <v>38</v>
      </c>
      <c r="BK218" s="40"/>
      <c r="BL218" s="236">
        <v>1</v>
      </c>
      <c r="BM218" s="236">
        <v>23440</v>
      </c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</row>
    <row r="219" spans="1:98" s="40" customFormat="1" ht="24.75" customHeight="1" x14ac:dyDescent="0.2">
      <c r="A219" s="165"/>
      <c r="D219" s="230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AT219" s="123">
        <f>SUM(AG217+AT217)</f>
        <v>310590</v>
      </c>
      <c r="AU219" s="123">
        <f t="shared" ref="AU219:BE219" si="520">SUM(AH217+AU217)</f>
        <v>0</v>
      </c>
      <c r="AV219" s="123">
        <f t="shared" si="520"/>
        <v>0</v>
      </c>
      <c r="AW219" s="123">
        <f t="shared" si="520"/>
        <v>0</v>
      </c>
      <c r="AX219" s="123">
        <f t="shared" si="520"/>
        <v>0</v>
      </c>
      <c r="AY219" s="123">
        <f t="shared" si="520"/>
        <v>0</v>
      </c>
      <c r="AZ219" s="123">
        <f t="shared" si="520"/>
        <v>0</v>
      </c>
      <c r="BA219" s="123">
        <f t="shared" si="520"/>
        <v>0</v>
      </c>
      <c r="BB219" s="123">
        <f t="shared" si="520"/>
        <v>0</v>
      </c>
      <c r="BC219" s="123">
        <f t="shared" si="520"/>
        <v>0</v>
      </c>
      <c r="BD219" s="123">
        <f t="shared" si="520"/>
        <v>0</v>
      </c>
      <c r="BE219" s="123">
        <f t="shared" si="520"/>
        <v>0</v>
      </c>
      <c r="BF219" s="123">
        <f>SUM(AT219:BE219)</f>
        <v>310590</v>
      </c>
      <c r="BH219" s="221"/>
      <c r="BI219" s="57">
        <f>SUM(BI217-BI218)</f>
        <v>6090</v>
      </c>
      <c r="BJ219" s="40" t="s">
        <v>37</v>
      </c>
      <c r="BL219" s="140"/>
      <c r="BM219" s="140"/>
      <c r="BN219" s="140"/>
      <c r="BO219" s="140"/>
      <c r="BP219" s="140"/>
      <c r="BQ219" s="140"/>
      <c r="BR219" s="140"/>
      <c r="BS219" s="140"/>
      <c r="BT219" s="140"/>
      <c r="BU219" s="140"/>
      <c r="BV219" s="140"/>
      <c r="BW219" s="140"/>
      <c r="BX219" s="140"/>
      <c r="BY219" s="140"/>
      <c r="BZ219" s="140"/>
      <c r="CA219" s="140"/>
      <c r="CB219" s="140"/>
      <c r="CC219" s="140"/>
    </row>
    <row r="220" spans="1:98" s="124" customFormat="1" ht="16.5" customHeight="1" x14ac:dyDescent="0.2">
      <c r="A220" s="1730" t="s">
        <v>8</v>
      </c>
      <c r="B220" s="1731"/>
      <c r="C220" s="124" t="s">
        <v>98</v>
      </c>
      <c r="D220" s="224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23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5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406">
        <f>AT227+AU227+AV227+AW227+AX227+AY227</f>
        <v>176420</v>
      </c>
      <c r="BD220" s="136"/>
      <c r="BE220" s="136"/>
      <c r="BF220" s="135"/>
      <c r="BG220" s="135"/>
      <c r="BH220" s="135"/>
      <c r="BI220" s="139"/>
      <c r="BJ220" s="135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5"/>
      <c r="BW220" s="135"/>
      <c r="BX220" s="135"/>
      <c r="BY220" s="135"/>
      <c r="BZ220" s="139"/>
      <c r="CA220" s="135"/>
      <c r="CB220" s="135"/>
      <c r="CC220" s="379"/>
      <c r="CD220" s="379"/>
      <c r="CE220" s="379"/>
      <c r="CF220" s="379"/>
      <c r="CG220" s="379"/>
      <c r="CH220" s="379"/>
      <c r="CI220" s="379"/>
      <c r="CJ220" s="379"/>
      <c r="CK220" s="379"/>
      <c r="CL220" s="379"/>
      <c r="CM220" s="379"/>
      <c r="CN220" s="379"/>
      <c r="CO220" s="379"/>
      <c r="CP220" s="379"/>
      <c r="CQ220" s="379"/>
      <c r="CR220" s="379"/>
      <c r="CS220" s="379"/>
      <c r="CT220" s="379"/>
    </row>
    <row r="221" spans="1:98" s="8" customFormat="1" ht="48.75" customHeight="1" x14ac:dyDescent="0.2">
      <c r="A221" s="1703" t="s">
        <v>10</v>
      </c>
      <c r="B221" s="1706" t="s">
        <v>11</v>
      </c>
      <c r="C221" s="1706" t="s">
        <v>22</v>
      </c>
      <c r="D221" s="1721" t="s">
        <v>12</v>
      </c>
      <c r="E221" s="1721"/>
      <c r="F221" s="1721"/>
      <c r="G221" s="1721"/>
      <c r="H221" s="1721"/>
      <c r="I221" s="1721"/>
      <c r="J221" s="1721"/>
      <c r="K221" s="1721"/>
      <c r="L221" s="1721"/>
      <c r="M221" s="1721"/>
      <c r="N221" s="1721"/>
      <c r="O221" s="1721"/>
      <c r="P221" s="1721"/>
      <c r="Q221" s="1721"/>
      <c r="R221" s="1706" t="s">
        <v>20</v>
      </c>
      <c r="S221" s="1717" t="s">
        <v>17</v>
      </c>
      <c r="T221" s="1718"/>
      <c r="U221" s="1718"/>
      <c r="V221" s="1718"/>
      <c r="W221" s="1718"/>
      <c r="X221" s="1718"/>
      <c r="Y221" s="1718"/>
      <c r="Z221" s="1718"/>
      <c r="AA221" s="1718"/>
      <c r="AB221" s="1718"/>
      <c r="AC221" s="1718"/>
      <c r="AD221" s="1718"/>
      <c r="AE221" s="1719"/>
      <c r="AF221" s="1720" t="s">
        <v>6</v>
      </c>
      <c r="AG221" s="1720"/>
      <c r="AH221" s="1720"/>
      <c r="AI221" s="1720"/>
      <c r="AJ221" s="1720"/>
      <c r="AK221" s="1720"/>
      <c r="AL221" s="1720"/>
      <c r="AM221" s="1720"/>
      <c r="AN221" s="1720"/>
      <c r="AO221" s="1720"/>
      <c r="AP221" s="1720"/>
      <c r="AQ221" s="1720"/>
      <c r="AR221" s="1720"/>
      <c r="AS221" s="1720"/>
      <c r="AT221" s="1722" t="s">
        <v>41</v>
      </c>
      <c r="AU221" s="1723"/>
      <c r="AV221" s="1723"/>
      <c r="AW221" s="1723"/>
      <c r="AX221" s="1723"/>
      <c r="AY221" s="1723"/>
      <c r="AZ221" s="1723"/>
      <c r="BA221" s="1723"/>
      <c r="BB221" s="1723"/>
      <c r="BC221" s="1723"/>
      <c r="BD221" s="1723"/>
      <c r="BE221" s="1723"/>
      <c r="BF221" s="1724"/>
      <c r="BG221" s="1706" t="s">
        <v>38</v>
      </c>
      <c r="BH221" s="1706" t="s">
        <v>256</v>
      </c>
      <c r="BI221" s="1709" t="s">
        <v>39</v>
      </c>
      <c r="BJ221" s="135"/>
      <c r="BK221" s="135"/>
      <c r="BL221" s="135"/>
      <c r="BM221" s="135"/>
      <c r="BN221" s="135"/>
      <c r="BO221" s="1733" t="s">
        <v>41</v>
      </c>
      <c r="BP221" s="1734"/>
      <c r="BQ221" s="1734"/>
      <c r="BR221" s="1734"/>
      <c r="BS221" s="1734"/>
      <c r="BT221" s="1734"/>
      <c r="BU221" s="1734"/>
      <c r="BV221" s="1734"/>
      <c r="BW221" s="1734"/>
      <c r="BX221" s="1734"/>
      <c r="BY221" s="1734"/>
      <c r="BZ221" s="1734"/>
      <c r="CA221" s="1734"/>
      <c r="CB221" s="1734"/>
      <c r="CC221" s="1734"/>
      <c r="CD221" s="1734"/>
      <c r="CE221" s="1734"/>
      <c r="CF221" s="1734"/>
      <c r="CG221" s="1734"/>
      <c r="CH221" s="1734"/>
      <c r="CI221" s="1734"/>
      <c r="CJ221" s="1734"/>
      <c r="CK221" s="1734"/>
      <c r="CL221" s="1734"/>
      <c r="CM221" s="1734"/>
      <c r="CN221" s="1735"/>
    </row>
    <row r="222" spans="1:98" s="8" customFormat="1" ht="48.75" customHeight="1" x14ac:dyDescent="0.2">
      <c r="A222" s="1704"/>
      <c r="B222" s="1707"/>
      <c r="C222" s="1707"/>
      <c r="D222" s="1728" t="s">
        <v>18</v>
      </c>
      <c r="E222" s="1714" t="s">
        <v>19</v>
      </c>
      <c r="F222" s="1715"/>
      <c r="G222" s="1715"/>
      <c r="H222" s="1715"/>
      <c r="I222" s="1715"/>
      <c r="J222" s="1715"/>
      <c r="K222" s="1715"/>
      <c r="L222" s="1715"/>
      <c r="M222" s="1715"/>
      <c r="N222" s="1715"/>
      <c r="O222" s="1715"/>
      <c r="P222" s="1715"/>
      <c r="Q222" s="1715"/>
      <c r="R222" s="1707"/>
      <c r="S222" s="1712" t="s">
        <v>18</v>
      </c>
      <c r="T222" s="1714" t="s">
        <v>19</v>
      </c>
      <c r="U222" s="1715"/>
      <c r="V222" s="1715"/>
      <c r="W222" s="1715"/>
      <c r="X222" s="1715"/>
      <c r="Y222" s="1715"/>
      <c r="Z222" s="1715"/>
      <c r="AA222" s="1715"/>
      <c r="AB222" s="1715"/>
      <c r="AC222" s="1715"/>
      <c r="AD222" s="1715"/>
      <c r="AE222" s="1716"/>
      <c r="AF222" s="1712" t="s">
        <v>18</v>
      </c>
      <c r="AG222" s="1714" t="s">
        <v>19</v>
      </c>
      <c r="AH222" s="1715"/>
      <c r="AI222" s="1715"/>
      <c r="AJ222" s="1715"/>
      <c r="AK222" s="1715"/>
      <c r="AL222" s="1715"/>
      <c r="AM222" s="1715"/>
      <c r="AN222" s="1715"/>
      <c r="AO222" s="1715"/>
      <c r="AP222" s="1715"/>
      <c r="AQ222" s="1715"/>
      <c r="AR222" s="1715"/>
      <c r="AS222" s="1716"/>
      <c r="AT222" s="1725"/>
      <c r="AU222" s="1726"/>
      <c r="AV222" s="1726"/>
      <c r="AW222" s="1726"/>
      <c r="AX222" s="1726"/>
      <c r="AY222" s="1726"/>
      <c r="AZ222" s="1726"/>
      <c r="BA222" s="1726"/>
      <c r="BB222" s="1726"/>
      <c r="BC222" s="1726"/>
      <c r="BD222" s="1726"/>
      <c r="BE222" s="1726"/>
      <c r="BF222" s="1727"/>
      <c r="BG222" s="1707"/>
      <c r="BH222" s="1707"/>
      <c r="BI222" s="1710"/>
      <c r="BJ222" s="135"/>
      <c r="BK222" s="1736">
        <f>SUM(BK224/60)</f>
        <v>0</v>
      </c>
      <c r="BL222" s="1736"/>
      <c r="BM222" s="1736"/>
      <c r="BN222" s="23"/>
      <c r="BO222" s="1737" t="s">
        <v>686</v>
      </c>
      <c r="BP222" s="1738"/>
      <c r="BQ222" s="1738"/>
      <c r="BR222" s="1738"/>
      <c r="BS222" s="1738"/>
      <c r="BT222" s="1738"/>
      <c r="BU222" s="1738"/>
      <c r="BV222" s="1738"/>
      <c r="BW222" s="1738"/>
      <c r="BX222" s="1738"/>
      <c r="BY222" s="1738"/>
      <c r="BZ222" s="1738"/>
      <c r="CA222" s="1739"/>
      <c r="CB222" s="1740" t="s">
        <v>687</v>
      </c>
      <c r="CC222" s="1741"/>
      <c r="CD222" s="1741"/>
      <c r="CE222" s="1741"/>
      <c r="CF222" s="1741"/>
      <c r="CG222" s="1741"/>
      <c r="CH222" s="1741"/>
      <c r="CI222" s="1741"/>
      <c r="CJ222" s="1741"/>
      <c r="CK222" s="1741"/>
      <c r="CL222" s="1741"/>
      <c r="CM222" s="1741"/>
      <c r="CN222" s="1742"/>
    </row>
    <row r="223" spans="1:98" s="6" customFormat="1" ht="28.5" customHeight="1" x14ac:dyDescent="0.2">
      <c r="A223" s="1705"/>
      <c r="B223" s="1708"/>
      <c r="C223" s="1708"/>
      <c r="D223" s="1729"/>
      <c r="E223" s="26">
        <v>1</v>
      </c>
      <c r="F223" s="26">
        <v>2</v>
      </c>
      <c r="G223" s="26">
        <v>3</v>
      </c>
      <c r="H223" s="26">
        <v>4</v>
      </c>
      <c r="I223" s="26">
        <v>5</v>
      </c>
      <c r="J223" s="26">
        <v>6</v>
      </c>
      <c r="K223" s="26">
        <v>7</v>
      </c>
      <c r="L223" s="26">
        <v>8</v>
      </c>
      <c r="M223" s="26">
        <v>9</v>
      </c>
      <c r="N223" s="26">
        <v>10</v>
      </c>
      <c r="O223" s="26">
        <v>11</v>
      </c>
      <c r="P223" s="26">
        <v>12</v>
      </c>
      <c r="Q223" s="26" t="s">
        <v>21</v>
      </c>
      <c r="R223" s="1708"/>
      <c r="S223" s="1713"/>
      <c r="T223" s="26">
        <v>1</v>
      </c>
      <c r="U223" s="26">
        <v>2</v>
      </c>
      <c r="V223" s="26">
        <v>3</v>
      </c>
      <c r="W223" s="26">
        <v>4</v>
      </c>
      <c r="X223" s="26">
        <v>5</v>
      </c>
      <c r="Y223" s="26">
        <v>6</v>
      </c>
      <c r="Z223" s="26">
        <v>7</v>
      </c>
      <c r="AA223" s="26">
        <v>8</v>
      </c>
      <c r="AB223" s="26">
        <v>9</v>
      </c>
      <c r="AC223" s="26">
        <v>10</v>
      </c>
      <c r="AD223" s="26">
        <v>11</v>
      </c>
      <c r="AE223" s="26">
        <v>12</v>
      </c>
      <c r="AF223" s="1713"/>
      <c r="AG223" s="26">
        <v>1</v>
      </c>
      <c r="AH223" s="26">
        <v>2</v>
      </c>
      <c r="AI223" s="26">
        <v>3</v>
      </c>
      <c r="AJ223" s="26">
        <v>4</v>
      </c>
      <c r="AK223" s="26">
        <v>5</v>
      </c>
      <c r="AL223" s="26">
        <v>6</v>
      </c>
      <c r="AM223" s="26">
        <v>7</v>
      </c>
      <c r="AN223" s="26">
        <v>8</v>
      </c>
      <c r="AO223" s="26">
        <v>9</v>
      </c>
      <c r="AP223" s="26">
        <v>10</v>
      </c>
      <c r="AQ223" s="26">
        <v>11</v>
      </c>
      <c r="AR223" s="26">
        <v>12</v>
      </c>
      <c r="AS223" s="26" t="s">
        <v>13</v>
      </c>
      <c r="AT223" s="173">
        <v>1</v>
      </c>
      <c r="AU223" s="173">
        <v>2</v>
      </c>
      <c r="AV223" s="173">
        <v>3</v>
      </c>
      <c r="AW223" s="173">
        <v>4</v>
      </c>
      <c r="AX223" s="173">
        <v>5</v>
      </c>
      <c r="AY223" s="173">
        <v>6</v>
      </c>
      <c r="AZ223" s="173">
        <v>7</v>
      </c>
      <c r="BA223" s="173">
        <v>8</v>
      </c>
      <c r="BB223" s="173">
        <v>9</v>
      </c>
      <c r="BC223" s="173">
        <v>10</v>
      </c>
      <c r="BD223" s="173">
        <v>11</v>
      </c>
      <c r="BE223" s="173">
        <v>12</v>
      </c>
      <c r="BF223" s="26" t="s">
        <v>13</v>
      </c>
      <c r="BG223" s="1708"/>
      <c r="BH223" s="1708"/>
      <c r="BI223" s="1711"/>
      <c r="BJ223" s="7"/>
      <c r="BK223" s="1743" t="s">
        <v>19</v>
      </c>
      <c r="BL223" s="1744"/>
      <c r="BM223" s="1745"/>
      <c r="BN223" s="621"/>
      <c r="BO223" s="173">
        <v>1</v>
      </c>
      <c r="BP223" s="173">
        <v>2</v>
      </c>
      <c r="BQ223" s="173">
        <v>3</v>
      </c>
      <c r="BR223" s="173">
        <v>4</v>
      </c>
      <c r="BS223" s="173">
        <v>5</v>
      </c>
      <c r="BT223" s="173">
        <v>6</v>
      </c>
      <c r="BU223" s="173">
        <v>7</v>
      </c>
      <c r="BV223" s="173">
        <v>8</v>
      </c>
      <c r="BW223" s="173">
        <v>9</v>
      </c>
      <c r="BX223" s="173">
        <v>10</v>
      </c>
      <c r="BY223" s="173">
        <v>11</v>
      </c>
      <c r="BZ223" s="173">
        <v>12</v>
      </c>
      <c r="CA223" s="26" t="s">
        <v>13</v>
      </c>
      <c r="CB223" s="173">
        <v>1</v>
      </c>
      <c r="CC223" s="173">
        <v>2</v>
      </c>
      <c r="CD223" s="173">
        <v>3</v>
      </c>
      <c r="CE223" s="173">
        <v>4</v>
      </c>
      <c r="CF223" s="173">
        <v>5</v>
      </c>
      <c r="CG223" s="173">
        <v>6</v>
      </c>
      <c r="CH223" s="173">
        <v>7</v>
      </c>
      <c r="CI223" s="173">
        <v>8</v>
      </c>
      <c r="CJ223" s="173">
        <v>9</v>
      </c>
      <c r="CK223" s="173">
        <v>10</v>
      </c>
      <c r="CL223" s="173">
        <v>11</v>
      </c>
      <c r="CM223" s="173">
        <v>12</v>
      </c>
      <c r="CN223" s="26" t="s">
        <v>13</v>
      </c>
    </row>
    <row r="224" spans="1:98" s="7" customFormat="1" ht="24.75" customHeight="1" x14ac:dyDescent="0.2">
      <c r="A224" s="41"/>
      <c r="B224" s="141" t="s">
        <v>99</v>
      </c>
      <c r="C224" s="29" t="s">
        <v>25</v>
      </c>
      <c r="D224" s="560">
        <v>100</v>
      </c>
      <c r="E224" s="82"/>
      <c r="F224" s="82"/>
      <c r="G224" s="30"/>
      <c r="H224" s="30"/>
      <c r="I224" s="30">
        <v>100</v>
      </c>
      <c r="J224" s="30"/>
      <c r="K224" s="30"/>
      <c r="L224" s="30"/>
      <c r="M224" s="30">
        <v>2</v>
      </c>
      <c r="N224" s="1080"/>
      <c r="O224" s="30"/>
      <c r="P224" s="30"/>
      <c r="Q224" s="31">
        <f>SUM(E224:P224)</f>
        <v>102</v>
      </c>
      <c r="R224" s="83" t="s">
        <v>7</v>
      </c>
      <c r="S224" s="563">
        <v>11400</v>
      </c>
      <c r="T224" s="84"/>
      <c r="U224" s="84"/>
      <c r="V224" s="33"/>
      <c r="W224" s="33"/>
      <c r="X224" s="33">
        <v>10000</v>
      </c>
      <c r="Y224" s="33"/>
      <c r="Z224" s="33"/>
      <c r="AA224" s="33"/>
      <c r="AB224" s="33">
        <v>10000</v>
      </c>
      <c r="AC224" s="33"/>
      <c r="AD224" s="33"/>
      <c r="AE224" s="33"/>
      <c r="AF224" s="69">
        <f>SUM(Q224*S224)</f>
        <v>1162800</v>
      </c>
      <c r="AG224" s="862">
        <f t="shared" ref="AG224:AI226" si="521">T224*E224</f>
        <v>0</v>
      </c>
      <c r="AH224" s="862">
        <f t="shared" si="521"/>
        <v>0</v>
      </c>
      <c r="AI224" s="862">
        <f t="shared" si="521"/>
        <v>0</v>
      </c>
      <c r="AJ224" s="862">
        <f t="shared" ref="AJ224:AR226" si="522">W224*H224</f>
        <v>0</v>
      </c>
      <c r="AK224" s="862">
        <f t="shared" si="522"/>
        <v>1000000</v>
      </c>
      <c r="AL224" s="862">
        <f t="shared" si="522"/>
        <v>0</v>
      </c>
      <c r="AM224" s="862">
        <f t="shared" si="522"/>
        <v>0</v>
      </c>
      <c r="AN224" s="862">
        <f t="shared" si="522"/>
        <v>0</v>
      </c>
      <c r="AO224" s="862">
        <f t="shared" si="522"/>
        <v>20000</v>
      </c>
      <c r="AP224" s="1081">
        <f t="shared" si="522"/>
        <v>0</v>
      </c>
      <c r="AQ224" s="862">
        <f t="shared" si="522"/>
        <v>0</v>
      </c>
      <c r="AR224" s="862">
        <f t="shared" si="522"/>
        <v>0</v>
      </c>
      <c r="AS224" s="863">
        <f>SUM(AG224:AR224)</f>
        <v>1020000</v>
      </c>
      <c r="AT224" s="862"/>
      <c r="AU224" s="862"/>
      <c r="AV224" s="862"/>
      <c r="AW224" s="862"/>
      <c r="AX224" s="862">
        <v>44000</v>
      </c>
      <c r="AY224" s="862"/>
      <c r="AZ224" s="862"/>
      <c r="BA224" s="862"/>
      <c r="BB224" s="862"/>
      <c r="BC224" s="862"/>
      <c r="BD224" s="862"/>
      <c r="BE224" s="862"/>
      <c r="BF224" s="73">
        <f>AX224</f>
        <v>44000</v>
      </c>
      <c r="BG224" s="73">
        <f>AF224-AS224-BF224</f>
        <v>98800</v>
      </c>
      <c r="BH224" s="74">
        <f>S224*D224</f>
        <v>1140000</v>
      </c>
      <c r="BI224" s="1577">
        <f>BH224-AS224-BF224</f>
        <v>76000</v>
      </c>
      <c r="BJ224" s="175">
        <f>SUM(Q224/D224)</f>
        <v>1.02</v>
      </c>
      <c r="BK224" s="1081"/>
      <c r="BL224" s="1081"/>
      <c r="BM224" s="1083"/>
      <c r="BN224" s="1084"/>
      <c r="BO224" s="862"/>
      <c r="BP224" s="862"/>
      <c r="BQ224" s="862"/>
      <c r="BR224" s="862"/>
      <c r="BS224" s="862"/>
      <c r="BT224" s="862"/>
      <c r="BU224" s="1128">
        <f t="shared" ref="BU224:BW224" si="523">SUM(AL224*12.5%)</f>
        <v>0</v>
      </c>
      <c r="BV224" s="862"/>
      <c r="BW224" s="1128">
        <f t="shared" si="523"/>
        <v>0</v>
      </c>
      <c r="BX224" s="1128"/>
      <c r="BY224" s="1128"/>
      <c r="BZ224" s="1128"/>
      <c r="CA224" s="1144">
        <f t="shared" ref="CA224" si="524">SUM(BO224:BZ224)</f>
        <v>0</v>
      </c>
      <c r="CB224" s="862"/>
      <c r="CC224" s="862"/>
      <c r="CD224" s="862"/>
      <c r="CE224" s="862"/>
      <c r="CF224" s="862"/>
      <c r="CG224" s="862"/>
      <c r="CH224" s="862"/>
      <c r="CI224" s="862"/>
      <c r="CJ224" s="1081"/>
      <c r="CK224" s="862"/>
      <c r="CL224" s="862"/>
      <c r="CM224" s="862"/>
      <c r="CN224" s="73">
        <f t="shared" ref="CN224:CN225" si="525">SUM(CB224:CM224)</f>
        <v>0</v>
      </c>
    </row>
    <row r="225" spans="1:98" s="7" customFormat="1" ht="24.75" customHeight="1" x14ac:dyDescent="0.2">
      <c r="A225" s="41"/>
      <c r="B225" s="141" t="s">
        <v>100</v>
      </c>
      <c r="C225" s="29" t="s">
        <v>25</v>
      </c>
      <c r="D225" s="1077">
        <v>8250</v>
      </c>
      <c r="E225" s="562">
        <v>2061</v>
      </c>
      <c r="F225" s="562">
        <f>E225/3</f>
        <v>687</v>
      </c>
      <c r="G225" s="30">
        <v>687</v>
      </c>
      <c r="H225" s="30">
        <v>687</v>
      </c>
      <c r="I225" s="30">
        <v>687</v>
      </c>
      <c r="J225" s="30">
        <v>687</v>
      </c>
      <c r="K225" s="1200">
        <v>687</v>
      </c>
      <c r="L225" s="1136">
        <v>687</v>
      </c>
      <c r="M225" s="1136">
        <v>687</v>
      </c>
      <c r="N225" s="1080">
        <v>687</v>
      </c>
      <c r="O225" s="30"/>
      <c r="P225" s="30"/>
      <c r="Q225" s="1198">
        <f>SUM(E225:P225)</f>
        <v>8244</v>
      </c>
      <c r="R225" s="83" t="s">
        <v>7</v>
      </c>
      <c r="S225" s="1078">
        <v>570</v>
      </c>
      <c r="T225" s="84">
        <v>500</v>
      </c>
      <c r="U225" s="84">
        <v>500</v>
      </c>
      <c r="V225" s="84">
        <v>500</v>
      </c>
      <c r="W225" s="84">
        <v>500</v>
      </c>
      <c r="X225" s="84">
        <v>500</v>
      </c>
      <c r="Y225" s="33">
        <v>500</v>
      </c>
      <c r="Z225" s="1141">
        <v>570</v>
      </c>
      <c r="AA225" s="33">
        <v>570</v>
      </c>
      <c r="AB225" s="1141">
        <v>570</v>
      </c>
      <c r="AC225" s="1141">
        <v>570</v>
      </c>
      <c r="AD225" s="33"/>
      <c r="AE225" s="33"/>
      <c r="AF225" s="69">
        <f>SUM(Q225*S225)</f>
        <v>4699080</v>
      </c>
      <c r="AG225" s="862">
        <f t="shared" si="521"/>
        <v>1030500</v>
      </c>
      <c r="AH225" s="862">
        <f t="shared" si="521"/>
        <v>343500</v>
      </c>
      <c r="AI225" s="862">
        <f t="shared" si="521"/>
        <v>343500</v>
      </c>
      <c r="AJ225" s="862">
        <f t="shared" si="522"/>
        <v>343500</v>
      </c>
      <c r="AK225" s="862">
        <f t="shared" si="522"/>
        <v>343500</v>
      </c>
      <c r="AL225" s="862">
        <f t="shared" si="522"/>
        <v>343500</v>
      </c>
      <c r="AM225" s="1128">
        <f t="shared" si="522"/>
        <v>391590</v>
      </c>
      <c r="AN225" s="862">
        <f t="shared" si="522"/>
        <v>391590</v>
      </c>
      <c r="AO225" s="862">
        <f t="shared" ref="AO225" si="526">AB225*M225</f>
        <v>391590</v>
      </c>
      <c r="AP225" s="1081">
        <f t="shared" ref="AP225" si="527">AC225*N225</f>
        <v>391590</v>
      </c>
      <c r="AQ225" s="862">
        <f t="shared" si="522"/>
        <v>0</v>
      </c>
      <c r="AR225" s="862">
        <f t="shared" si="522"/>
        <v>0</v>
      </c>
      <c r="AS225" s="863">
        <f>SUM(AG225:AR225)</f>
        <v>4314360</v>
      </c>
      <c r="AT225" s="862">
        <f>SUM(AG225*4%)</f>
        <v>41220</v>
      </c>
      <c r="AU225" s="862">
        <f>SUM(AH225*4%)</f>
        <v>13740</v>
      </c>
      <c r="AV225" s="862">
        <f t="shared" ref="AV225:BE226" si="528">SUM(AI225*4%)</f>
        <v>13740</v>
      </c>
      <c r="AW225" s="862">
        <f t="shared" si="528"/>
        <v>13740</v>
      </c>
      <c r="AX225" s="862">
        <f>SUM(AK225*4%)</f>
        <v>13740</v>
      </c>
      <c r="AY225" s="862">
        <f>SUM(AL225*4%)</f>
        <v>13740</v>
      </c>
      <c r="AZ225" s="1123">
        <f>SUM(AM225*2%)</f>
        <v>7831.8</v>
      </c>
      <c r="BA225" s="1123">
        <f>SUM(AN225*2%)</f>
        <v>7831.8</v>
      </c>
      <c r="BB225" s="1123">
        <f>SUM(AO225*2%)</f>
        <v>7831.8</v>
      </c>
      <c r="BC225" s="1123">
        <f>SUM(AP225*2%)</f>
        <v>7831.8</v>
      </c>
      <c r="BD225" s="862">
        <f t="shared" si="528"/>
        <v>0</v>
      </c>
      <c r="BE225" s="862">
        <f t="shared" si="528"/>
        <v>0</v>
      </c>
      <c r="BF225" s="73">
        <f>AT225+AU225+AV225+AW225+AX225+AY225</f>
        <v>109920</v>
      </c>
      <c r="BG225" s="73">
        <f t="shared" ref="BG225:BG226" si="529">AF225-AS225-BF225</f>
        <v>274800</v>
      </c>
      <c r="BH225" s="74">
        <f>S225*D225</f>
        <v>4702500</v>
      </c>
      <c r="BI225" s="1577">
        <f>BH225-AS225-BF225</f>
        <v>278220</v>
      </c>
      <c r="BJ225" s="175">
        <f>SUM(Q225/D225)</f>
        <v>0.99927272727272731</v>
      </c>
      <c r="BK225" s="1081">
        <f>AN225-BV225</f>
        <v>383758.2</v>
      </c>
      <c r="BL225" s="1081">
        <f>687*500</f>
        <v>343500</v>
      </c>
      <c r="BM225" s="1083">
        <f>BK225-BL225</f>
        <v>40258.200000000012</v>
      </c>
      <c r="BN225" s="1084"/>
      <c r="BO225" s="862"/>
      <c r="BP225" s="862"/>
      <c r="BQ225" s="862"/>
      <c r="BR225" s="862"/>
      <c r="BS225" s="862"/>
      <c r="BT225" s="862"/>
      <c r="BU225" s="1128">
        <f>AM225*2/100</f>
        <v>7831.8</v>
      </c>
      <c r="BV225" s="1209">
        <f>AN225*2/100</f>
        <v>7831.8</v>
      </c>
      <c r="BW225" s="1128"/>
      <c r="BX225" s="1128"/>
      <c r="BY225" s="1128"/>
      <c r="BZ225" s="1128"/>
      <c r="CA225" s="1144">
        <f t="shared" ref="CA225" si="530">SUM(BO225:BZ225)</f>
        <v>15663.6</v>
      </c>
      <c r="CB225" s="862"/>
      <c r="CC225" s="862"/>
      <c r="CD225" s="862"/>
      <c r="CE225" s="862"/>
      <c r="CF225" s="862"/>
      <c r="CG225" s="862"/>
      <c r="CH225" s="862"/>
      <c r="CI225" s="862"/>
      <c r="CJ225" s="1081"/>
      <c r="CK225" s="862"/>
      <c r="CL225" s="862"/>
      <c r="CM225" s="862"/>
      <c r="CN225" s="73">
        <f t="shared" si="525"/>
        <v>0</v>
      </c>
    </row>
    <row r="226" spans="1:98" s="7" customFormat="1" ht="24.75" customHeight="1" thickBot="1" x14ac:dyDescent="0.25">
      <c r="A226" s="41"/>
      <c r="B226" s="141" t="s">
        <v>729</v>
      </c>
      <c r="C226" s="29" t="s">
        <v>25</v>
      </c>
      <c r="D226" s="560">
        <v>30</v>
      </c>
      <c r="E226" s="82">
        <v>9</v>
      </c>
      <c r="F226" s="82">
        <v>3</v>
      </c>
      <c r="G226" s="30">
        <v>3</v>
      </c>
      <c r="H226" s="30">
        <v>3</v>
      </c>
      <c r="I226" s="30">
        <v>3</v>
      </c>
      <c r="J226" s="30">
        <v>3</v>
      </c>
      <c r="K226" s="1200">
        <v>3</v>
      </c>
      <c r="L226" s="1136">
        <v>3</v>
      </c>
      <c r="M226" s="1136">
        <v>3</v>
      </c>
      <c r="N226" s="1080"/>
      <c r="O226" s="30"/>
      <c r="P226" s="30"/>
      <c r="Q226" s="31">
        <v>30</v>
      </c>
      <c r="R226" s="83" t="s">
        <v>96</v>
      </c>
      <c r="S226" s="1079">
        <v>28400</v>
      </c>
      <c r="T226" s="84">
        <v>25000</v>
      </c>
      <c r="U226" s="84">
        <v>25000</v>
      </c>
      <c r="V226" s="84">
        <v>25000</v>
      </c>
      <c r="W226" s="84">
        <v>25000</v>
      </c>
      <c r="X226" s="84">
        <v>25000</v>
      </c>
      <c r="Y226" s="33">
        <v>25000</v>
      </c>
      <c r="Z226" s="1141">
        <v>25500</v>
      </c>
      <c r="AA226" s="33">
        <v>25500</v>
      </c>
      <c r="AB226" s="33">
        <v>25500</v>
      </c>
      <c r="AC226" s="1141"/>
      <c r="AD226" s="33"/>
      <c r="AE226" s="33"/>
      <c r="AF226" s="69">
        <f t="shared" ref="AF226" si="531">SUM(Q226*S226)</f>
        <v>852000</v>
      </c>
      <c r="AG226" s="862">
        <f t="shared" si="521"/>
        <v>225000</v>
      </c>
      <c r="AH226" s="862">
        <f t="shared" si="521"/>
        <v>75000</v>
      </c>
      <c r="AI226" s="862">
        <f t="shared" si="521"/>
        <v>75000</v>
      </c>
      <c r="AJ226" s="862">
        <f t="shared" si="522"/>
        <v>75000</v>
      </c>
      <c r="AK226" s="862">
        <f t="shared" si="522"/>
        <v>75000</v>
      </c>
      <c r="AL226" s="862">
        <f t="shared" si="522"/>
        <v>75000</v>
      </c>
      <c r="AM226" s="1128">
        <f t="shared" si="522"/>
        <v>76500</v>
      </c>
      <c r="AN226" s="862">
        <f t="shared" si="522"/>
        <v>76500</v>
      </c>
      <c r="AO226" s="862">
        <f t="shared" si="522"/>
        <v>76500</v>
      </c>
      <c r="AP226" s="1081"/>
      <c r="AQ226" s="862">
        <f t="shared" si="522"/>
        <v>0</v>
      </c>
      <c r="AR226" s="862">
        <f t="shared" si="522"/>
        <v>0</v>
      </c>
      <c r="AS226" s="863">
        <f>SUM(AG226:AR226)</f>
        <v>829500</v>
      </c>
      <c r="AT226" s="862">
        <f>SUM(AG226*4%)</f>
        <v>9000</v>
      </c>
      <c r="AU226" s="862">
        <f>SUM(AH226*4%)</f>
        <v>3000</v>
      </c>
      <c r="AV226" s="862">
        <f t="shared" si="528"/>
        <v>3000</v>
      </c>
      <c r="AW226" s="862">
        <f t="shared" si="528"/>
        <v>3000</v>
      </c>
      <c r="AX226" s="862">
        <f t="shared" si="528"/>
        <v>3000</v>
      </c>
      <c r="AY226" s="862">
        <f>SUM(AL226*2%)</f>
        <v>1500</v>
      </c>
      <c r="AZ226" s="1123">
        <f>SUM(AM226*2%)</f>
        <v>1530</v>
      </c>
      <c r="BA226" s="1123">
        <f>SUM(AN226*2%)</f>
        <v>1530</v>
      </c>
      <c r="BB226" s="1123">
        <f>SUM(AO226*2%)</f>
        <v>1530</v>
      </c>
      <c r="BC226" s="1123">
        <f t="shared" si="528"/>
        <v>0</v>
      </c>
      <c r="BD226" s="862">
        <f t="shared" si="528"/>
        <v>0</v>
      </c>
      <c r="BE226" s="862">
        <f t="shared" si="528"/>
        <v>0</v>
      </c>
      <c r="BF226" s="73">
        <f>AT226+AU226+AV226+AW226+AX226+AY226</f>
        <v>22500</v>
      </c>
      <c r="BG226" s="73">
        <f t="shared" si="529"/>
        <v>0</v>
      </c>
      <c r="BH226" s="74">
        <f>S226*D226</f>
        <v>852000</v>
      </c>
      <c r="BI226" s="1577">
        <f>BH226-AS226</f>
        <v>22500</v>
      </c>
      <c r="BJ226" s="175">
        <f>SUM(Q226/D226)</f>
        <v>1</v>
      </c>
      <c r="BK226" s="1081"/>
      <c r="BL226" s="1081"/>
      <c r="BM226" s="1083">
        <f>BK226-BL226</f>
        <v>0</v>
      </c>
      <c r="BN226" s="1084"/>
      <c r="BO226" s="862"/>
      <c r="BP226" s="862"/>
      <c r="BQ226" s="862"/>
      <c r="BR226" s="862"/>
      <c r="BS226" s="862"/>
      <c r="BT226" s="862"/>
      <c r="BU226" s="1128">
        <f>AM226*2/100</f>
        <v>1530</v>
      </c>
      <c r="BV226" s="1209">
        <f>AN226*2/100</f>
        <v>1530</v>
      </c>
      <c r="BW226" s="1128"/>
      <c r="BX226" s="1128"/>
      <c r="BY226" s="1128"/>
      <c r="BZ226" s="1128"/>
      <c r="CA226" s="1144">
        <f t="shared" ref="CA226" si="532">SUM(BO226:BZ226)</f>
        <v>3060</v>
      </c>
      <c r="CB226" s="862"/>
      <c r="CC226" s="862"/>
      <c r="CD226" s="862"/>
      <c r="CE226" s="862"/>
      <c r="CF226" s="862"/>
      <c r="CG226" s="862"/>
      <c r="CH226" s="862"/>
      <c r="CI226" s="862"/>
      <c r="CJ226" s="1081"/>
      <c r="CK226" s="862"/>
      <c r="CL226" s="862"/>
      <c r="CM226" s="862"/>
      <c r="CN226" s="73">
        <f t="shared" ref="CN226:CN227" si="533">SUM(CB226:CM226)</f>
        <v>0</v>
      </c>
    </row>
    <row r="227" spans="1:98" s="38" customFormat="1" ht="24.75" customHeight="1" thickBot="1" x14ac:dyDescent="0.25">
      <c r="A227" s="554">
        <v>21</v>
      </c>
      <c r="B227" s="44" t="s">
        <v>4</v>
      </c>
      <c r="C227" s="44"/>
      <c r="D227" s="227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7"/>
      <c r="R227" s="77"/>
      <c r="S227" s="45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78">
        <f>SUM(AF224:AF226)</f>
        <v>6713880</v>
      </c>
      <c r="AG227" s="78">
        <f>SUM(AG224:AG226)</f>
        <v>1255500</v>
      </c>
      <c r="AH227" s="78">
        <f>SUM(AH224:AH226)</f>
        <v>418500</v>
      </c>
      <c r="AI227" s="78">
        <f>SUM(AI224:AI226)</f>
        <v>418500</v>
      </c>
      <c r="AJ227" s="78">
        <f t="shared" ref="AJ227:AR227" si="534">SUM(AJ224:AJ226)</f>
        <v>418500</v>
      </c>
      <c r="AK227" s="78">
        <f t="shared" si="534"/>
        <v>1418500</v>
      </c>
      <c r="AL227" s="78">
        <f t="shared" si="534"/>
        <v>418500</v>
      </c>
      <c r="AM227" s="78">
        <f>SUM(AM224:AM226)</f>
        <v>468090</v>
      </c>
      <c r="AN227" s="78">
        <f>SUM(AN224:AN226)</f>
        <v>468090</v>
      </c>
      <c r="AO227" s="1405">
        <f>SUM(AO224:AO226)</f>
        <v>488090</v>
      </c>
      <c r="AP227" s="1475">
        <f>SUM(AP224:AP226)</f>
        <v>391590</v>
      </c>
      <c r="AQ227" s="78">
        <f t="shared" si="534"/>
        <v>0</v>
      </c>
      <c r="AR227" s="78">
        <f t="shared" si="534"/>
        <v>0</v>
      </c>
      <c r="AS227" s="78">
        <f>SUM(AS224:AS226)-906802</f>
        <v>5257058</v>
      </c>
      <c r="AT227" s="78">
        <f>SUM(AT225:AT226)</f>
        <v>50220</v>
      </c>
      <c r="AU227" s="78">
        <f>SUM(AU224:AU226)</f>
        <v>16740</v>
      </c>
      <c r="AV227" s="78">
        <f>SUM(AV224:AV226)</f>
        <v>16740</v>
      </c>
      <c r="AW227" s="78">
        <f>SUM(AW224:AW226)</f>
        <v>16740</v>
      </c>
      <c r="AX227" s="78">
        <f>SUM(AX224:AX226)</f>
        <v>60740</v>
      </c>
      <c r="AY227" s="78">
        <f t="shared" ref="AY227:BE227" si="535">SUM(AY224:AY226)</f>
        <v>15240</v>
      </c>
      <c r="AZ227" s="78">
        <f t="shared" si="535"/>
        <v>9361.7999999999993</v>
      </c>
      <c r="BA227" s="78">
        <f>SUM(BA225:BA226)</f>
        <v>9361.7999999999993</v>
      </c>
      <c r="BB227" s="78">
        <f t="shared" si="535"/>
        <v>9361.7999999999993</v>
      </c>
      <c r="BC227" s="78">
        <f t="shared" si="535"/>
        <v>7831.8</v>
      </c>
      <c r="BD227" s="78">
        <f t="shared" si="535"/>
        <v>0</v>
      </c>
      <c r="BE227" s="78">
        <f t="shared" si="535"/>
        <v>0</v>
      </c>
      <c r="BF227" s="78">
        <f>SUM(BF224:BF226)</f>
        <v>176420</v>
      </c>
      <c r="BG227" s="79">
        <f>SUM(BG224:BG226)</f>
        <v>373600</v>
      </c>
      <c r="BH227" s="78">
        <f>SUM(BH224:BH226)</f>
        <v>6694500</v>
      </c>
      <c r="BI227" s="78">
        <f>SUM(BI224:BI226)</f>
        <v>376720</v>
      </c>
      <c r="BJ227" s="176">
        <f>SUM(BJ224:BJ226)/3</f>
        <v>1.0064242424242424</v>
      </c>
      <c r="BK227" s="1083">
        <f>SUM(BK224:BK226)</f>
        <v>383758.2</v>
      </c>
      <c r="BL227" s="1083">
        <f t="shared" ref="BL227:BM227" si="536">SUM(BL224:BL226)</f>
        <v>343500</v>
      </c>
      <c r="BM227" s="1083">
        <f t="shared" si="536"/>
        <v>40258.200000000012</v>
      </c>
      <c r="BN227" s="1084"/>
      <c r="BO227" s="862"/>
      <c r="BP227" s="862"/>
      <c r="BQ227" s="862"/>
      <c r="BR227" s="862"/>
      <c r="BS227" s="862"/>
      <c r="BT227" s="862"/>
      <c r="BU227" s="1128">
        <f>SUM(BU224:BU226)</f>
        <v>9361.7999999999993</v>
      </c>
      <c r="BV227" s="1128">
        <f t="shared" ref="BV227:CA227" si="537">SUM(BV224:BV226)</f>
        <v>9361.7999999999993</v>
      </c>
      <c r="BW227" s="1128"/>
      <c r="BX227" s="1128">
        <f t="shared" si="537"/>
        <v>0</v>
      </c>
      <c r="BY227" s="1128">
        <f t="shared" si="537"/>
        <v>0</v>
      </c>
      <c r="BZ227" s="1128">
        <f t="shared" si="537"/>
        <v>0</v>
      </c>
      <c r="CA227" s="1128">
        <f t="shared" si="537"/>
        <v>18723.599999999999</v>
      </c>
      <c r="CB227" s="862"/>
      <c r="CC227" s="862"/>
      <c r="CD227" s="862"/>
      <c r="CE227" s="862"/>
      <c r="CF227" s="862"/>
      <c r="CG227" s="862"/>
      <c r="CH227" s="862"/>
      <c r="CI227" s="862"/>
      <c r="CJ227" s="1081"/>
      <c r="CK227" s="862"/>
      <c r="CL227" s="862"/>
      <c r="CM227" s="862"/>
      <c r="CN227" s="73">
        <f t="shared" si="533"/>
        <v>0</v>
      </c>
    </row>
    <row r="228" spans="1:98" s="20" customFormat="1" ht="24.75" customHeight="1" x14ac:dyDescent="0.2">
      <c r="A228" s="50"/>
      <c r="D228" s="228"/>
      <c r="E228" s="842"/>
      <c r="F228" s="842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AE228" s="40"/>
      <c r="AS228" s="51"/>
      <c r="BF228" s="52">
        <f>SUM(AS227+BF227)-BF226</f>
        <v>5410978</v>
      </c>
      <c r="BG228" s="53">
        <f>AF227-AS227-BF227</f>
        <v>1280402</v>
      </c>
      <c r="BH228" s="54">
        <f>SUM(BI227+AS227)+BC220-22500</f>
        <v>5787698</v>
      </c>
      <c r="BI228" s="55">
        <f>SUM(BG227)</f>
        <v>373600</v>
      </c>
      <c r="BJ228" s="40" t="s">
        <v>38</v>
      </c>
      <c r="BK228" s="40"/>
      <c r="BL228" s="24"/>
      <c r="BM228" s="236">
        <v>40228</v>
      </c>
      <c r="BN228" s="24">
        <f>BM227+BM228</f>
        <v>80486.200000000012</v>
      </c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</row>
    <row r="229" spans="1:98" s="20" customFormat="1" ht="24.75" customHeight="1" x14ac:dyDescent="0.2">
      <c r="A229" s="50"/>
      <c r="D229" s="22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AE229" s="40"/>
      <c r="AS229" s="57"/>
      <c r="AT229" s="123">
        <f>SUM(AG227+AT227)</f>
        <v>1305720</v>
      </c>
      <c r="AU229" s="123">
        <f t="shared" ref="AU229:BE229" si="538">SUM(AH227+AU227)</f>
        <v>435240</v>
      </c>
      <c r="AV229" s="123">
        <f t="shared" si="538"/>
        <v>435240</v>
      </c>
      <c r="AW229" s="123">
        <f>SUM(AJ227+AW227)</f>
        <v>435240</v>
      </c>
      <c r="AX229" s="123">
        <f>SUM(AK227+AX227)</f>
        <v>1479240</v>
      </c>
      <c r="AY229" s="972">
        <f t="shared" si="538"/>
        <v>433740</v>
      </c>
      <c r="AZ229" s="123">
        <f>SUM(AM227)</f>
        <v>468090</v>
      </c>
      <c r="BA229" s="123">
        <f t="shared" ref="BA229:BC229" si="539">SUM(AN227)</f>
        <v>468090</v>
      </c>
      <c r="BB229" s="123">
        <f>SUM(AO227)</f>
        <v>488090</v>
      </c>
      <c r="BC229" s="123">
        <f t="shared" si="539"/>
        <v>391590</v>
      </c>
      <c r="BD229" s="123">
        <f t="shared" si="538"/>
        <v>0</v>
      </c>
      <c r="BE229" s="123">
        <f t="shared" si="538"/>
        <v>0</v>
      </c>
      <c r="BF229" s="123">
        <f>AT230+AU230+AV230+AW230+AX230+AY230+AZ229+BA229+BB229+BC229</f>
        <v>6317780</v>
      </c>
      <c r="BG229" s="40"/>
      <c r="BH229" s="221"/>
      <c r="BI229" s="57">
        <f>SUM(BI227-BI228)</f>
        <v>3120</v>
      </c>
      <c r="BJ229" s="40" t="s">
        <v>37</v>
      </c>
      <c r="BK229" s="40"/>
      <c r="BL229" s="24"/>
      <c r="BM229" s="1370">
        <v>40228</v>
      </c>
      <c r="BN229" s="24">
        <f>BN228+BM229</f>
        <v>120714.20000000001</v>
      </c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</row>
    <row r="230" spans="1:98" s="20" customFormat="1" ht="16.5" customHeight="1" x14ac:dyDescent="0.2">
      <c r="A230" s="1730" t="s">
        <v>8</v>
      </c>
      <c r="B230" s="1731"/>
      <c r="C230" s="124" t="s">
        <v>320</v>
      </c>
      <c r="D230" s="224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7"/>
      <c r="AF230" s="23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8"/>
      <c r="AT230" s="432">
        <f>AT229-AT226</f>
        <v>1296720</v>
      </c>
      <c r="AU230" s="432">
        <f t="shared" ref="AU230:AY230" si="540">AU229-AU226</f>
        <v>432240</v>
      </c>
      <c r="AV230" s="432">
        <f t="shared" si="540"/>
        <v>432240</v>
      </c>
      <c r="AW230" s="432">
        <f t="shared" si="540"/>
        <v>432240</v>
      </c>
      <c r="AX230" s="432">
        <f t="shared" si="540"/>
        <v>1476240</v>
      </c>
      <c r="AY230" s="432">
        <f t="shared" si="540"/>
        <v>432240</v>
      </c>
      <c r="AZ230" s="123">
        <f>SUM(AM228)</f>
        <v>0</v>
      </c>
      <c r="BA230" s="123">
        <f t="shared" ref="BA230" si="541">SUM(AN228)</f>
        <v>0</v>
      </c>
      <c r="BB230" s="123">
        <f>SUM(AO228)</f>
        <v>0</v>
      </c>
      <c r="BC230" s="123">
        <f t="shared" ref="BC230" si="542">SUM(AP228)</f>
        <v>0</v>
      </c>
      <c r="BD230" s="136"/>
      <c r="BE230" s="136"/>
      <c r="BF230" s="405">
        <f>BF228-BF229</f>
        <v>-906802</v>
      </c>
      <c r="BG230" s="138"/>
      <c r="BH230" s="135"/>
      <c r="BI230" s="139"/>
      <c r="BJ230" s="135"/>
      <c r="BK230" s="136"/>
      <c r="BL230" s="136"/>
      <c r="BM230" s="136"/>
      <c r="BN230" s="136"/>
      <c r="BO230" s="136"/>
      <c r="BP230" s="137"/>
      <c r="BQ230" s="136"/>
      <c r="BR230" s="136"/>
      <c r="BS230" s="136"/>
      <c r="BT230" s="136"/>
      <c r="BU230" s="136"/>
      <c r="BV230" s="138"/>
      <c r="BW230" s="138"/>
      <c r="BX230" s="138"/>
      <c r="BY230" s="135"/>
      <c r="BZ230" s="139"/>
      <c r="CA230" s="138"/>
      <c r="CB230" s="138"/>
      <c r="CC230" s="24"/>
      <c r="CD230" s="24"/>
      <c r="CE230" s="24"/>
      <c r="CF230" s="24"/>
      <c r="CG230" s="24"/>
      <c r="CH230" s="140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</row>
    <row r="231" spans="1:98" s="8" customFormat="1" ht="48.75" customHeight="1" x14ac:dyDescent="0.2">
      <c r="A231" s="1703" t="s">
        <v>10</v>
      </c>
      <c r="B231" s="1706" t="s">
        <v>11</v>
      </c>
      <c r="C231" s="1706" t="s">
        <v>22</v>
      </c>
      <c r="D231" s="1721" t="s">
        <v>12</v>
      </c>
      <c r="E231" s="1721"/>
      <c r="F231" s="1721"/>
      <c r="G231" s="1721"/>
      <c r="H231" s="1721"/>
      <c r="I231" s="1721"/>
      <c r="J231" s="1721"/>
      <c r="K231" s="1721"/>
      <c r="L231" s="1721"/>
      <c r="M231" s="1721"/>
      <c r="N231" s="1721"/>
      <c r="O231" s="1721"/>
      <c r="P231" s="1721"/>
      <c r="Q231" s="1721"/>
      <c r="R231" s="1706" t="s">
        <v>20</v>
      </c>
      <c r="S231" s="1717" t="s">
        <v>17</v>
      </c>
      <c r="T231" s="1718"/>
      <c r="U231" s="1718"/>
      <c r="V231" s="1718"/>
      <c r="W231" s="1718"/>
      <c r="X231" s="1718"/>
      <c r="Y231" s="1718"/>
      <c r="Z231" s="1718"/>
      <c r="AA231" s="1718"/>
      <c r="AB231" s="1718"/>
      <c r="AC231" s="1718"/>
      <c r="AD231" s="1718"/>
      <c r="AE231" s="1719"/>
      <c r="AF231" s="1720" t="s">
        <v>6</v>
      </c>
      <c r="AG231" s="1720"/>
      <c r="AH231" s="1720"/>
      <c r="AI231" s="1720"/>
      <c r="AJ231" s="1720"/>
      <c r="AK231" s="1720"/>
      <c r="AL231" s="1720"/>
      <c r="AM231" s="1720"/>
      <c r="AN231" s="1720"/>
      <c r="AO231" s="1720"/>
      <c r="AP231" s="1720"/>
      <c r="AQ231" s="1720"/>
      <c r="AR231" s="1720"/>
      <c r="AS231" s="1720"/>
      <c r="AT231" s="1722" t="s">
        <v>41</v>
      </c>
      <c r="AU231" s="1723"/>
      <c r="AV231" s="1723"/>
      <c r="AW231" s="1723"/>
      <c r="AX231" s="1723"/>
      <c r="AY231" s="1723"/>
      <c r="AZ231" s="1723"/>
      <c r="BA231" s="1723"/>
      <c r="BB231" s="1723"/>
      <c r="BC231" s="1723"/>
      <c r="BD231" s="1723"/>
      <c r="BE231" s="1723"/>
      <c r="BF231" s="1724"/>
      <c r="BG231" s="1706" t="s">
        <v>38</v>
      </c>
      <c r="BH231" s="1706" t="s">
        <v>256</v>
      </c>
      <c r="BI231" s="1709" t="s">
        <v>39</v>
      </c>
      <c r="BJ231" s="135"/>
      <c r="BK231" s="1283"/>
      <c r="BL231" s="1283">
        <f>BH227-BH228</f>
        <v>906802</v>
      </c>
      <c r="BM231" s="1283"/>
      <c r="BN231" s="135"/>
      <c r="BO231" s="1733" t="s">
        <v>41</v>
      </c>
      <c r="BP231" s="1734"/>
      <c r="BQ231" s="1734"/>
      <c r="BR231" s="1734"/>
      <c r="BS231" s="1734"/>
      <c r="BT231" s="1734"/>
      <c r="BU231" s="1734"/>
      <c r="BV231" s="1734"/>
      <c r="BW231" s="1734"/>
      <c r="BX231" s="1734"/>
      <c r="BY231" s="1734"/>
      <c r="BZ231" s="1734"/>
      <c r="CA231" s="1734"/>
      <c r="CB231" s="1734"/>
      <c r="CC231" s="1734"/>
      <c r="CD231" s="1734"/>
      <c r="CE231" s="1734"/>
      <c r="CF231" s="1734"/>
      <c r="CG231" s="1734"/>
      <c r="CH231" s="1734"/>
      <c r="CI231" s="1734"/>
      <c r="CJ231" s="1734"/>
      <c r="CK231" s="1734"/>
      <c r="CL231" s="1734"/>
      <c r="CM231" s="1734"/>
      <c r="CN231" s="1735"/>
    </row>
    <row r="232" spans="1:98" s="8" customFormat="1" ht="48.75" customHeight="1" x14ac:dyDescent="0.2">
      <c r="A232" s="1704"/>
      <c r="B232" s="1707"/>
      <c r="C232" s="1707"/>
      <c r="D232" s="1728" t="s">
        <v>18</v>
      </c>
      <c r="E232" s="1714" t="s">
        <v>19</v>
      </c>
      <c r="F232" s="1715"/>
      <c r="G232" s="1715"/>
      <c r="H232" s="1715"/>
      <c r="I232" s="1715"/>
      <c r="J232" s="1715"/>
      <c r="K232" s="1715"/>
      <c r="L232" s="1715"/>
      <c r="M232" s="1715"/>
      <c r="N232" s="1715"/>
      <c r="O232" s="1715"/>
      <c r="P232" s="1715"/>
      <c r="Q232" s="1715"/>
      <c r="R232" s="1707"/>
      <c r="S232" s="1712" t="s">
        <v>18</v>
      </c>
      <c r="T232" s="1714" t="s">
        <v>19</v>
      </c>
      <c r="U232" s="1715"/>
      <c r="V232" s="1715"/>
      <c r="W232" s="1715"/>
      <c r="X232" s="1715"/>
      <c r="Y232" s="1715"/>
      <c r="Z232" s="1715"/>
      <c r="AA232" s="1715"/>
      <c r="AB232" s="1715"/>
      <c r="AC232" s="1715"/>
      <c r="AD232" s="1715"/>
      <c r="AE232" s="1716"/>
      <c r="AF232" s="1712" t="s">
        <v>18</v>
      </c>
      <c r="AG232" s="1714" t="s">
        <v>19</v>
      </c>
      <c r="AH232" s="1715"/>
      <c r="AI232" s="1715"/>
      <c r="AJ232" s="1715"/>
      <c r="AK232" s="1715"/>
      <c r="AL232" s="1715"/>
      <c r="AM232" s="1715"/>
      <c r="AN232" s="1715"/>
      <c r="AO232" s="1715"/>
      <c r="AP232" s="1715"/>
      <c r="AQ232" s="1715"/>
      <c r="AR232" s="1715"/>
      <c r="AS232" s="1716"/>
      <c r="AT232" s="1725"/>
      <c r="AU232" s="1726"/>
      <c r="AV232" s="1726"/>
      <c r="AW232" s="1726"/>
      <c r="AX232" s="1726"/>
      <c r="AY232" s="1726"/>
      <c r="AZ232" s="1726"/>
      <c r="BA232" s="1726"/>
      <c r="BB232" s="1726"/>
      <c r="BC232" s="1726"/>
      <c r="BD232" s="1726"/>
      <c r="BE232" s="1726"/>
      <c r="BF232" s="1727"/>
      <c r="BG232" s="1707"/>
      <c r="BH232" s="1707"/>
      <c r="BI232" s="1710"/>
      <c r="BJ232" s="135"/>
      <c r="BK232" s="1736"/>
      <c r="BL232" s="1736"/>
      <c r="BM232" s="1736"/>
      <c r="BN232" s="23"/>
      <c r="BO232" s="1737" t="s">
        <v>686</v>
      </c>
      <c r="BP232" s="1738"/>
      <c r="BQ232" s="1738"/>
      <c r="BR232" s="1738"/>
      <c r="BS232" s="1738"/>
      <c r="BT232" s="1738"/>
      <c r="BU232" s="1738"/>
      <c r="BV232" s="1738"/>
      <c r="BW232" s="1738"/>
      <c r="BX232" s="1738"/>
      <c r="BY232" s="1738"/>
      <c r="BZ232" s="1738"/>
      <c r="CA232" s="1739"/>
      <c r="CB232" s="1740" t="s">
        <v>687</v>
      </c>
      <c r="CC232" s="1741"/>
      <c r="CD232" s="1741"/>
      <c r="CE232" s="1741"/>
      <c r="CF232" s="1741"/>
      <c r="CG232" s="1741"/>
      <c r="CH232" s="1741"/>
      <c r="CI232" s="1741"/>
      <c r="CJ232" s="1741"/>
      <c r="CK232" s="1741"/>
      <c r="CL232" s="1741"/>
      <c r="CM232" s="1741"/>
      <c r="CN232" s="1742"/>
    </row>
    <row r="233" spans="1:98" s="6" customFormat="1" ht="28.5" customHeight="1" x14ac:dyDescent="0.2">
      <c r="A233" s="1705"/>
      <c r="B233" s="1708"/>
      <c r="C233" s="1708"/>
      <c r="D233" s="1729"/>
      <c r="E233" s="26">
        <v>1</v>
      </c>
      <c r="F233" s="26">
        <v>2</v>
      </c>
      <c r="G233" s="26">
        <v>3</v>
      </c>
      <c r="H233" s="26">
        <v>4</v>
      </c>
      <c r="I233" s="26">
        <v>5</v>
      </c>
      <c r="J233" s="26">
        <v>6</v>
      </c>
      <c r="K233" s="26">
        <v>7</v>
      </c>
      <c r="L233" s="26">
        <v>8</v>
      </c>
      <c r="M233" s="26">
        <v>9</v>
      </c>
      <c r="N233" s="26">
        <v>10</v>
      </c>
      <c r="O233" s="26">
        <v>11</v>
      </c>
      <c r="P233" s="26">
        <v>12</v>
      </c>
      <c r="Q233" s="26" t="s">
        <v>21</v>
      </c>
      <c r="R233" s="1708"/>
      <c r="S233" s="1713"/>
      <c r="T233" s="26">
        <v>1</v>
      </c>
      <c r="U233" s="26">
        <v>2</v>
      </c>
      <c r="V233" s="26">
        <v>3</v>
      </c>
      <c r="W233" s="26">
        <v>4</v>
      </c>
      <c r="X233" s="26">
        <v>5</v>
      </c>
      <c r="Y233" s="26">
        <v>6</v>
      </c>
      <c r="Z233" s="26">
        <v>7</v>
      </c>
      <c r="AA233" s="26">
        <v>8</v>
      </c>
      <c r="AB233" s="26">
        <v>9</v>
      </c>
      <c r="AC233" s="26">
        <v>10</v>
      </c>
      <c r="AD233" s="26">
        <v>11</v>
      </c>
      <c r="AE233" s="26">
        <v>12</v>
      </c>
      <c r="AF233" s="1713"/>
      <c r="AG233" s="26">
        <v>1</v>
      </c>
      <c r="AH233" s="26">
        <v>2</v>
      </c>
      <c r="AI233" s="26">
        <v>3</v>
      </c>
      <c r="AJ233" s="26">
        <v>4</v>
      </c>
      <c r="AK233" s="26">
        <v>5</v>
      </c>
      <c r="AL233" s="26">
        <v>6</v>
      </c>
      <c r="AM233" s="26">
        <v>7</v>
      </c>
      <c r="AN233" s="26">
        <v>8</v>
      </c>
      <c r="AO233" s="26">
        <v>9</v>
      </c>
      <c r="AP233" s="26">
        <v>10</v>
      </c>
      <c r="AQ233" s="26">
        <v>11</v>
      </c>
      <c r="AR233" s="26">
        <v>12</v>
      </c>
      <c r="AS233" s="26" t="s">
        <v>13</v>
      </c>
      <c r="AT233" s="173">
        <v>1</v>
      </c>
      <c r="AU233" s="173">
        <v>2</v>
      </c>
      <c r="AV233" s="173">
        <v>3</v>
      </c>
      <c r="AW233" s="173">
        <v>4</v>
      </c>
      <c r="AX233" s="173">
        <v>5</v>
      </c>
      <c r="AY233" s="173">
        <v>6</v>
      </c>
      <c r="AZ233" s="173">
        <v>7</v>
      </c>
      <c r="BA233" s="173">
        <v>8</v>
      </c>
      <c r="BB233" s="173">
        <v>9</v>
      </c>
      <c r="BC233" s="173">
        <v>10</v>
      </c>
      <c r="BD233" s="173">
        <v>11</v>
      </c>
      <c r="BE233" s="173">
        <v>12</v>
      </c>
      <c r="BF233" s="26" t="s">
        <v>13</v>
      </c>
      <c r="BG233" s="1708"/>
      <c r="BH233" s="1708"/>
      <c r="BI233" s="1711"/>
      <c r="BJ233" s="7"/>
      <c r="BK233" s="1743" t="s">
        <v>19</v>
      </c>
      <c r="BL233" s="1744"/>
      <c r="BM233" s="1745"/>
      <c r="BN233" s="621"/>
      <c r="BO233" s="173">
        <v>1</v>
      </c>
      <c r="BP233" s="173">
        <v>2</v>
      </c>
      <c r="BQ233" s="173">
        <v>3</v>
      </c>
      <c r="BR233" s="173">
        <v>4</v>
      </c>
      <c r="BS233" s="173">
        <v>5</v>
      </c>
      <c r="BT233" s="173">
        <v>6</v>
      </c>
      <c r="BU233" s="173">
        <v>7</v>
      </c>
      <c r="BV233" s="173">
        <v>8</v>
      </c>
      <c r="BW233" s="173">
        <v>9</v>
      </c>
      <c r="BX233" s="173">
        <v>10</v>
      </c>
      <c r="BY233" s="173">
        <v>11</v>
      </c>
      <c r="BZ233" s="173">
        <v>12</v>
      </c>
      <c r="CA233" s="26" t="s">
        <v>13</v>
      </c>
      <c r="CB233" s="173">
        <v>1</v>
      </c>
      <c r="CC233" s="173">
        <v>2</v>
      </c>
      <c r="CD233" s="173">
        <v>3</v>
      </c>
      <c r="CE233" s="173">
        <v>4</v>
      </c>
      <c r="CF233" s="173">
        <v>5</v>
      </c>
      <c r="CG233" s="173">
        <v>6</v>
      </c>
      <c r="CH233" s="173">
        <v>7</v>
      </c>
      <c r="CI233" s="173">
        <v>8</v>
      </c>
      <c r="CJ233" s="173">
        <v>9</v>
      </c>
      <c r="CK233" s="173">
        <v>10</v>
      </c>
      <c r="CL233" s="173">
        <v>11</v>
      </c>
      <c r="CM233" s="173">
        <v>12</v>
      </c>
      <c r="CN233" s="26" t="s">
        <v>13</v>
      </c>
    </row>
    <row r="234" spans="1:98" s="7" customFormat="1" ht="24.75" customHeight="1" x14ac:dyDescent="0.2">
      <c r="A234" s="41"/>
      <c r="B234" s="141" t="s">
        <v>250</v>
      </c>
      <c r="C234" s="29" t="s">
        <v>54</v>
      </c>
      <c r="D234" s="557">
        <v>400</v>
      </c>
      <c r="E234" s="1080">
        <v>400</v>
      </c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1">
        <f>SUM(E234:P234)</f>
        <v>400</v>
      </c>
      <c r="R234" s="83" t="s">
        <v>7</v>
      </c>
      <c r="S234" s="558">
        <v>570</v>
      </c>
      <c r="T234" s="1153">
        <v>570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69">
        <f t="shared" ref="AF234:AF235" si="543">SUM(Q234*S234)</f>
        <v>228000</v>
      </c>
      <c r="AG234" s="1081">
        <f t="shared" ref="AG234:AI235" si="544">T234*E234</f>
        <v>228000</v>
      </c>
      <c r="AH234" s="70">
        <f t="shared" si="544"/>
        <v>0</v>
      </c>
      <c r="AI234" s="70">
        <f t="shared" si="544"/>
        <v>0</v>
      </c>
      <c r="AJ234" s="70">
        <f t="shared" ref="AJ234:AR235" si="545">W234*H234</f>
        <v>0</v>
      </c>
      <c r="AK234" s="70">
        <f t="shared" si="545"/>
        <v>0</v>
      </c>
      <c r="AL234" s="70">
        <f t="shared" si="545"/>
        <v>0</v>
      </c>
      <c r="AM234" s="70">
        <f t="shared" si="545"/>
        <v>0</v>
      </c>
      <c r="AN234" s="70">
        <f t="shared" si="545"/>
        <v>0</v>
      </c>
      <c r="AO234" s="70">
        <f t="shared" si="545"/>
        <v>0</v>
      </c>
      <c r="AP234" s="70">
        <f t="shared" si="545"/>
        <v>0</v>
      </c>
      <c r="AQ234" s="70">
        <f t="shared" si="545"/>
        <v>0</v>
      </c>
      <c r="AR234" s="70">
        <f t="shared" si="545"/>
        <v>0</v>
      </c>
      <c r="AS234" s="71">
        <f>SUM(AG234:AR234)</f>
        <v>228000</v>
      </c>
      <c r="AT234" s="70">
        <f>SUM(AG234*2%)</f>
        <v>4560</v>
      </c>
      <c r="AU234" s="70">
        <f t="shared" ref="AU234:AV235" si="546">SUM(AH234*14%)</f>
        <v>0</v>
      </c>
      <c r="AV234" s="70">
        <f t="shared" si="546"/>
        <v>0</v>
      </c>
      <c r="AW234" s="70">
        <f t="shared" ref="AW234:BE235" si="547">SUM(AJ234*14%)</f>
        <v>0</v>
      </c>
      <c r="AX234" s="70">
        <f t="shared" si="547"/>
        <v>0</v>
      </c>
      <c r="AY234" s="70">
        <f t="shared" si="547"/>
        <v>0</v>
      </c>
      <c r="AZ234" s="70">
        <f t="shared" si="547"/>
        <v>0</v>
      </c>
      <c r="BA234" s="70">
        <f t="shared" si="547"/>
        <v>0</v>
      </c>
      <c r="BB234" s="70">
        <f t="shared" si="547"/>
        <v>0</v>
      </c>
      <c r="BC234" s="70">
        <f t="shared" si="547"/>
        <v>0</v>
      </c>
      <c r="BD234" s="70">
        <f t="shared" si="547"/>
        <v>0</v>
      </c>
      <c r="BE234" s="70">
        <f t="shared" si="547"/>
        <v>0</v>
      </c>
      <c r="BF234" s="72">
        <f>SUM(AT234:BE234)</f>
        <v>4560</v>
      </c>
      <c r="BG234" s="73">
        <f>AF234-AS234</f>
        <v>0</v>
      </c>
      <c r="BH234" s="74">
        <f>S234*D234</f>
        <v>228000</v>
      </c>
      <c r="BI234" s="75">
        <f>BH234-AS234</f>
        <v>0</v>
      </c>
      <c r="BJ234" s="175">
        <f>SUM(Q234/D234)</f>
        <v>1</v>
      </c>
      <c r="BK234" s="1081">
        <f>AG234-BF234</f>
        <v>223440</v>
      </c>
      <c r="BL234" s="1081">
        <f>400*500</f>
        <v>200000</v>
      </c>
      <c r="BM234" s="1083">
        <f>BK234-BL234</f>
        <v>23440</v>
      </c>
      <c r="BN234" s="1084"/>
      <c r="BO234" s="862"/>
      <c r="BP234" s="862"/>
      <c r="BQ234" s="862"/>
      <c r="BR234" s="862"/>
      <c r="BS234" s="862"/>
      <c r="BT234" s="862"/>
      <c r="BU234" s="862"/>
      <c r="BV234" s="862"/>
      <c r="BW234" s="1081">
        <f t="shared" ref="BW234:BW235" si="548">SUM(AN234*12.5%)</f>
        <v>0</v>
      </c>
      <c r="BX234" s="862"/>
      <c r="BY234" s="862"/>
      <c r="BZ234" s="862"/>
      <c r="CA234" s="73">
        <f t="shared" ref="CA234" si="549">SUM(BO234:BZ234)</f>
        <v>0</v>
      </c>
      <c r="CB234" s="862"/>
      <c r="CC234" s="862"/>
      <c r="CD234" s="862"/>
      <c r="CE234" s="862"/>
      <c r="CF234" s="862"/>
      <c r="CG234" s="862"/>
      <c r="CH234" s="862"/>
      <c r="CI234" s="862"/>
      <c r="CJ234" s="1081"/>
      <c r="CK234" s="862"/>
      <c r="CL234" s="862"/>
      <c r="CM234" s="862"/>
      <c r="CN234" s="73">
        <f t="shared" ref="CN234:CN235" si="550">SUM(CB234:CM234)</f>
        <v>0</v>
      </c>
    </row>
    <row r="235" spans="1:98" s="7" customFormat="1" ht="24.75" customHeight="1" thickBot="1" x14ac:dyDescent="0.25">
      <c r="A235" s="41"/>
      <c r="B235" s="141" t="s">
        <v>251</v>
      </c>
      <c r="C235" s="29" t="s">
        <v>54</v>
      </c>
      <c r="D235" s="557">
        <v>3</v>
      </c>
      <c r="E235" s="1080">
        <v>3</v>
      </c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1">
        <f>SUM(E235:P235)</f>
        <v>3</v>
      </c>
      <c r="R235" s="83" t="s">
        <v>96</v>
      </c>
      <c r="S235" s="559">
        <v>28400</v>
      </c>
      <c r="T235" s="1153">
        <v>25500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69">
        <f t="shared" si="543"/>
        <v>85200</v>
      </c>
      <c r="AG235" s="1081">
        <f t="shared" si="544"/>
        <v>76500</v>
      </c>
      <c r="AH235" s="70">
        <f t="shared" si="544"/>
        <v>0</v>
      </c>
      <c r="AI235" s="70">
        <f t="shared" si="544"/>
        <v>0</v>
      </c>
      <c r="AJ235" s="70">
        <f t="shared" si="545"/>
        <v>0</v>
      </c>
      <c r="AK235" s="70">
        <f t="shared" si="545"/>
        <v>0</v>
      </c>
      <c r="AL235" s="70">
        <f t="shared" si="545"/>
        <v>0</v>
      </c>
      <c r="AM235" s="70">
        <f t="shared" si="545"/>
        <v>0</v>
      </c>
      <c r="AN235" s="70">
        <f t="shared" si="545"/>
        <v>0</v>
      </c>
      <c r="AO235" s="70">
        <f t="shared" si="545"/>
        <v>0</v>
      </c>
      <c r="AP235" s="70">
        <f t="shared" si="545"/>
        <v>0</v>
      </c>
      <c r="AQ235" s="70">
        <f t="shared" si="545"/>
        <v>0</v>
      </c>
      <c r="AR235" s="70">
        <f t="shared" si="545"/>
        <v>0</v>
      </c>
      <c r="AS235" s="71">
        <f>SUM(AG235:AR235)</f>
        <v>76500</v>
      </c>
      <c r="AT235" s="70">
        <f>SUM(AG235*2%)</f>
        <v>1530</v>
      </c>
      <c r="AU235" s="70">
        <f t="shared" si="546"/>
        <v>0</v>
      </c>
      <c r="AV235" s="70">
        <f t="shared" si="546"/>
        <v>0</v>
      </c>
      <c r="AW235" s="70">
        <f t="shared" si="547"/>
        <v>0</v>
      </c>
      <c r="AX235" s="70">
        <f t="shared" si="547"/>
        <v>0</v>
      </c>
      <c r="AY235" s="70">
        <f t="shared" si="547"/>
        <v>0</v>
      </c>
      <c r="AZ235" s="70">
        <f t="shared" si="547"/>
        <v>0</v>
      </c>
      <c r="BA235" s="70">
        <f t="shared" si="547"/>
        <v>0</v>
      </c>
      <c r="BB235" s="70">
        <f t="shared" si="547"/>
        <v>0</v>
      </c>
      <c r="BC235" s="70">
        <f t="shared" si="547"/>
        <v>0</v>
      </c>
      <c r="BD235" s="70">
        <f t="shared" si="547"/>
        <v>0</v>
      </c>
      <c r="BE235" s="70">
        <f t="shared" si="547"/>
        <v>0</v>
      </c>
      <c r="BF235" s="72">
        <f>SUM(AT235:BE235)</f>
        <v>1530</v>
      </c>
      <c r="BG235" s="73">
        <f>AF235-AS235</f>
        <v>8700</v>
      </c>
      <c r="BH235" s="74">
        <f>S235*D235</f>
        <v>85200</v>
      </c>
      <c r="BI235" s="75">
        <f>BH235-AS235</f>
        <v>8700</v>
      </c>
      <c r="BJ235" s="175">
        <f>SUM(Q235/D235)</f>
        <v>1</v>
      </c>
      <c r="BK235" s="1081">
        <f>AG235-BF235</f>
        <v>74970</v>
      </c>
      <c r="BL235" s="1081">
        <f>BK235</f>
        <v>74970</v>
      </c>
      <c r="BM235" s="1083">
        <f>BK235-BL235</f>
        <v>0</v>
      </c>
      <c r="BN235" s="1084"/>
      <c r="BO235" s="862"/>
      <c r="BP235" s="862"/>
      <c r="BQ235" s="862"/>
      <c r="BR235" s="862"/>
      <c r="BS235" s="862"/>
      <c r="BT235" s="862"/>
      <c r="BU235" s="862"/>
      <c r="BV235" s="862"/>
      <c r="BW235" s="1081">
        <f t="shared" si="548"/>
        <v>0</v>
      </c>
      <c r="BX235" s="862"/>
      <c r="BY235" s="862"/>
      <c r="BZ235" s="862"/>
      <c r="CA235" s="73">
        <f t="shared" ref="CA235" si="551">SUM(BO235:BZ235)</f>
        <v>0</v>
      </c>
      <c r="CB235" s="862"/>
      <c r="CC235" s="862"/>
      <c r="CD235" s="862"/>
      <c r="CE235" s="862"/>
      <c r="CF235" s="862"/>
      <c r="CG235" s="862"/>
      <c r="CH235" s="862"/>
      <c r="CI235" s="862"/>
      <c r="CJ235" s="1081"/>
      <c r="CK235" s="862"/>
      <c r="CL235" s="862"/>
      <c r="CM235" s="862"/>
      <c r="CN235" s="73">
        <f t="shared" si="550"/>
        <v>0</v>
      </c>
    </row>
    <row r="236" spans="1:98" s="38" customFormat="1" ht="24.75" customHeight="1" thickBot="1" x14ac:dyDescent="0.25">
      <c r="A236" s="554">
        <v>22</v>
      </c>
      <c r="B236" s="44" t="s">
        <v>4</v>
      </c>
      <c r="C236" s="44"/>
      <c r="D236" s="227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7"/>
      <c r="R236" s="77"/>
      <c r="S236" s="45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78">
        <f t="shared" ref="AF236:BF236" si="552">SUM(AF234:AF235)</f>
        <v>313200</v>
      </c>
      <c r="AG236" s="1475">
        <f t="shared" si="552"/>
        <v>304500</v>
      </c>
      <c r="AH236" s="78">
        <f t="shared" si="552"/>
        <v>0</v>
      </c>
      <c r="AI236" s="78">
        <f t="shared" si="552"/>
        <v>0</v>
      </c>
      <c r="AJ236" s="78">
        <f t="shared" ref="AJ236:AR236" si="553">SUM(AJ234:AJ235)</f>
        <v>0</v>
      </c>
      <c r="AK236" s="78">
        <f t="shared" si="553"/>
        <v>0</v>
      </c>
      <c r="AL236" s="78">
        <f t="shared" si="553"/>
        <v>0</v>
      </c>
      <c r="AM236" s="78">
        <f t="shared" si="553"/>
        <v>0</v>
      </c>
      <c r="AN236" s="78">
        <f t="shared" si="553"/>
        <v>0</v>
      </c>
      <c r="AO236" s="78">
        <f t="shared" si="553"/>
        <v>0</v>
      </c>
      <c r="AP236" s="78">
        <f t="shared" si="553"/>
        <v>0</v>
      </c>
      <c r="AQ236" s="78">
        <f t="shared" si="553"/>
        <v>0</v>
      </c>
      <c r="AR236" s="78">
        <f t="shared" si="553"/>
        <v>0</v>
      </c>
      <c r="AS236" s="78">
        <f t="shared" si="552"/>
        <v>304500</v>
      </c>
      <c r="AT236" s="78">
        <f>SUM(AT234:AT235)</f>
        <v>6090</v>
      </c>
      <c r="AU236" s="78">
        <f t="shared" si="552"/>
        <v>0</v>
      </c>
      <c r="AV236" s="78">
        <f t="shared" si="552"/>
        <v>0</v>
      </c>
      <c r="AW236" s="78">
        <f t="shared" ref="AW236:BE236" si="554">SUM(AW234:AW235)</f>
        <v>0</v>
      </c>
      <c r="AX236" s="78">
        <f t="shared" si="554"/>
        <v>0</v>
      </c>
      <c r="AY236" s="78">
        <f t="shared" si="554"/>
        <v>0</v>
      </c>
      <c r="AZ236" s="78">
        <f t="shared" si="554"/>
        <v>0</v>
      </c>
      <c r="BA236" s="78">
        <f t="shared" si="554"/>
        <v>0</v>
      </c>
      <c r="BB236" s="78">
        <f t="shared" si="554"/>
        <v>0</v>
      </c>
      <c r="BC236" s="78">
        <f t="shared" si="554"/>
        <v>0</v>
      </c>
      <c r="BD236" s="78">
        <f t="shared" si="554"/>
        <v>0</v>
      </c>
      <c r="BE236" s="78">
        <f t="shared" si="554"/>
        <v>0</v>
      </c>
      <c r="BF236" s="78">
        <f t="shared" si="552"/>
        <v>6090</v>
      </c>
      <c r="BG236" s="79">
        <f>AF236-AS236-BF236</f>
        <v>2610</v>
      </c>
      <c r="BH236" s="78">
        <f>SUM(BH234:BH235)</f>
        <v>313200</v>
      </c>
      <c r="BI236" s="78">
        <f>SUM(BI234:BI235)</f>
        <v>8700</v>
      </c>
      <c r="BJ236" s="176">
        <f>SUM(BJ234:BJ235)/2</f>
        <v>1</v>
      </c>
      <c r="BK236" s="1081">
        <f>SUM(BK234:BK235)</f>
        <v>298410</v>
      </c>
      <c r="BL236" s="1081">
        <f>SUM(BL234:BL235)</f>
        <v>274970</v>
      </c>
      <c r="BM236" s="1083">
        <f>SUM(BM234:BM235)</f>
        <v>23440</v>
      </c>
      <c r="BN236" s="1084"/>
      <c r="BO236" s="862"/>
      <c r="BP236" s="862"/>
      <c r="BQ236" s="862"/>
      <c r="BR236" s="862"/>
      <c r="BS236" s="862"/>
      <c r="BT236" s="862"/>
      <c r="BU236" s="862"/>
      <c r="BV236" s="862"/>
      <c r="BW236" s="1081">
        <f t="shared" ref="BW236" si="555">SUM(AN236*12.5%)</f>
        <v>0</v>
      </c>
      <c r="BX236" s="862"/>
      <c r="BY236" s="862"/>
      <c r="BZ236" s="862"/>
      <c r="CA236" s="73">
        <f t="shared" ref="CA236" si="556">SUM(BO236:BZ236)</f>
        <v>0</v>
      </c>
      <c r="CB236" s="862"/>
      <c r="CC236" s="862"/>
      <c r="CD236" s="862"/>
      <c r="CE236" s="862"/>
      <c r="CF236" s="862"/>
      <c r="CG236" s="862"/>
      <c r="CH236" s="862"/>
      <c r="CI236" s="862"/>
      <c r="CJ236" s="1081"/>
      <c r="CK236" s="862"/>
      <c r="CL236" s="862"/>
      <c r="CM236" s="862"/>
      <c r="CN236" s="73">
        <f t="shared" ref="CN236" si="557">SUM(CB236:CM236)</f>
        <v>0</v>
      </c>
    </row>
    <row r="237" spans="1:98" ht="15.75" x14ac:dyDescent="0.2">
      <c r="BF237" s="52">
        <f>SUM(AS236+BF236)</f>
        <v>310590</v>
      </c>
      <c r="BG237" s="53">
        <f>AF236-AS236-BF236</f>
        <v>2610</v>
      </c>
      <c r="BH237" s="54">
        <f>SUM(BI236+AS236)</f>
        <v>313200</v>
      </c>
      <c r="BI237" s="55">
        <f>SUM(BG236)</f>
        <v>2610</v>
      </c>
      <c r="BJ237" s="40" t="s">
        <v>38</v>
      </c>
      <c r="BL237" s="1491">
        <v>1</v>
      </c>
      <c r="BM237" s="1491">
        <v>23440</v>
      </c>
    </row>
    <row r="238" spans="1:98" ht="15.75" x14ac:dyDescent="0.2">
      <c r="AT238" s="123">
        <f>SUM(AG236+AT236)</f>
        <v>310590</v>
      </c>
      <c r="AU238" s="123">
        <f t="shared" ref="AU238:BE238" si="558">SUM(AH236+AU236)</f>
        <v>0</v>
      </c>
      <c r="AV238" s="123">
        <f t="shared" si="558"/>
        <v>0</v>
      </c>
      <c r="AW238" s="123">
        <f t="shared" si="558"/>
        <v>0</v>
      </c>
      <c r="AX238" s="123">
        <f t="shared" si="558"/>
        <v>0</v>
      </c>
      <c r="AY238" s="123">
        <f t="shared" si="558"/>
        <v>0</v>
      </c>
      <c r="AZ238" s="123">
        <f t="shared" si="558"/>
        <v>0</v>
      </c>
      <c r="BA238" s="123">
        <f t="shared" si="558"/>
        <v>0</v>
      </c>
      <c r="BB238" s="123">
        <f t="shared" si="558"/>
        <v>0</v>
      </c>
      <c r="BC238" s="123">
        <f t="shared" si="558"/>
        <v>0</v>
      </c>
      <c r="BD238" s="123">
        <f t="shared" si="558"/>
        <v>0</v>
      </c>
      <c r="BE238" s="123">
        <f t="shared" si="558"/>
        <v>0</v>
      </c>
      <c r="BF238" s="123">
        <f>SUM(AT238:BE238)</f>
        <v>310590</v>
      </c>
      <c r="BG238" s="40"/>
      <c r="BH238" s="56"/>
      <c r="BI238" s="57">
        <f>SUM(BI236-BI237)</f>
        <v>6090</v>
      </c>
      <c r="BJ238" s="40" t="s">
        <v>37</v>
      </c>
    </row>
    <row r="239" spans="1:98" s="20" customFormat="1" ht="16.5" customHeight="1" x14ac:dyDescent="0.2">
      <c r="A239" s="1730" t="s">
        <v>8</v>
      </c>
      <c r="B239" s="1731"/>
      <c r="C239" s="124" t="s">
        <v>590</v>
      </c>
      <c r="D239" s="224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37"/>
      <c r="AF239" s="23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8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8"/>
      <c r="BG239" s="138"/>
      <c r="BH239" s="135"/>
      <c r="BI239" s="139"/>
      <c r="BJ239" s="135"/>
      <c r="BK239" s="136"/>
      <c r="BL239" s="136"/>
      <c r="BM239" s="136"/>
      <c r="BN239" s="136"/>
      <c r="BO239" s="136"/>
      <c r="BP239" s="137"/>
      <c r="BQ239" s="136"/>
      <c r="BR239" s="136"/>
      <c r="BS239" s="136"/>
      <c r="BT239" s="136"/>
      <c r="BU239" s="136"/>
      <c r="BV239" s="138"/>
      <c r="BW239" s="138"/>
      <c r="BX239" s="138"/>
      <c r="BY239" s="135"/>
      <c r="BZ239" s="139"/>
      <c r="CA239" s="138"/>
      <c r="CB239" s="138"/>
      <c r="CC239" s="24"/>
      <c r="CD239" s="24"/>
      <c r="CE239" s="24"/>
      <c r="CF239" s="24"/>
      <c r="CG239" s="24"/>
      <c r="CH239" s="140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</row>
    <row r="240" spans="1:98" s="8" customFormat="1" ht="48.75" customHeight="1" x14ac:dyDescent="0.2">
      <c r="A240" s="1703" t="s">
        <v>10</v>
      </c>
      <c r="B240" s="1706" t="s">
        <v>11</v>
      </c>
      <c r="C240" s="1706" t="s">
        <v>22</v>
      </c>
      <c r="D240" s="1721" t="s">
        <v>12</v>
      </c>
      <c r="E240" s="1721"/>
      <c r="F240" s="1721"/>
      <c r="G240" s="1721"/>
      <c r="H240" s="1721"/>
      <c r="I240" s="1721"/>
      <c r="J240" s="1721"/>
      <c r="K240" s="1721"/>
      <c r="L240" s="1721"/>
      <c r="M240" s="1721"/>
      <c r="N240" s="1721"/>
      <c r="O240" s="1721"/>
      <c r="P240" s="1721"/>
      <c r="Q240" s="1721"/>
      <c r="R240" s="1706" t="s">
        <v>20</v>
      </c>
      <c r="S240" s="1717" t="s">
        <v>17</v>
      </c>
      <c r="T240" s="1718"/>
      <c r="U240" s="1718"/>
      <c r="V240" s="1718"/>
      <c r="W240" s="1718"/>
      <c r="X240" s="1718"/>
      <c r="Y240" s="1718"/>
      <c r="Z240" s="1718"/>
      <c r="AA240" s="1718"/>
      <c r="AB240" s="1718"/>
      <c r="AC240" s="1718"/>
      <c r="AD240" s="1718"/>
      <c r="AE240" s="1719"/>
      <c r="AF240" s="1720" t="s">
        <v>6</v>
      </c>
      <c r="AG240" s="1720"/>
      <c r="AH240" s="1720"/>
      <c r="AI240" s="1720"/>
      <c r="AJ240" s="1720"/>
      <c r="AK240" s="1720"/>
      <c r="AL240" s="1720"/>
      <c r="AM240" s="1720"/>
      <c r="AN240" s="1720"/>
      <c r="AO240" s="1720"/>
      <c r="AP240" s="1720"/>
      <c r="AQ240" s="1720"/>
      <c r="AR240" s="1720"/>
      <c r="AS240" s="1720"/>
      <c r="AT240" s="1722" t="s">
        <v>41</v>
      </c>
      <c r="AU240" s="1723"/>
      <c r="AV240" s="1723"/>
      <c r="AW240" s="1723"/>
      <c r="AX240" s="1723"/>
      <c r="AY240" s="1723"/>
      <c r="AZ240" s="1723"/>
      <c r="BA240" s="1723"/>
      <c r="BB240" s="1723"/>
      <c r="BC240" s="1723"/>
      <c r="BD240" s="1723"/>
      <c r="BE240" s="1723"/>
      <c r="BF240" s="1724"/>
      <c r="BG240" s="1706" t="s">
        <v>38</v>
      </c>
      <c r="BH240" s="1706" t="s">
        <v>256</v>
      </c>
      <c r="BI240" s="1709" t="s">
        <v>39</v>
      </c>
      <c r="BJ240" s="135"/>
      <c r="BK240" s="135"/>
      <c r="BL240" s="135"/>
      <c r="BM240" s="135"/>
      <c r="BN240" s="135"/>
      <c r="BO240" s="1733" t="s">
        <v>41</v>
      </c>
      <c r="BP240" s="1734"/>
      <c r="BQ240" s="1734"/>
      <c r="BR240" s="1734"/>
      <c r="BS240" s="1734"/>
      <c r="BT240" s="1734"/>
      <c r="BU240" s="1734"/>
      <c r="BV240" s="1734"/>
      <c r="BW240" s="1734"/>
      <c r="BX240" s="1734"/>
      <c r="BY240" s="1734"/>
      <c r="BZ240" s="1734"/>
      <c r="CA240" s="1734"/>
      <c r="CB240" s="1734"/>
      <c r="CC240" s="1734"/>
      <c r="CD240" s="1734"/>
      <c r="CE240" s="1734"/>
      <c r="CF240" s="1734"/>
      <c r="CG240" s="1734"/>
      <c r="CH240" s="1734"/>
      <c r="CI240" s="1734"/>
      <c r="CJ240" s="1734"/>
      <c r="CK240" s="1734"/>
      <c r="CL240" s="1734"/>
      <c r="CM240" s="1734"/>
      <c r="CN240" s="1735"/>
    </row>
    <row r="241" spans="1:92" s="8" customFormat="1" ht="48.75" customHeight="1" x14ac:dyDescent="0.2">
      <c r="A241" s="1704"/>
      <c r="B241" s="1707"/>
      <c r="C241" s="1707"/>
      <c r="D241" s="1728" t="s">
        <v>18</v>
      </c>
      <c r="E241" s="1714" t="s">
        <v>19</v>
      </c>
      <c r="F241" s="1715"/>
      <c r="G241" s="1715"/>
      <c r="H241" s="1715"/>
      <c r="I241" s="1715"/>
      <c r="J241" s="1715"/>
      <c r="K241" s="1715"/>
      <c r="L241" s="1715"/>
      <c r="M241" s="1715"/>
      <c r="N241" s="1715"/>
      <c r="O241" s="1715"/>
      <c r="P241" s="1715"/>
      <c r="Q241" s="1715"/>
      <c r="R241" s="1707"/>
      <c r="S241" s="1712" t="s">
        <v>18</v>
      </c>
      <c r="T241" s="1714" t="s">
        <v>19</v>
      </c>
      <c r="U241" s="1715"/>
      <c r="V241" s="1715"/>
      <c r="W241" s="1715"/>
      <c r="X241" s="1715"/>
      <c r="Y241" s="1715"/>
      <c r="Z241" s="1715"/>
      <c r="AA241" s="1715"/>
      <c r="AB241" s="1715"/>
      <c r="AC241" s="1715"/>
      <c r="AD241" s="1715"/>
      <c r="AE241" s="1716"/>
      <c r="AF241" s="1712" t="s">
        <v>18</v>
      </c>
      <c r="AG241" s="1714" t="s">
        <v>19</v>
      </c>
      <c r="AH241" s="1715"/>
      <c r="AI241" s="1715"/>
      <c r="AJ241" s="1715"/>
      <c r="AK241" s="1715"/>
      <c r="AL241" s="1715"/>
      <c r="AM241" s="1715"/>
      <c r="AN241" s="1715"/>
      <c r="AO241" s="1715"/>
      <c r="AP241" s="1715"/>
      <c r="AQ241" s="1715"/>
      <c r="AR241" s="1715"/>
      <c r="AS241" s="1716"/>
      <c r="AT241" s="1725"/>
      <c r="AU241" s="1726"/>
      <c r="AV241" s="1726"/>
      <c r="AW241" s="1726"/>
      <c r="AX241" s="1726"/>
      <c r="AY241" s="1726"/>
      <c r="AZ241" s="1726"/>
      <c r="BA241" s="1726"/>
      <c r="BB241" s="1726"/>
      <c r="BC241" s="1726"/>
      <c r="BD241" s="1726"/>
      <c r="BE241" s="1726"/>
      <c r="BF241" s="1727"/>
      <c r="BG241" s="1707"/>
      <c r="BH241" s="1707"/>
      <c r="BI241" s="1710"/>
      <c r="BJ241" s="135"/>
      <c r="BK241" s="1736">
        <f>SUM(BK243/60)</f>
        <v>7553.333333333333</v>
      </c>
      <c r="BL241" s="1736"/>
      <c r="BM241" s="1736"/>
      <c r="BN241" s="23"/>
      <c r="BO241" s="1737" t="s">
        <v>686</v>
      </c>
      <c r="BP241" s="1738"/>
      <c r="BQ241" s="1738"/>
      <c r="BR241" s="1738"/>
      <c r="BS241" s="1738"/>
      <c r="BT241" s="1738"/>
      <c r="BU241" s="1738"/>
      <c r="BV241" s="1738"/>
      <c r="BW241" s="1738"/>
      <c r="BX241" s="1738"/>
      <c r="BY241" s="1738"/>
      <c r="BZ241" s="1738"/>
      <c r="CA241" s="1739"/>
      <c r="CB241" s="1740" t="s">
        <v>687</v>
      </c>
      <c r="CC241" s="1741"/>
      <c r="CD241" s="1741"/>
      <c r="CE241" s="1741"/>
      <c r="CF241" s="1741"/>
      <c r="CG241" s="1741"/>
      <c r="CH241" s="1741"/>
      <c r="CI241" s="1741"/>
      <c r="CJ241" s="1741"/>
      <c r="CK241" s="1741"/>
      <c r="CL241" s="1741"/>
      <c r="CM241" s="1741"/>
      <c r="CN241" s="1742"/>
    </row>
    <row r="242" spans="1:92" s="6" customFormat="1" ht="28.5" customHeight="1" x14ac:dyDescent="0.2">
      <c r="A242" s="1705"/>
      <c r="B242" s="1708"/>
      <c r="C242" s="1708"/>
      <c r="D242" s="1729"/>
      <c r="E242" s="26">
        <v>1</v>
      </c>
      <c r="F242" s="26">
        <v>2</v>
      </c>
      <c r="G242" s="26">
        <v>3</v>
      </c>
      <c r="H242" s="26">
        <v>4</v>
      </c>
      <c r="I242" s="26">
        <v>5</v>
      </c>
      <c r="J242" s="26">
        <v>6</v>
      </c>
      <c r="K242" s="26">
        <v>7</v>
      </c>
      <c r="L242" s="26">
        <v>8</v>
      </c>
      <c r="M242" s="26">
        <v>9</v>
      </c>
      <c r="N242" s="26">
        <v>10</v>
      </c>
      <c r="O242" s="26">
        <v>11</v>
      </c>
      <c r="P242" s="26">
        <v>12</v>
      </c>
      <c r="Q242" s="26" t="s">
        <v>21</v>
      </c>
      <c r="R242" s="1708"/>
      <c r="S242" s="1713"/>
      <c r="T242" s="26">
        <v>1</v>
      </c>
      <c r="U242" s="26">
        <v>2</v>
      </c>
      <c r="V242" s="26">
        <v>3</v>
      </c>
      <c r="W242" s="26">
        <v>4</v>
      </c>
      <c r="X242" s="26">
        <v>5</v>
      </c>
      <c r="Y242" s="26">
        <v>6</v>
      </c>
      <c r="Z242" s="26">
        <v>7</v>
      </c>
      <c r="AA242" s="26">
        <v>8</v>
      </c>
      <c r="AB242" s="26">
        <v>9</v>
      </c>
      <c r="AC242" s="26">
        <v>10</v>
      </c>
      <c r="AD242" s="26">
        <v>11</v>
      </c>
      <c r="AE242" s="26">
        <v>12</v>
      </c>
      <c r="AF242" s="1713"/>
      <c r="AG242" s="26">
        <v>1</v>
      </c>
      <c r="AH242" s="26">
        <v>2</v>
      </c>
      <c r="AI242" s="26">
        <v>3</v>
      </c>
      <c r="AJ242" s="26">
        <v>4</v>
      </c>
      <c r="AK242" s="26">
        <v>5</v>
      </c>
      <c r="AL242" s="26">
        <v>6</v>
      </c>
      <c r="AM242" s="26">
        <v>7</v>
      </c>
      <c r="AN242" s="26">
        <v>8</v>
      </c>
      <c r="AO242" s="26">
        <v>9</v>
      </c>
      <c r="AP242" s="26">
        <v>10</v>
      </c>
      <c r="AQ242" s="26">
        <v>11</v>
      </c>
      <c r="AR242" s="26">
        <v>12</v>
      </c>
      <c r="AS242" s="26" t="s">
        <v>13</v>
      </c>
      <c r="AT242" s="173">
        <v>1</v>
      </c>
      <c r="AU242" s="173">
        <v>2</v>
      </c>
      <c r="AV242" s="173">
        <v>3</v>
      </c>
      <c r="AW242" s="173">
        <v>4</v>
      </c>
      <c r="AX242" s="173">
        <v>5</v>
      </c>
      <c r="AY242" s="173">
        <v>6</v>
      </c>
      <c r="AZ242" s="173">
        <v>7</v>
      </c>
      <c r="BA242" s="173">
        <v>8</v>
      </c>
      <c r="BB242" s="173">
        <v>9</v>
      </c>
      <c r="BC242" s="173">
        <v>10</v>
      </c>
      <c r="BD242" s="173">
        <v>11</v>
      </c>
      <c r="BE242" s="173">
        <v>12</v>
      </c>
      <c r="BF242" s="26" t="s">
        <v>13</v>
      </c>
      <c r="BG242" s="1708"/>
      <c r="BH242" s="1708"/>
      <c r="BI242" s="1711"/>
      <c r="BJ242" s="7"/>
      <c r="BK242" s="1743" t="s">
        <v>19</v>
      </c>
      <c r="BL242" s="1744"/>
      <c r="BM242" s="1745"/>
      <c r="BN242" s="621"/>
      <c r="BO242" s="173">
        <v>1</v>
      </c>
      <c r="BP242" s="173">
        <v>2</v>
      </c>
      <c r="BQ242" s="173">
        <v>3</v>
      </c>
      <c r="BR242" s="173">
        <v>4</v>
      </c>
      <c r="BS242" s="173">
        <v>5</v>
      </c>
      <c r="BT242" s="173">
        <v>6</v>
      </c>
      <c r="BU242" s="173">
        <v>7</v>
      </c>
      <c r="BV242" s="173">
        <v>8</v>
      </c>
      <c r="BW242" s="173">
        <v>9</v>
      </c>
      <c r="BX242" s="173">
        <v>10</v>
      </c>
      <c r="BY242" s="173">
        <v>11</v>
      </c>
      <c r="BZ242" s="173">
        <v>12</v>
      </c>
      <c r="CA242" s="26" t="s">
        <v>13</v>
      </c>
      <c r="CB242" s="173">
        <v>1</v>
      </c>
      <c r="CC242" s="173">
        <v>2</v>
      </c>
      <c r="CD242" s="173">
        <v>3</v>
      </c>
      <c r="CE242" s="173">
        <v>4</v>
      </c>
      <c r="CF242" s="173">
        <v>5</v>
      </c>
      <c r="CG242" s="173">
        <v>6</v>
      </c>
      <c r="CH242" s="173">
        <v>7</v>
      </c>
      <c r="CI242" s="173">
        <v>8</v>
      </c>
      <c r="CJ242" s="173">
        <v>9</v>
      </c>
      <c r="CK242" s="173">
        <v>10</v>
      </c>
      <c r="CL242" s="173">
        <v>11</v>
      </c>
      <c r="CM242" s="173">
        <v>12</v>
      </c>
      <c r="CN242" s="26" t="s">
        <v>13</v>
      </c>
    </row>
    <row r="243" spans="1:92" s="7" customFormat="1" ht="24.75" customHeight="1" x14ac:dyDescent="0.2">
      <c r="A243" s="41"/>
      <c r="B243" s="141" t="s">
        <v>89</v>
      </c>
      <c r="C243" s="29" t="s">
        <v>25</v>
      </c>
      <c r="D243" s="555">
        <v>500</v>
      </c>
      <c r="E243" s="837">
        <v>100</v>
      </c>
      <c r="F243" s="30">
        <v>50</v>
      </c>
      <c r="G243" s="30">
        <v>50</v>
      </c>
      <c r="H243" s="30">
        <v>50</v>
      </c>
      <c r="I243" s="1136">
        <v>50</v>
      </c>
      <c r="J243" s="1136">
        <v>50</v>
      </c>
      <c r="K243" s="1080">
        <v>50</v>
      </c>
      <c r="L243" s="30"/>
      <c r="M243" s="30"/>
      <c r="N243" s="30"/>
      <c r="O243" s="30"/>
      <c r="P243" s="30"/>
      <c r="Q243" s="31">
        <f>SUM(E243:P243)</f>
        <v>400</v>
      </c>
      <c r="R243" s="83" t="s">
        <v>31</v>
      </c>
      <c r="S243" s="556">
        <v>10300</v>
      </c>
      <c r="T243" s="84">
        <v>9000</v>
      </c>
      <c r="U243" s="84">
        <v>9000</v>
      </c>
      <c r="V243" s="84">
        <v>9000</v>
      </c>
      <c r="W243" s="84">
        <v>9000</v>
      </c>
      <c r="X243" s="1141">
        <v>10300</v>
      </c>
      <c r="Y243" s="1141">
        <v>10300</v>
      </c>
      <c r="Z243" s="1154">
        <v>10300</v>
      </c>
      <c r="AA243" s="33"/>
      <c r="AB243" s="33"/>
      <c r="AC243" s="33"/>
      <c r="AD243" s="33"/>
      <c r="AE243" s="33"/>
      <c r="AF243" s="69">
        <f t="shared" ref="AF243:AF244" si="559">SUM(Q243*S243)</f>
        <v>4120000</v>
      </c>
      <c r="AG243" s="70">
        <f>T243*E243</f>
        <v>900000</v>
      </c>
      <c r="AH243" s="70">
        <f t="shared" ref="AH243:AH244" si="560">U243*F243</f>
        <v>450000</v>
      </c>
      <c r="AI243" s="70">
        <f t="shared" ref="AI243:AI244" si="561">V243*G243</f>
        <v>450000</v>
      </c>
      <c r="AJ243" s="70">
        <f t="shared" ref="AJ243:AJ244" si="562">W243*H243</f>
        <v>450000</v>
      </c>
      <c r="AK243" s="1128">
        <f t="shared" ref="AK243:AK244" si="563">X243*I243</f>
        <v>515000</v>
      </c>
      <c r="AL243" s="1128">
        <f t="shared" ref="AL243:AL244" si="564">Y243*J243</f>
        <v>515000</v>
      </c>
      <c r="AM243" s="1081">
        <f t="shared" ref="AM243:AM244" si="565">Z243*K243</f>
        <v>515000</v>
      </c>
      <c r="AN243" s="70">
        <f t="shared" ref="AN243:AN244" si="566">AA243*L243</f>
        <v>0</v>
      </c>
      <c r="AO243" s="70">
        <f t="shared" ref="AO243:AO244" si="567">AB243*M243</f>
        <v>0</v>
      </c>
      <c r="AP243" s="70">
        <f t="shared" ref="AP243:AP244" si="568">AC243*N243</f>
        <v>0</v>
      </c>
      <c r="AQ243" s="70">
        <f t="shared" ref="AQ243:AQ244" si="569">AD243*O243</f>
        <v>0</v>
      </c>
      <c r="AR243" s="70">
        <f t="shared" ref="AR243:AR244" si="570">AE243*P243</f>
        <v>0</v>
      </c>
      <c r="AS243" s="71">
        <f>SUM(AG243:AR243)</f>
        <v>3795000</v>
      </c>
      <c r="AT243" s="70">
        <f>SUM(AG243*4%)</f>
        <v>36000</v>
      </c>
      <c r="AU243" s="70">
        <f>SUM(AH243*4%)</f>
        <v>18000</v>
      </c>
      <c r="AV243" s="70">
        <f>SUM(AI243*4%)</f>
        <v>18000</v>
      </c>
      <c r="AW243" s="70">
        <f>SUM(AJ243*4%)</f>
        <v>18000</v>
      </c>
      <c r="AX243" s="70">
        <f>SUM(AK243*12%)</f>
        <v>61800</v>
      </c>
      <c r="AY243" s="70">
        <f>SUM(AL243*12%)</f>
        <v>61800</v>
      </c>
      <c r="AZ243" s="1081">
        <f>SUM(AM243*12%)</f>
        <v>61800</v>
      </c>
      <c r="BA243" s="70">
        <f t="shared" ref="BA243:BA244" si="571">SUM(AN243*14%)</f>
        <v>0</v>
      </c>
      <c r="BB243" s="70">
        <f t="shared" ref="BB243:BB244" si="572">SUM(AO243*14%)</f>
        <v>0</v>
      </c>
      <c r="BC243" s="70">
        <f t="shared" ref="BC243:BC244" si="573">SUM(AP243*14%)</f>
        <v>0</v>
      </c>
      <c r="BD243" s="70">
        <f t="shared" ref="BD243:BD244" si="574">SUM(AQ243*14%)</f>
        <v>0</v>
      </c>
      <c r="BE243" s="70">
        <f t="shared" ref="BE243:BE244" si="575">SUM(AR243*14%)</f>
        <v>0</v>
      </c>
      <c r="BF243" s="72">
        <f>AT243+AU243+AV243+AW243</f>
        <v>90000</v>
      </c>
      <c r="BG243" s="73">
        <f>AF243-AS243-AT243-AU243-AV243-AW243</f>
        <v>235000</v>
      </c>
      <c r="BH243" s="74">
        <f>S243*D243</f>
        <v>5150000</v>
      </c>
      <c r="BI243" s="1146">
        <f>BH243-AS243-BF243</f>
        <v>1265000</v>
      </c>
      <c r="BJ243" s="175">
        <f>SUM(Q243/D243)</f>
        <v>0.8</v>
      </c>
      <c r="BK243" s="1081">
        <f>AM243-AZ243</f>
        <v>453200</v>
      </c>
      <c r="BL243" s="1081">
        <f>50 *9000</f>
        <v>450000</v>
      </c>
      <c r="BM243" s="1083">
        <f>BK243-BL243</f>
        <v>3200</v>
      </c>
      <c r="BN243" s="1084"/>
      <c r="BO243" s="862"/>
      <c r="BP243" s="862"/>
      <c r="BQ243" s="862"/>
      <c r="BR243" s="862"/>
      <c r="BS243" s="862"/>
      <c r="BT243" s="862"/>
      <c r="BU243" s="862"/>
      <c r="BV243" s="862"/>
      <c r="BW243" s="1081">
        <f t="shared" ref="BW243:BW244" si="576">SUM(AN243*12.5%)</f>
        <v>0</v>
      </c>
      <c r="BX243" s="862"/>
      <c r="BY243" s="862"/>
      <c r="BZ243" s="862"/>
      <c r="CA243" s="73">
        <f t="shared" ref="CA243" si="577">SUM(BO243:BZ243)</f>
        <v>0</v>
      </c>
      <c r="CB243" s="862"/>
      <c r="CC243" s="862"/>
      <c r="CD243" s="862"/>
      <c r="CE243" s="862"/>
      <c r="CF243" s="862"/>
      <c r="CG243" s="862"/>
      <c r="CH243" s="862"/>
      <c r="CI243" s="862"/>
      <c r="CJ243" s="1081"/>
      <c r="CK243" s="862"/>
      <c r="CL243" s="862"/>
      <c r="CM243" s="862"/>
      <c r="CN243" s="73">
        <f t="shared" ref="CN243:CN244" si="578">SUM(CB243:CM243)</f>
        <v>0</v>
      </c>
    </row>
    <row r="244" spans="1:92" s="7" customFormat="1" ht="24.75" customHeight="1" thickBot="1" x14ac:dyDescent="0.25">
      <c r="A244" s="41"/>
      <c r="B244" s="141" t="s">
        <v>32</v>
      </c>
      <c r="C244" s="29" t="s">
        <v>25</v>
      </c>
      <c r="D244" s="231">
        <v>4</v>
      </c>
      <c r="E244" s="82">
        <v>4</v>
      </c>
      <c r="F244" s="30"/>
      <c r="G244" s="30"/>
      <c r="H244" s="30"/>
      <c r="I244" s="1136"/>
      <c r="J244" s="1136"/>
      <c r="K244" s="1080"/>
      <c r="L244" s="30"/>
      <c r="M244" s="30"/>
      <c r="N244" s="30"/>
      <c r="O244" s="30"/>
      <c r="P244" s="30"/>
      <c r="Q244" s="31">
        <f>SUM(E244:P244)</f>
        <v>4</v>
      </c>
      <c r="R244" s="83" t="s">
        <v>16</v>
      </c>
      <c r="S244" s="142">
        <v>35000</v>
      </c>
      <c r="T244" s="84">
        <v>30000</v>
      </c>
      <c r="U244" s="33"/>
      <c r="V244" s="33"/>
      <c r="W244" s="33"/>
      <c r="X244" s="1141"/>
      <c r="Y244" s="1141"/>
      <c r="Z244" s="1154"/>
      <c r="AA244" s="33"/>
      <c r="AB244" s="33"/>
      <c r="AC244" s="33"/>
      <c r="AD244" s="33"/>
      <c r="AE244" s="33"/>
      <c r="AF244" s="69">
        <f t="shared" si="559"/>
        <v>140000</v>
      </c>
      <c r="AG244" s="70">
        <f t="shared" ref="AG244" si="579">T244*E244</f>
        <v>120000</v>
      </c>
      <c r="AH244" s="70">
        <f t="shared" si="560"/>
        <v>0</v>
      </c>
      <c r="AI244" s="70">
        <f t="shared" si="561"/>
        <v>0</v>
      </c>
      <c r="AJ244" s="70">
        <f t="shared" si="562"/>
        <v>0</v>
      </c>
      <c r="AK244" s="1128">
        <f t="shared" si="563"/>
        <v>0</v>
      </c>
      <c r="AL244" s="1128">
        <f t="shared" si="564"/>
        <v>0</v>
      </c>
      <c r="AM244" s="1081">
        <f t="shared" si="565"/>
        <v>0</v>
      </c>
      <c r="AN244" s="70">
        <f t="shared" si="566"/>
        <v>0</v>
      </c>
      <c r="AO244" s="70">
        <f t="shared" si="567"/>
        <v>0</v>
      </c>
      <c r="AP244" s="70">
        <f t="shared" si="568"/>
        <v>0</v>
      </c>
      <c r="AQ244" s="70">
        <f t="shared" si="569"/>
        <v>0</v>
      </c>
      <c r="AR244" s="70">
        <f t="shared" si="570"/>
        <v>0</v>
      </c>
      <c r="AS244" s="71">
        <f>SUM(AG244:AR244)</f>
        <v>120000</v>
      </c>
      <c r="AT244" s="70">
        <f t="shared" ref="AT244" si="580">SUM(AG244*4%)</f>
        <v>4800</v>
      </c>
      <c r="AU244" s="70">
        <f t="shared" ref="AU244" si="581">SUM(AH244*14%)</f>
        <v>0</v>
      </c>
      <c r="AV244" s="70">
        <f t="shared" ref="AV244" si="582">SUM(AI244*14%)</f>
        <v>0</v>
      </c>
      <c r="AW244" s="70">
        <f t="shared" ref="AW244" si="583">SUM(AJ244*14%)</f>
        <v>0</v>
      </c>
      <c r="AX244" s="70">
        <f t="shared" ref="AX244" si="584">SUM(AK244*14%)</f>
        <v>0</v>
      </c>
      <c r="AY244" s="70">
        <f t="shared" ref="AY244" si="585">SUM(AL244*14%)</f>
        <v>0</v>
      </c>
      <c r="AZ244" s="1081">
        <f t="shared" ref="AZ244" si="586">SUM(AM244*14%)</f>
        <v>0</v>
      </c>
      <c r="BA244" s="70">
        <f t="shared" si="571"/>
        <v>0</v>
      </c>
      <c r="BB244" s="70">
        <f t="shared" si="572"/>
        <v>0</v>
      </c>
      <c r="BC244" s="70">
        <f t="shared" si="573"/>
        <v>0</v>
      </c>
      <c r="BD244" s="70">
        <f t="shared" si="574"/>
        <v>0</v>
      </c>
      <c r="BE244" s="70">
        <f t="shared" si="575"/>
        <v>0</v>
      </c>
      <c r="BF244" s="72">
        <f>SUM(AT244:BE244)</f>
        <v>4800</v>
      </c>
      <c r="BG244" s="73">
        <f>AF244-AS244-AT244</f>
        <v>15200</v>
      </c>
      <c r="BH244" s="74">
        <f>S244*D244</f>
        <v>140000</v>
      </c>
      <c r="BI244" s="1146">
        <f>BH244-AS244-BF244</f>
        <v>15200</v>
      </c>
      <c r="BJ244" s="175">
        <f>SUM(Q244/D244)</f>
        <v>1</v>
      </c>
      <c r="BK244" s="1081">
        <f>AM244-AZ244</f>
        <v>0</v>
      </c>
      <c r="BL244" s="1081"/>
      <c r="BM244" s="1083"/>
      <c r="BN244" s="1084"/>
      <c r="BO244" s="862"/>
      <c r="BP244" s="862"/>
      <c r="BQ244" s="862"/>
      <c r="BR244" s="862"/>
      <c r="BS244" s="862"/>
      <c r="BT244" s="862"/>
      <c r="BU244" s="862"/>
      <c r="BV244" s="862"/>
      <c r="BW244" s="1081">
        <f t="shared" si="576"/>
        <v>0</v>
      </c>
      <c r="BX244" s="862"/>
      <c r="BY244" s="862"/>
      <c r="BZ244" s="862"/>
      <c r="CA244" s="73">
        <f t="shared" ref="CA244" si="587">SUM(BO244:BZ244)</f>
        <v>0</v>
      </c>
      <c r="CB244" s="862"/>
      <c r="CC244" s="862"/>
      <c r="CD244" s="862"/>
      <c r="CE244" s="862"/>
      <c r="CF244" s="862"/>
      <c r="CG244" s="862"/>
      <c r="CH244" s="862"/>
      <c r="CI244" s="862"/>
      <c r="CJ244" s="1081"/>
      <c r="CK244" s="862"/>
      <c r="CL244" s="862"/>
      <c r="CM244" s="862"/>
      <c r="CN244" s="73">
        <f t="shared" si="578"/>
        <v>0</v>
      </c>
    </row>
    <row r="245" spans="1:92" s="38" customFormat="1" ht="24.75" customHeight="1" thickBot="1" x14ac:dyDescent="0.25">
      <c r="A245" s="554">
        <v>23</v>
      </c>
      <c r="B245" s="44" t="s">
        <v>4</v>
      </c>
      <c r="C245" s="44"/>
      <c r="D245" s="227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7"/>
      <c r="R245" s="77"/>
      <c r="S245" s="45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78">
        <f t="shared" ref="AF245:BE245" si="588">SUM(AF243:AF244)</f>
        <v>4260000</v>
      </c>
      <c r="AG245" s="78">
        <f t="shared" si="588"/>
        <v>1020000</v>
      </c>
      <c r="AH245" s="78">
        <f t="shared" si="588"/>
        <v>450000</v>
      </c>
      <c r="AI245" s="78">
        <f t="shared" si="588"/>
        <v>450000</v>
      </c>
      <c r="AJ245" s="78">
        <f t="shared" si="588"/>
        <v>450000</v>
      </c>
      <c r="AK245" s="1405">
        <f t="shared" si="588"/>
        <v>515000</v>
      </c>
      <c r="AL245" s="1405">
        <f t="shared" si="588"/>
        <v>515000</v>
      </c>
      <c r="AM245" s="1475">
        <f t="shared" si="588"/>
        <v>515000</v>
      </c>
      <c r="AN245" s="78">
        <f t="shared" si="588"/>
        <v>0</v>
      </c>
      <c r="AO245" s="78">
        <f t="shared" si="588"/>
        <v>0</v>
      </c>
      <c r="AP245" s="78">
        <f t="shared" si="588"/>
        <v>0</v>
      </c>
      <c r="AQ245" s="78">
        <f t="shared" si="588"/>
        <v>0</v>
      </c>
      <c r="AR245" s="78">
        <f t="shared" si="588"/>
        <v>0</v>
      </c>
      <c r="AS245" s="78">
        <f t="shared" si="588"/>
        <v>3915000</v>
      </c>
      <c r="AT245" s="78">
        <f t="shared" si="588"/>
        <v>40800</v>
      </c>
      <c r="AU245" s="78">
        <f t="shared" si="588"/>
        <v>18000</v>
      </c>
      <c r="AV245" s="78">
        <f t="shared" si="588"/>
        <v>18000</v>
      </c>
      <c r="AW245" s="78">
        <f t="shared" si="588"/>
        <v>18000</v>
      </c>
      <c r="AX245" s="78">
        <f t="shared" si="588"/>
        <v>61800</v>
      </c>
      <c r="AY245" s="78">
        <f t="shared" si="588"/>
        <v>61800</v>
      </c>
      <c r="AZ245" s="1475">
        <f t="shared" si="588"/>
        <v>61800</v>
      </c>
      <c r="BA245" s="78">
        <f t="shared" si="588"/>
        <v>0</v>
      </c>
      <c r="BB245" s="78">
        <f t="shared" si="588"/>
        <v>0</v>
      </c>
      <c r="BC245" s="78">
        <f t="shared" si="588"/>
        <v>0</v>
      </c>
      <c r="BD245" s="78">
        <f t="shared" si="588"/>
        <v>0</v>
      </c>
      <c r="BE245" s="78">
        <f t="shared" si="588"/>
        <v>0</v>
      </c>
      <c r="BF245" s="78">
        <f>SUM(BF243:BF244)</f>
        <v>94800</v>
      </c>
      <c r="BG245" s="79">
        <f>SUM(BG243:BG244)</f>
        <v>250200</v>
      </c>
      <c r="BH245" s="78">
        <f>SUM(BH243:BH244)</f>
        <v>5290000</v>
      </c>
      <c r="BI245" s="78">
        <f>SUM(BI243:BI244)</f>
        <v>1280200</v>
      </c>
      <c r="BJ245" s="176">
        <v>1</v>
      </c>
      <c r="BK245" s="1107">
        <f>SUM(BK243:BK244)</f>
        <v>453200</v>
      </c>
      <c r="BL245" s="1107">
        <f>SUM(BL243:BL244)</f>
        <v>450000</v>
      </c>
      <c r="BM245" s="1107">
        <f>SUM(BM243:BM244)</f>
        <v>3200</v>
      </c>
      <c r="BN245" s="1084"/>
      <c r="BO245" s="862"/>
      <c r="BP245" s="862"/>
      <c r="BQ245" s="862"/>
      <c r="BR245" s="862"/>
      <c r="BS245" s="862"/>
      <c r="BT245" s="862"/>
      <c r="BU245" s="862"/>
      <c r="BV245" s="862"/>
      <c r="BW245" s="1081">
        <f t="shared" ref="BW245" si="589">SUM(AN245*12.5%)</f>
        <v>0</v>
      </c>
      <c r="BX245" s="862"/>
      <c r="BY245" s="862"/>
      <c r="BZ245" s="862"/>
      <c r="CA245" s="73">
        <f t="shared" ref="CA245" si="590">SUM(BO245:BZ245)</f>
        <v>0</v>
      </c>
      <c r="CB245" s="862"/>
      <c r="CC245" s="862"/>
      <c r="CD245" s="862"/>
      <c r="CE245" s="862"/>
      <c r="CF245" s="862"/>
      <c r="CG245" s="862"/>
      <c r="CH245" s="862"/>
      <c r="CI245" s="862"/>
      <c r="CJ245" s="1081"/>
      <c r="CK245" s="862"/>
      <c r="CL245" s="862"/>
      <c r="CM245" s="862"/>
      <c r="CN245" s="73">
        <f t="shared" ref="CN245" si="591">SUM(CB245:CM245)</f>
        <v>0</v>
      </c>
    </row>
    <row r="246" spans="1:92" ht="15.75" x14ac:dyDescent="0.2">
      <c r="BD246" s="1578"/>
      <c r="BE246" s="1578">
        <f>AX245+AY245+AZ245</f>
        <v>185400</v>
      </c>
      <c r="BF246" s="52">
        <f>SUM(AS245+BF245)</f>
        <v>4009800</v>
      </c>
      <c r="BG246" s="53">
        <f>AF245-AS245-BF245</f>
        <v>250200</v>
      </c>
      <c r="BH246" s="54">
        <f>BI245+BF248</f>
        <v>5290000</v>
      </c>
      <c r="BI246" s="55">
        <f>SUM(BG245)</f>
        <v>250200</v>
      </c>
      <c r="BJ246" s="40" t="s">
        <v>38</v>
      </c>
      <c r="BL246" s="1493">
        <v>1</v>
      </c>
      <c r="BM246" s="1493">
        <v>3200</v>
      </c>
    </row>
    <row r="247" spans="1:92" ht="15.75" x14ac:dyDescent="0.2">
      <c r="AT247" s="123">
        <f>SUM(AG245+AT245)</f>
        <v>1060800</v>
      </c>
      <c r="AU247" s="123">
        <f t="shared" ref="AU247" si="592">SUM(AH245+AU245)</f>
        <v>468000</v>
      </c>
      <c r="AV247" s="123">
        <f t="shared" ref="AV247" si="593">SUM(AI245+AV245)</f>
        <v>468000</v>
      </c>
      <c r="AW247" s="123">
        <f t="shared" ref="AW247" si="594">SUM(AJ245+AW245)</f>
        <v>468000</v>
      </c>
      <c r="AX247" s="123">
        <f>AK245</f>
        <v>515000</v>
      </c>
      <c r="AY247" s="123">
        <f t="shared" ref="AY247:AZ247" si="595">AL245</f>
        <v>515000</v>
      </c>
      <c r="AZ247" s="123">
        <f t="shared" si="595"/>
        <v>515000</v>
      </c>
      <c r="BA247" s="123">
        <f t="shared" ref="BA247" si="596">SUM(AN245+BA245)</f>
        <v>0</v>
      </c>
      <c r="BB247" s="123">
        <f t="shared" ref="BB247" si="597">SUM(AO245+BB245)</f>
        <v>0</v>
      </c>
      <c r="BC247" s="123">
        <f t="shared" ref="BC247" si="598">SUM(AP245+BC245)</f>
        <v>0</v>
      </c>
      <c r="BD247" s="123">
        <f t="shared" ref="BD247" si="599">SUM(AQ245+BD245)</f>
        <v>0</v>
      </c>
      <c r="BE247" s="123">
        <f>BF245+BE246</f>
        <v>280200</v>
      </c>
      <c r="BF247" s="123">
        <f>SUM(AT247:AY247)</f>
        <v>3494800</v>
      </c>
      <c r="BG247" s="40"/>
      <c r="BH247" s="56"/>
      <c r="BI247" s="57">
        <f>SUM(BI245-BI246)</f>
        <v>1030000</v>
      </c>
      <c r="BJ247" s="40" t="s">
        <v>37</v>
      </c>
      <c r="BL247" s="1492">
        <v>2</v>
      </c>
      <c r="BM247" s="1493">
        <v>3200</v>
      </c>
    </row>
    <row r="248" spans="1:92" ht="18.75" x14ac:dyDescent="0.2">
      <c r="AZ248" s="162">
        <f>SUM(AT247:AZ247)</f>
        <v>4009800</v>
      </c>
      <c r="BF248" s="1580">
        <f>AS245+BF245</f>
        <v>4009800</v>
      </c>
      <c r="BH248" s="1581"/>
      <c r="BL248" s="1493">
        <v>3</v>
      </c>
      <c r="BM248" s="1493">
        <v>3200</v>
      </c>
    </row>
    <row r="249" spans="1:92" x14ac:dyDescent="0.2">
      <c r="AZ249" s="162">
        <f>AZ248+BE247</f>
        <v>4290000</v>
      </c>
    </row>
    <row r="250" spans="1:92" x14ac:dyDescent="0.2">
      <c r="BF250" s="1582"/>
      <c r="BH250" s="1581"/>
    </row>
    <row r="251" spans="1:92" x14ac:dyDescent="0.2">
      <c r="BJ251" s="1579"/>
    </row>
    <row r="252" spans="1:92" x14ac:dyDescent="0.2">
      <c r="BH252" s="1581"/>
      <c r="BI252" s="1581"/>
    </row>
  </sheetData>
  <mergeCells count="529">
    <mergeCell ref="BK233:BM233"/>
    <mergeCell ref="BO240:CN240"/>
    <mergeCell ref="BK241:BM241"/>
    <mergeCell ref="BO241:CA241"/>
    <mergeCell ref="CB241:CN241"/>
    <mergeCell ref="BK242:BM242"/>
    <mergeCell ref="BK214:BM214"/>
    <mergeCell ref="BO221:CN221"/>
    <mergeCell ref="BK222:BM222"/>
    <mergeCell ref="BO222:CA222"/>
    <mergeCell ref="CB222:CN222"/>
    <mergeCell ref="BK223:BM223"/>
    <mergeCell ref="BO231:CN231"/>
    <mergeCell ref="BK232:BM232"/>
    <mergeCell ref="BO232:CA232"/>
    <mergeCell ref="CB232:CN232"/>
    <mergeCell ref="BK191:BM191"/>
    <mergeCell ref="BO203:CN203"/>
    <mergeCell ref="BK204:BM204"/>
    <mergeCell ref="BO204:CA204"/>
    <mergeCell ref="CB204:CN204"/>
    <mergeCell ref="BK205:BM205"/>
    <mergeCell ref="BO212:CN212"/>
    <mergeCell ref="BK213:BM213"/>
    <mergeCell ref="BO213:CA213"/>
    <mergeCell ref="CB213:CN213"/>
    <mergeCell ref="BK166:BM166"/>
    <mergeCell ref="BO174:CN174"/>
    <mergeCell ref="BK175:BM175"/>
    <mergeCell ref="BO175:CA175"/>
    <mergeCell ref="CB175:CN175"/>
    <mergeCell ref="BK176:BM176"/>
    <mergeCell ref="BO189:CN189"/>
    <mergeCell ref="BK190:BM190"/>
    <mergeCell ref="BO190:CA190"/>
    <mergeCell ref="CB190:CN190"/>
    <mergeCell ref="BK144:BM144"/>
    <mergeCell ref="BO153:CN153"/>
    <mergeCell ref="BK154:BM154"/>
    <mergeCell ref="BO154:CA154"/>
    <mergeCell ref="CB154:CN154"/>
    <mergeCell ref="BK155:BM155"/>
    <mergeCell ref="BO164:CN164"/>
    <mergeCell ref="BK165:BM165"/>
    <mergeCell ref="BO165:CA165"/>
    <mergeCell ref="CB165:CN165"/>
    <mergeCell ref="BK123:BM123"/>
    <mergeCell ref="BO131:CN131"/>
    <mergeCell ref="BK132:BM132"/>
    <mergeCell ref="BO132:CA132"/>
    <mergeCell ref="CB132:CN132"/>
    <mergeCell ref="BK133:BM133"/>
    <mergeCell ref="BO142:CN142"/>
    <mergeCell ref="BK143:BM143"/>
    <mergeCell ref="BO143:CA143"/>
    <mergeCell ref="CB143:CN143"/>
    <mergeCell ref="BK102:BM102"/>
    <mergeCell ref="BO111:CN111"/>
    <mergeCell ref="BK112:BM112"/>
    <mergeCell ref="BO112:CA112"/>
    <mergeCell ref="CB112:CN112"/>
    <mergeCell ref="BK113:BM113"/>
    <mergeCell ref="BO121:CN121"/>
    <mergeCell ref="BK122:BM122"/>
    <mergeCell ref="BO122:CA122"/>
    <mergeCell ref="CB122:CN122"/>
    <mergeCell ref="BK80:BM80"/>
    <mergeCell ref="BO89:CN89"/>
    <mergeCell ref="BK90:BM90"/>
    <mergeCell ref="BO90:CA90"/>
    <mergeCell ref="CB90:CN90"/>
    <mergeCell ref="BK91:BM91"/>
    <mergeCell ref="BO100:CN100"/>
    <mergeCell ref="BK101:BM101"/>
    <mergeCell ref="BO101:CA101"/>
    <mergeCell ref="CB101:CN101"/>
    <mergeCell ref="BK58:BM58"/>
    <mergeCell ref="BO67:CN67"/>
    <mergeCell ref="BK68:BM68"/>
    <mergeCell ref="BO68:CA68"/>
    <mergeCell ref="CB68:CN68"/>
    <mergeCell ref="BK69:BM69"/>
    <mergeCell ref="BO78:CN78"/>
    <mergeCell ref="BK79:BM79"/>
    <mergeCell ref="BO79:CA79"/>
    <mergeCell ref="CB79:CN79"/>
    <mergeCell ref="BK37:BM37"/>
    <mergeCell ref="BO45:CN45"/>
    <mergeCell ref="BK46:BM46"/>
    <mergeCell ref="BO46:CA46"/>
    <mergeCell ref="CB46:CN46"/>
    <mergeCell ref="BK47:BM47"/>
    <mergeCell ref="BO56:CN56"/>
    <mergeCell ref="BK57:BM57"/>
    <mergeCell ref="BO57:CA57"/>
    <mergeCell ref="CB57:CN57"/>
    <mergeCell ref="BK16:BM16"/>
    <mergeCell ref="BO25:CN25"/>
    <mergeCell ref="BK26:BM26"/>
    <mergeCell ref="BO26:CA26"/>
    <mergeCell ref="CB26:CN26"/>
    <mergeCell ref="BK27:BM27"/>
    <mergeCell ref="BO35:CN35"/>
    <mergeCell ref="BK36:BM36"/>
    <mergeCell ref="BO36:CA36"/>
    <mergeCell ref="CB36:CN36"/>
    <mergeCell ref="BO3:CN3"/>
    <mergeCell ref="BK4:BM4"/>
    <mergeCell ref="BO4:CA4"/>
    <mergeCell ref="CB4:CN4"/>
    <mergeCell ref="BK5:BM5"/>
    <mergeCell ref="BO14:CN14"/>
    <mergeCell ref="BK15:BM15"/>
    <mergeCell ref="BO15:CA15"/>
    <mergeCell ref="CB15:CN15"/>
    <mergeCell ref="BH78:BH80"/>
    <mergeCell ref="BI78:BI80"/>
    <mergeCell ref="D79:D80"/>
    <mergeCell ref="E79:Q79"/>
    <mergeCell ref="S79:S80"/>
    <mergeCell ref="T79:AE79"/>
    <mergeCell ref="AF79:AF80"/>
    <mergeCell ref="AG79:AS79"/>
    <mergeCell ref="A77:B77"/>
    <mergeCell ref="A78:A80"/>
    <mergeCell ref="B78:B80"/>
    <mergeCell ref="C78:C80"/>
    <mergeCell ref="D78:Q78"/>
    <mergeCell ref="R78:R80"/>
    <mergeCell ref="S78:AE78"/>
    <mergeCell ref="AF78:AS78"/>
    <mergeCell ref="AT78:BF79"/>
    <mergeCell ref="AT67:BF68"/>
    <mergeCell ref="AT203:BF204"/>
    <mergeCell ref="AF121:AS121"/>
    <mergeCell ref="AT174:BF175"/>
    <mergeCell ref="BG231:BG233"/>
    <mergeCell ref="BG164:BG166"/>
    <mergeCell ref="BG153:BG155"/>
    <mergeCell ref="BG142:BG144"/>
    <mergeCell ref="BG131:BG133"/>
    <mergeCell ref="BG174:BG176"/>
    <mergeCell ref="BG221:BG223"/>
    <mergeCell ref="BG212:BG214"/>
    <mergeCell ref="BG189:BG191"/>
    <mergeCell ref="BG78:BG80"/>
    <mergeCell ref="A163:B163"/>
    <mergeCell ref="A164:A166"/>
    <mergeCell ref="B164:B166"/>
    <mergeCell ref="C164:C166"/>
    <mergeCell ref="D164:Q164"/>
    <mergeCell ref="R164:R166"/>
    <mergeCell ref="S164:AE164"/>
    <mergeCell ref="AF164:AS164"/>
    <mergeCell ref="BH164:BH166"/>
    <mergeCell ref="BI164:BI166"/>
    <mergeCell ref="D165:D166"/>
    <mergeCell ref="E165:Q165"/>
    <mergeCell ref="S165:S166"/>
    <mergeCell ref="T165:AE165"/>
    <mergeCell ref="AF165:AF166"/>
    <mergeCell ref="AG165:AS165"/>
    <mergeCell ref="BI153:BI155"/>
    <mergeCell ref="D154:D155"/>
    <mergeCell ref="E154:Q154"/>
    <mergeCell ref="S154:S155"/>
    <mergeCell ref="T154:AE154"/>
    <mergeCell ref="AF154:AF155"/>
    <mergeCell ref="AG154:AS154"/>
    <mergeCell ref="AT153:BF154"/>
    <mergeCell ref="AT164:BF165"/>
    <mergeCell ref="A230:B230"/>
    <mergeCell ref="A231:A233"/>
    <mergeCell ref="B231:B233"/>
    <mergeCell ref="C231:C233"/>
    <mergeCell ref="D231:Q231"/>
    <mergeCell ref="R231:R233"/>
    <mergeCell ref="S231:AE231"/>
    <mergeCell ref="AF231:AS231"/>
    <mergeCell ref="BH231:BH233"/>
    <mergeCell ref="AF232:AF233"/>
    <mergeCell ref="AG232:AS232"/>
    <mergeCell ref="AT231:BF232"/>
    <mergeCell ref="BI231:BI233"/>
    <mergeCell ref="D232:D233"/>
    <mergeCell ref="E232:Q232"/>
    <mergeCell ref="S232:S233"/>
    <mergeCell ref="T232:AE232"/>
    <mergeCell ref="A152:B152"/>
    <mergeCell ref="A153:A155"/>
    <mergeCell ref="B153:B155"/>
    <mergeCell ref="C153:C155"/>
    <mergeCell ref="D153:Q153"/>
    <mergeCell ref="R153:R155"/>
    <mergeCell ref="S153:AE153"/>
    <mergeCell ref="AF153:AS153"/>
    <mergeCell ref="BH153:BH155"/>
    <mergeCell ref="BI221:BI223"/>
    <mergeCell ref="D222:D223"/>
    <mergeCell ref="E222:Q222"/>
    <mergeCell ref="S222:S223"/>
    <mergeCell ref="T222:AE222"/>
    <mergeCell ref="AF222:AF223"/>
    <mergeCell ref="AG222:AS222"/>
    <mergeCell ref="AT221:BF222"/>
    <mergeCell ref="A173:B173"/>
    <mergeCell ref="A174:A176"/>
    <mergeCell ref="A142:A144"/>
    <mergeCell ref="B142:B144"/>
    <mergeCell ref="C142:C144"/>
    <mergeCell ref="D142:Q142"/>
    <mergeCell ref="R142:R144"/>
    <mergeCell ref="S142:AE142"/>
    <mergeCell ref="AF142:AS142"/>
    <mergeCell ref="BH142:BH144"/>
    <mergeCell ref="BI142:BI144"/>
    <mergeCell ref="D143:D144"/>
    <mergeCell ref="E143:Q143"/>
    <mergeCell ref="S143:S144"/>
    <mergeCell ref="T143:AE143"/>
    <mergeCell ref="AF143:AF144"/>
    <mergeCell ref="AG143:AS143"/>
    <mergeCell ref="AT142:BF143"/>
    <mergeCell ref="BI131:BI133"/>
    <mergeCell ref="D132:D133"/>
    <mergeCell ref="E132:Q132"/>
    <mergeCell ref="S132:S133"/>
    <mergeCell ref="T132:AE132"/>
    <mergeCell ref="AF132:AF133"/>
    <mergeCell ref="AG132:AS132"/>
    <mergeCell ref="AT131:BF132"/>
    <mergeCell ref="A141:B141"/>
    <mergeCell ref="A130:B130"/>
    <mergeCell ref="A131:A133"/>
    <mergeCell ref="B131:B133"/>
    <mergeCell ref="C131:C133"/>
    <mergeCell ref="D131:Q131"/>
    <mergeCell ref="R131:R133"/>
    <mergeCell ref="S131:AE131"/>
    <mergeCell ref="AF131:AS131"/>
    <mergeCell ref="BH131:BH133"/>
    <mergeCell ref="BH121:BH123"/>
    <mergeCell ref="BI121:BI123"/>
    <mergeCell ref="D122:D123"/>
    <mergeCell ref="E122:Q122"/>
    <mergeCell ref="S122:S123"/>
    <mergeCell ref="T122:AE122"/>
    <mergeCell ref="AF122:AF123"/>
    <mergeCell ref="AG122:AS122"/>
    <mergeCell ref="AT121:BF122"/>
    <mergeCell ref="BG121:BG123"/>
    <mergeCell ref="BH111:BH113"/>
    <mergeCell ref="BI111:BI113"/>
    <mergeCell ref="D112:D113"/>
    <mergeCell ref="E112:Q112"/>
    <mergeCell ref="S112:S113"/>
    <mergeCell ref="T112:AE112"/>
    <mergeCell ref="AF112:AF113"/>
    <mergeCell ref="AG112:AS112"/>
    <mergeCell ref="AT111:BF112"/>
    <mergeCell ref="BG111:BG113"/>
    <mergeCell ref="BH100:BH102"/>
    <mergeCell ref="BI100:BI102"/>
    <mergeCell ref="D101:D102"/>
    <mergeCell ref="E101:Q101"/>
    <mergeCell ref="S101:S102"/>
    <mergeCell ref="T101:AE101"/>
    <mergeCell ref="AF101:AF102"/>
    <mergeCell ref="AG101:AS101"/>
    <mergeCell ref="AT100:BF101"/>
    <mergeCell ref="BG100:BG102"/>
    <mergeCell ref="A99:B99"/>
    <mergeCell ref="A100:A102"/>
    <mergeCell ref="B100:B102"/>
    <mergeCell ref="C100:C102"/>
    <mergeCell ref="D100:Q100"/>
    <mergeCell ref="R100:R102"/>
    <mergeCell ref="S100:AE100"/>
    <mergeCell ref="AF100:AS100"/>
    <mergeCell ref="A110:B110"/>
    <mergeCell ref="A111:A113"/>
    <mergeCell ref="B111:B113"/>
    <mergeCell ref="C111:C113"/>
    <mergeCell ref="D111:Q111"/>
    <mergeCell ref="R111:R113"/>
    <mergeCell ref="S111:AE111"/>
    <mergeCell ref="AF111:AS111"/>
    <mergeCell ref="A120:B120"/>
    <mergeCell ref="A121:A123"/>
    <mergeCell ref="B121:B123"/>
    <mergeCell ref="C121:C123"/>
    <mergeCell ref="D121:Q121"/>
    <mergeCell ref="R121:R123"/>
    <mergeCell ref="S121:AE121"/>
    <mergeCell ref="B174:B176"/>
    <mergeCell ref="C174:C176"/>
    <mergeCell ref="D174:Q174"/>
    <mergeCell ref="R174:R176"/>
    <mergeCell ref="S174:AE174"/>
    <mergeCell ref="AF174:AS174"/>
    <mergeCell ref="BH174:BH176"/>
    <mergeCell ref="BI174:BI176"/>
    <mergeCell ref="D175:D176"/>
    <mergeCell ref="E175:Q175"/>
    <mergeCell ref="S175:S176"/>
    <mergeCell ref="T175:AE175"/>
    <mergeCell ref="AF175:AF176"/>
    <mergeCell ref="AG175:AS175"/>
    <mergeCell ref="A220:B220"/>
    <mergeCell ref="A221:A223"/>
    <mergeCell ref="B221:B223"/>
    <mergeCell ref="C221:C223"/>
    <mergeCell ref="D221:Q221"/>
    <mergeCell ref="R221:R223"/>
    <mergeCell ref="S221:AE221"/>
    <mergeCell ref="AF221:AS221"/>
    <mergeCell ref="BH221:BH223"/>
    <mergeCell ref="BH212:BH214"/>
    <mergeCell ref="BI212:BI214"/>
    <mergeCell ref="D213:D214"/>
    <mergeCell ref="E213:Q213"/>
    <mergeCell ref="S213:S214"/>
    <mergeCell ref="T213:AE213"/>
    <mergeCell ref="AF213:AF214"/>
    <mergeCell ref="AG213:AS213"/>
    <mergeCell ref="AT212:BF213"/>
    <mergeCell ref="S212:AE212"/>
    <mergeCell ref="AF212:AS212"/>
    <mergeCell ref="A211:B211"/>
    <mergeCell ref="A212:A214"/>
    <mergeCell ref="B212:B214"/>
    <mergeCell ref="D56:Q56"/>
    <mergeCell ref="R56:R58"/>
    <mergeCell ref="S56:AE56"/>
    <mergeCell ref="AF56:AS56"/>
    <mergeCell ref="BG56:BG58"/>
    <mergeCell ref="C212:C214"/>
    <mergeCell ref="BG67:BG69"/>
    <mergeCell ref="D212:Q212"/>
    <mergeCell ref="R212:R214"/>
    <mergeCell ref="A66:B66"/>
    <mergeCell ref="A67:A69"/>
    <mergeCell ref="B67:B69"/>
    <mergeCell ref="C67:C69"/>
    <mergeCell ref="D67:Q67"/>
    <mergeCell ref="R67:R69"/>
    <mergeCell ref="S67:AE67"/>
    <mergeCell ref="AF67:AS67"/>
    <mergeCell ref="D68:D69"/>
    <mergeCell ref="E68:Q68"/>
    <mergeCell ref="A89:A91"/>
    <mergeCell ref="B89:B91"/>
    <mergeCell ref="BH56:BH58"/>
    <mergeCell ref="BI56:BI58"/>
    <mergeCell ref="D57:D58"/>
    <mergeCell ref="E57:Q57"/>
    <mergeCell ref="S57:S58"/>
    <mergeCell ref="T57:AE57"/>
    <mergeCell ref="AF57:AF58"/>
    <mergeCell ref="AG57:AS57"/>
    <mergeCell ref="D45:Q45"/>
    <mergeCell ref="R45:R47"/>
    <mergeCell ref="S45:AE45"/>
    <mergeCell ref="AF45:AS45"/>
    <mergeCell ref="BG45:BG47"/>
    <mergeCell ref="BH45:BH47"/>
    <mergeCell ref="BI45:BI47"/>
    <mergeCell ref="D46:D47"/>
    <mergeCell ref="E46:Q46"/>
    <mergeCell ref="S46:S47"/>
    <mergeCell ref="T46:AE46"/>
    <mergeCell ref="AF46:AF47"/>
    <mergeCell ref="AG46:AS46"/>
    <mergeCell ref="AT45:BF46"/>
    <mergeCell ref="AT56:BF57"/>
    <mergeCell ref="R35:R37"/>
    <mergeCell ref="S35:AE35"/>
    <mergeCell ref="AF35:AS35"/>
    <mergeCell ref="BG35:BG37"/>
    <mergeCell ref="BH35:BH37"/>
    <mergeCell ref="BI35:BI37"/>
    <mergeCell ref="D36:D37"/>
    <mergeCell ref="E36:Q36"/>
    <mergeCell ref="S36:S37"/>
    <mergeCell ref="T36:AE36"/>
    <mergeCell ref="AF36:AF37"/>
    <mergeCell ref="AG36:AS36"/>
    <mergeCell ref="D35:Q35"/>
    <mergeCell ref="AT35:BF36"/>
    <mergeCell ref="BH25:BH27"/>
    <mergeCell ref="BI25:BI27"/>
    <mergeCell ref="D26:D27"/>
    <mergeCell ref="E26:Q26"/>
    <mergeCell ref="S26:S27"/>
    <mergeCell ref="T26:AE26"/>
    <mergeCell ref="AF26:AF27"/>
    <mergeCell ref="AG26:AS26"/>
    <mergeCell ref="A34:B34"/>
    <mergeCell ref="D25:Q25"/>
    <mergeCell ref="R25:R27"/>
    <mergeCell ref="S25:AE25"/>
    <mergeCell ref="AF25:AS25"/>
    <mergeCell ref="BG25:BG27"/>
    <mergeCell ref="AT25:BF26"/>
    <mergeCell ref="BH67:BH69"/>
    <mergeCell ref="BI67:BI69"/>
    <mergeCell ref="A202:B202"/>
    <mergeCell ref="A203:A205"/>
    <mergeCell ref="B203:B205"/>
    <mergeCell ref="C203:C205"/>
    <mergeCell ref="D203:Q203"/>
    <mergeCell ref="R203:R205"/>
    <mergeCell ref="S203:AE203"/>
    <mergeCell ref="AF203:AS203"/>
    <mergeCell ref="BG203:BG205"/>
    <mergeCell ref="BH203:BH205"/>
    <mergeCell ref="BI203:BI205"/>
    <mergeCell ref="D204:D205"/>
    <mergeCell ref="E204:Q204"/>
    <mergeCell ref="S204:S205"/>
    <mergeCell ref="T204:AE204"/>
    <mergeCell ref="AF204:AF205"/>
    <mergeCell ref="AG204:AS204"/>
    <mergeCell ref="S68:S69"/>
    <mergeCell ref="T68:AE68"/>
    <mergeCell ref="AF68:AF69"/>
    <mergeCell ref="AG68:AS68"/>
    <mergeCell ref="A88:B88"/>
    <mergeCell ref="A55:B55"/>
    <mergeCell ref="A56:A58"/>
    <mergeCell ref="B56:B58"/>
    <mergeCell ref="C56:C58"/>
    <mergeCell ref="A44:B44"/>
    <mergeCell ref="A45:A47"/>
    <mergeCell ref="B45:B47"/>
    <mergeCell ref="C45:C47"/>
    <mergeCell ref="A35:A37"/>
    <mergeCell ref="B35:B37"/>
    <mergeCell ref="C35:C37"/>
    <mergeCell ref="A24:B24"/>
    <mergeCell ref="A25:A27"/>
    <mergeCell ref="B25:B27"/>
    <mergeCell ref="C25:C27"/>
    <mergeCell ref="A2:B2"/>
    <mergeCell ref="A3:A5"/>
    <mergeCell ref="B3:B5"/>
    <mergeCell ref="C3:C5"/>
    <mergeCell ref="D3:Q3"/>
    <mergeCell ref="A13:B13"/>
    <mergeCell ref="A14:A16"/>
    <mergeCell ref="B14:B16"/>
    <mergeCell ref="C14:C16"/>
    <mergeCell ref="D14:Q14"/>
    <mergeCell ref="D15:D16"/>
    <mergeCell ref="E15:Q15"/>
    <mergeCell ref="BI14:BI16"/>
    <mergeCell ref="BI3:BI5"/>
    <mergeCell ref="D4:D5"/>
    <mergeCell ref="E4:Q4"/>
    <mergeCell ref="S4:S5"/>
    <mergeCell ref="T4:AE4"/>
    <mergeCell ref="AF4:AF5"/>
    <mergeCell ref="AG4:AS4"/>
    <mergeCell ref="R3:R5"/>
    <mergeCell ref="S3:AE3"/>
    <mergeCell ref="AF3:AS3"/>
    <mergeCell ref="BG3:BG5"/>
    <mergeCell ref="BH3:BH5"/>
    <mergeCell ref="S14:AE14"/>
    <mergeCell ref="AF14:AS14"/>
    <mergeCell ref="BG14:BG16"/>
    <mergeCell ref="BH14:BH16"/>
    <mergeCell ref="S15:S16"/>
    <mergeCell ref="T15:AE15"/>
    <mergeCell ref="AF15:AF16"/>
    <mergeCell ref="AG15:AS15"/>
    <mergeCell ref="R14:R16"/>
    <mergeCell ref="AT3:BF4"/>
    <mergeCell ref="AT14:BF15"/>
    <mergeCell ref="C89:C91"/>
    <mergeCell ref="D89:Q89"/>
    <mergeCell ref="R89:R91"/>
    <mergeCell ref="S89:AE89"/>
    <mergeCell ref="AF89:AS89"/>
    <mergeCell ref="AT89:BF90"/>
    <mergeCell ref="BG89:BG91"/>
    <mergeCell ref="BH89:BH91"/>
    <mergeCell ref="BI89:BI91"/>
    <mergeCell ref="D90:D91"/>
    <mergeCell ref="E90:Q90"/>
    <mergeCell ref="S90:S91"/>
    <mergeCell ref="T90:AE90"/>
    <mergeCell ref="AF90:AF91"/>
    <mergeCell ref="AG90:AS90"/>
    <mergeCell ref="BH189:BH191"/>
    <mergeCell ref="BI189:BI191"/>
    <mergeCell ref="D190:D191"/>
    <mergeCell ref="E190:Q190"/>
    <mergeCell ref="S190:S191"/>
    <mergeCell ref="T190:AE190"/>
    <mergeCell ref="AF190:AF191"/>
    <mergeCell ref="AG190:AS190"/>
    <mergeCell ref="A188:B188"/>
    <mergeCell ref="A189:A191"/>
    <mergeCell ref="B189:B191"/>
    <mergeCell ref="C189:C191"/>
    <mergeCell ref="D189:Q189"/>
    <mergeCell ref="R189:R191"/>
    <mergeCell ref="S189:AE189"/>
    <mergeCell ref="AF189:AS189"/>
    <mergeCell ref="AT189:BF190"/>
    <mergeCell ref="A239:B239"/>
    <mergeCell ref="A240:A242"/>
    <mergeCell ref="B240:B242"/>
    <mergeCell ref="C240:C242"/>
    <mergeCell ref="D240:Q240"/>
    <mergeCell ref="R240:R242"/>
    <mergeCell ref="S240:AE240"/>
    <mergeCell ref="AF240:AS240"/>
    <mergeCell ref="AT240:BF241"/>
    <mergeCell ref="BG240:BG242"/>
    <mergeCell ref="BH240:BH242"/>
    <mergeCell ref="BI240:BI242"/>
    <mergeCell ref="D241:D242"/>
    <mergeCell ref="E241:Q241"/>
    <mergeCell ref="S241:S242"/>
    <mergeCell ref="T241:AE241"/>
    <mergeCell ref="AF241:AF242"/>
    <mergeCell ref="AG241:AS241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CT223"/>
  <sheetViews>
    <sheetView topLeftCell="A154" zoomScale="90" zoomScaleNormal="90" workbookViewId="0">
      <pane xSplit="9585" topLeftCell="BG1" activePane="topRight"/>
      <selection activeCell="A145" sqref="A145"/>
      <selection pane="topRight" activeCell="I145" sqref="I1:I1048576"/>
    </sheetView>
  </sheetViews>
  <sheetFormatPr defaultColWidth="9.33203125" defaultRowHeight="15.75" x14ac:dyDescent="0.2"/>
  <cols>
    <col min="1" max="1" width="7.5" style="126" customWidth="1"/>
    <col min="2" max="2" width="41.33203125" style="127" customWidth="1"/>
    <col min="3" max="3" width="7.6640625" style="126" customWidth="1"/>
    <col min="4" max="4" width="10.83203125" style="127" customWidth="1"/>
    <col min="5" max="16" width="11.6640625" style="130" customWidth="1"/>
    <col min="17" max="17" width="11.6640625" style="131" customWidth="1"/>
    <col min="18" max="18" width="10.5" style="128" customWidth="1"/>
    <col min="19" max="19" width="15.5" style="144" customWidth="1"/>
    <col min="20" max="30" width="15.5" style="125" customWidth="1"/>
    <col min="31" max="31" width="15.5" style="132" customWidth="1"/>
    <col min="32" max="32" width="18.5" style="129" customWidth="1"/>
    <col min="33" max="34" width="16.83203125" style="125" customWidth="1"/>
    <col min="35" max="44" width="15.5" style="125" customWidth="1"/>
    <col min="45" max="45" width="18.83203125" style="133" customWidth="1"/>
    <col min="46" max="57" width="15.5" style="125" customWidth="1"/>
    <col min="58" max="58" width="22.6640625" style="133" customWidth="1"/>
    <col min="59" max="59" width="17.5" style="133" customWidth="1"/>
    <col min="60" max="61" width="17.5" style="134" customWidth="1"/>
    <col min="62" max="62" width="16.33203125" style="376" bestFit="1" customWidth="1"/>
    <col min="63" max="63" width="15.1640625" style="3" customWidth="1"/>
    <col min="64" max="66" width="24.83203125" style="3" customWidth="1"/>
    <col min="67" max="67" width="14.1640625" style="3" customWidth="1"/>
    <col min="68" max="68" width="16.6640625" style="3" bestFit="1" customWidth="1"/>
    <col min="69" max="80" width="9.33203125" style="3"/>
    <col min="81" max="81" width="28.6640625" style="125" bestFit="1" customWidth="1"/>
    <col min="82" max="16384" width="9.33203125" style="125"/>
  </cols>
  <sheetData>
    <row r="1" spans="1:98" s="326" customFormat="1" ht="15" x14ac:dyDescent="0.2">
      <c r="A1" s="325"/>
      <c r="C1" s="325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38"/>
      <c r="R1" s="327"/>
      <c r="S1" s="328"/>
      <c r="AE1" s="339"/>
      <c r="AF1" s="329"/>
      <c r="AS1" s="330"/>
      <c r="BF1" s="330"/>
      <c r="BG1" s="330"/>
      <c r="BH1" s="331"/>
      <c r="BI1" s="331"/>
      <c r="BJ1" s="371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</row>
    <row r="2" spans="1:98" s="262" customFormat="1" ht="16.5" customHeight="1" x14ac:dyDescent="0.2">
      <c r="A2" s="1754" t="s">
        <v>8</v>
      </c>
      <c r="B2" s="1755"/>
      <c r="C2" s="244" t="s">
        <v>71</v>
      </c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93"/>
      <c r="AF2" s="245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  <c r="AS2" s="247"/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  <c r="BF2" s="247"/>
      <c r="BG2" s="247"/>
      <c r="BH2" s="243"/>
      <c r="BI2" s="248"/>
      <c r="BJ2" s="372"/>
      <c r="BK2" s="246"/>
      <c r="BL2" s="246"/>
      <c r="BM2" s="246"/>
      <c r="BN2" s="246"/>
      <c r="BO2" s="246"/>
      <c r="BP2" s="293"/>
      <c r="BQ2" s="246"/>
      <c r="BR2" s="246"/>
      <c r="BS2" s="246"/>
      <c r="BT2" s="246"/>
      <c r="BU2" s="246"/>
      <c r="BV2" s="247"/>
      <c r="BW2" s="247"/>
      <c r="BX2" s="247"/>
      <c r="BY2" s="243"/>
      <c r="BZ2" s="248"/>
      <c r="CA2" s="247"/>
      <c r="CB2" s="247"/>
      <c r="CC2" s="260"/>
      <c r="CD2" s="260"/>
      <c r="CE2" s="260"/>
      <c r="CF2" s="260"/>
      <c r="CG2" s="260"/>
      <c r="CH2" s="261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</row>
    <row r="3" spans="1:98" s="264" customFormat="1" ht="48.75" customHeight="1" x14ac:dyDescent="0.2">
      <c r="A3" s="1756" t="s">
        <v>10</v>
      </c>
      <c r="B3" s="1759" t="s">
        <v>11</v>
      </c>
      <c r="C3" s="1759" t="s">
        <v>22</v>
      </c>
      <c r="D3" s="1762" t="s">
        <v>12</v>
      </c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62"/>
      <c r="R3" s="1759" t="s">
        <v>20</v>
      </c>
      <c r="S3" s="1763" t="s">
        <v>17</v>
      </c>
      <c r="T3" s="1764"/>
      <c r="U3" s="1764"/>
      <c r="V3" s="1764"/>
      <c r="W3" s="1764"/>
      <c r="X3" s="1764"/>
      <c r="Y3" s="1764"/>
      <c r="Z3" s="1764"/>
      <c r="AA3" s="1764"/>
      <c r="AB3" s="1764"/>
      <c r="AC3" s="1764"/>
      <c r="AD3" s="1764"/>
      <c r="AE3" s="1765"/>
      <c r="AF3" s="1766" t="s">
        <v>6</v>
      </c>
      <c r="AG3" s="1766"/>
      <c r="AH3" s="1766"/>
      <c r="AI3" s="1766"/>
      <c r="AJ3" s="1766"/>
      <c r="AK3" s="1766"/>
      <c r="AL3" s="1766"/>
      <c r="AM3" s="1766"/>
      <c r="AN3" s="1766"/>
      <c r="AO3" s="1766"/>
      <c r="AP3" s="1766"/>
      <c r="AQ3" s="1766"/>
      <c r="AR3" s="1766"/>
      <c r="AS3" s="1766"/>
      <c r="AT3" s="1767" t="s">
        <v>41</v>
      </c>
      <c r="AU3" s="1768"/>
      <c r="AV3" s="1768"/>
      <c r="AW3" s="1768"/>
      <c r="AX3" s="1768"/>
      <c r="AY3" s="1768"/>
      <c r="AZ3" s="1768"/>
      <c r="BA3" s="1768"/>
      <c r="BB3" s="1768"/>
      <c r="BC3" s="1768"/>
      <c r="BD3" s="1768"/>
      <c r="BE3" s="1768"/>
      <c r="BF3" s="1769"/>
      <c r="BG3" s="1759" t="s">
        <v>38</v>
      </c>
      <c r="BH3" s="1759" t="s">
        <v>256</v>
      </c>
      <c r="BI3" s="1746" t="s">
        <v>39</v>
      </c>
      <c r="BJ3" s="243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5"/>
      <c r="BW3" s="245"/>
      <c r="BX3" s="245"/>
      <c r="BY3" s="245"/>
      <c r="BZ3" s="245"/>
      <c r="CA3" s="263"/>
      <c r="CB3" s="263"/>
    </row>
    <row r="4" spans="1:98" s="264" customFormat="1" ht="48.75" customHeight="1" x14ac:dyDescent="0.2">
      <c r="A4" s="1757"/>
      <c r="B4" s="1760"/>
      <c r="C4" s="1760"/>
      <c r="D4" s="1749" t="s">
        <v>18</v>
      </c>
      <c r="E4" s="1751" t="s">
        <v>19</v>
      </c>
      <c r="F4" s="1752"/>
      <c r="G4" s="1752"/>
      <c r="H4" s="1752"/>
      <c r="I4" s="1752"/>
      <c r="J4" s="1752"/>
      <c r="K4" s="1752"/>
      <c r="L4" s="1752"/>
      <c r="M4" s="1752"/>
      <c r="N4" s="1752"/>
      <c r="O4" s="1752"/>
      <c r="P4" s="1752"/>
      <c r="Q4" s="1752"/>
      <c r="R4" s="1760"/>
      <c r="S4" s="1749" t="s">
        <v>18</v>
      </c>
      <c r="T4" s="1751" t="s">
        <v>19</v>
      </c>
      <c r="U4" s="1752"/>
      <c r="V4" s="1752"/>
      <c r="W4" s="1752"/>
      <c r="X4" s="1752"/>
      <c r="Y4" s="1752"/>
      <c r="Z4" s="1752"/>
      <c r="AA4" s="1752"/>
      <c r="AB4" s="1752"/>
      <c r="AC4" s="1752"/>
      <c r="AD4" s="1752"/>
      <c r="AE4" s="1753"/>
      <c r="AF4" s="1749" t="s">
        <v>18</v>
      </c>
      <c r="AG4" s="1751" t="s">
        <v>19</v>
      </c>
      <c r="AH4" s="1752"/>
      <c r="AI4" s="1752"/>
      <c r="AJ4" s="1752"/>
      <c r="AK4" s="1752"/>
      <c r="AL4" s="1752"/>
      <c r="AM4" s="1752"/>
      <c r="AN4" s="1752"/>
      <c r="AO4" s="1752"/>
      <c r="AP4" s="1752"/>
      <c r="AQ4" s="1752"/>
      <c r="AR4" s="1752"/>
      <c r="AS4" s="1753"/>
      <c r="AT4" s="1770"/>
      <c r="AU4" s="1771"/>
      <c r="AV4" s="1771"/>
      <c r="AW4" s="1771"/>
      <c r="AX4" s="1771"/>
      <c r="AY4" s="1771"/>
      <c r="AZ4" s="1771"/>
      <c r="BA4" s="1771"/>
      <c r="BB4" s="1771"/>
      <c r="BC4" s="1771"/>
      <c r="BD4" s="1771"/>
      <c r="BE4" s="1771"/>
      <c r="BF4" s="1772"/>
      <c r="BG4" s="1760"/>
      <c r="BH4" s="1760"/>
      <c r="BI4" s="1747"/>
      <c r="BJ4" s="243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63"/>
      <c r="CB4" s="263"/>
    </row>
    <row r="5" spans="1:98" s="269" customFormat="1" ht="28.5" customHeight="1" x14ac:dyDescent="0.2">
      <c r="A5" s="1758"/>
      <c r="B5" s="1761"/>
      <c r="C5" s="1761"/>
      <c r="D5" s="1750"/>
      <c r="E5" s="265">
        <v>1</v>
      </c>
      <c r="F5" s="265">
        <v>2</v>
      </c>
      <c r="G5" s="265">
        <v>3</v>
      </c>
      <c r="H5" s="265">
        <v>4</v>
      </c>
      <c r="I5" s="265">
        <v>5</v>
      </c>
      <c r="J5" s="265">
        <v>6</v>
      </c>
      <c r="K5" s="265">
        <v>7</v>
      </c>
      <c r="L5" s="265">
        <v>8</v>
      </c>
      <c r="M5" s="265">
        <v>9</v>
      </c>
      <c r="N5" s="265">
        <v>10</v>
      </c>
      <c r="O5" s="265">
        <v>11</v>
      </c>
      <c r="P5" s="265">
        <v>12</v>
      </c>
      <c r="Q5" s="265" t="s">
        <v>21</v>
      </c>
      <c r="R5" s="1761"/>
      <c r="S5" s="1750"/>
      <c r="T5" s="265">
        <v>1</v>
      </c>
      <c r="U5" s="265">
        <v>2</v>
      </c>
      <c r="V5" s="265">
        <v>3</v>
      </c>
      <c r="W5" s="265">
        <v>4</v>
      </c>
      <c r="X5" s="265">
        <v>5</v>
      </c>
      <c r="Y5" s="265">
        <v>6</v>
      </c>
      <c r="Z5" s="265">
        <v>7</v>
      </c>
      <c r="AA5" s="265">
        <v>8</v>
      </c>
      <c r="AB5" s="265">
        <v>9</v>
      </c>
      <c r="AC5" s="265">
        <v>10</v>
      </c>
      <c r="AD5" s="265">
        <v>11</v>
      </c>
      <c r="AE5" s="265">
        <v>12</v>
      </c>
      <c r="AF5" s="1750"/>
      <c r="AG5" s="265">
        <v>1</v>
      </c>
      <c r="AH5" s="265">
        <v>2</v>
      </c>
      <c r="AI5" s="265">
        <v>3</v>
      </c>
      <c r="AJ5" s="265">
        <v>4</v>
      </c>
      <c r="AK5" s="265">
        <v>5</v>
      </c>
      <c r="AL5" s="265">
        <v>6</v>
      </c>
      <c r="AM5" s="265">
        <v>7</v>
      </c>
      <c r="AN5" s="265">
        <v>8</v>
      </c>
      <c r="AO5" s="265">
        <v>9</v>
      </c>
      <c r="AP5" s="265">
        <v>10</v>
      </c>
      <c r="AQ5" s="265">
        <v>11</v>
      </c>
      <c r="AR5" s="265">
        <v>12</v>
      </c>
      <c r="AS5" s="265" t="s">
        <v>13</v>
      </c>
      <c r="AT5" s="266">
        <v>1</v>
      </c>
      <c r="AU5" s="266">
        <v>2</v>
      </c>
      <c r="AV5" s="266">
        <v>3</v>
      </c>
      <c r="AW5" s="266">
        <v>4</v>
      </c>
      <c r="AX5" s="266">
        <v>5</v>
      </c>
      <c r="AY5" s="266">
        <v>6</v>
      </c>
      <c r="AZ5" s="266">
        <v>7</v>
      </c>
      <c r="BA5" s="266">
        <v>8</v>
      </c>
      <c r="BB5" s="266">
        <v>9</v>
      </c>
      <c r="BC5" s="266">
        <v>10</v>
      </c>
      <c r="BD5" s="266">
        <v>11</v>
      </c>
      <c r="BE5" s="266">
        <v>12</v>
      </c>
      <c r="BF5" s="265" t="s">
        <v>13</v>
      </c>
      <c r="BG5" s="1761"/>
      <c r="BH5" s="1761"/>
      <c r="BI5" s="1748"/>
      <c r="BJ5" s="267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</row>
    <row r="6" spans="1:98" s="267" customFormat="1" ht="24.75" customHeight="1" thickBot="1" x14ac:dyDescent="0.25">
      <c r="A6" s="340"/>
      <c r="B6" s="341" t="s">
        <v>78</v>
      </c>
      <c r="C6" s="281" t="s">
        <v>25</v>
      </c>
      <c r="D6" s="251">
        <v>12</v>
      </c>
      <c r="E6" s="251">
        <v>3</v>
      </c>
      <c r="F6" s="342">
        <v>1</v>
      </c>
      <c r="G6" s="342">
        <v>1</v>
      </c>
      <c r="H6" s="342">
        <v>1</v>
      </c>
      <c r="I6" s="342">
        <v>1</v>
      </c>
      <c r="J6" s="342">
        <v>1</v>
      </c>
      <c r="K6" s="1207">
        <v>1</v>
      </c>
      <c r="L6" s="576">
        <v>1</v>
      </c>
      <c r="M6" s="576">
        <v>1</v>
      </c>
      <c r="N6" s="576">
        <v>1</v>
      </c>
      <c r="O6" s="342"/>
      <c r="P6" s="342"/>
      <c r="Q6" s="343">
        <f>SUM(E6:P6)</f>
        <v>12</v>
      </c>
      <c r="R6" s="252" t="s">
        <v>68</v>
      </c>
      <c r="S6" s="332">
        <v>3900000</v>
      </c>
      <c r="T6" s="332">
        <v>3900000</v>
      </c>
      <c r="U6" s="332">
        <v>3900000</v>
      </c>
      <c r="V6" s="332">
        <v>3900000</v>
      </c>
      <c r="W6" s="332">
        <v>3900000</v>
      </c>
      <c r="X6" s="332">
        <v>3900000</v>
      </c>
      <c r="Y6" s="332">
        <v>3900000</v>
      </c>
      <c r="Z6" s="1208">
        <v>3900000</v>
      </c>
      <c r="AA6" s="1330">
        <v>3900000</v>
      </c>
      <c r="AB6" s="1330">
        <v>3900000</v>
      </c>
      <c r="AC6" s="1330">
        <v>3900000</v>
      </c>
      <c r="AD6" s="1330">
        <v>3900000</v>
      </c>
      <c r="AE6" s="1412">
        <v>3900000</v>
      </c>
      <c r="AF6" s="271">
        <f>SUM(Q6*S6)</f>
        <v>46800000</v>
      </c>
      <c r="AG6" s="272">
        <f>T6*E6</f>
        <v>11700000</v>
      </c>
      <c r="AH6" s="272">
        <f>U6*F6</f>
        <v>3900000</v>
      </c>
      <c r="AI6" s="272">
        <f t="shared" ref="AI6:AP6" si="0">V6*G6</f>
        <v>3900000</v>
      </c>
      <c r="AJ6" s="272">
        <f t="shared" si="0"/>
        <v>3900000</v>
      </c>
      <c r="AK6" s="272">
        <f t="shared" si="0"/>
        <v>3900000</v>
      </c>
      <c r="AL6" s="272">
        <f t="shared" si="0"/>
        <v>3900000</v>
      </c>
      <c r="AM6" s="272">
        <f t="shared" si="0"/>
        <v>3900000</v>
      </c>
      <c r="AN6" s="272">
        <f t="shared" si="0"/>
        <v>3900000</v>
      </c>
      <c r="AO6" s="1199">
        <f t="shared" si="0"/>
        <v>3900000</v>
      </c>
      <c r="AP6" s="1298">
        <f t="shared" si="0"/>
        <v>3900000</v>
      </c>
      <c r="AQ6" s="272"/>
      <c r="AR6" s="272"/>
      <c r="AS6" s="273">
        <f>SUM(AG6:AR6)</f>
        <v>46800000</v>
      </c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2"/>
      <c r="BE6" s="272"/>
      <c r="BF6" s="299">
        <f>SUM(AT6:BE6)</f>
        <v>0</v>
      </c>
      <c r="BG6" s="344">
        <f>AF6-AS6-BF6</f>
        <v>0</v>
      </c>
      <c r="BH6" s="345">
        <f>S6*D6</f>
        <v>46800000</v>
      </c>
      <c r="BI6" s="346">
        <f>BH6-AS6-BF6</f>
        <v>0</v>
      </c>
      <c r="BJ6" s="373">
        <f>SUM(Q6/D6)</f>
        <v>1</v>
      </c>
      <c r="BK6" s="277"/>
      <c r="BL6" s="277"/>
      <c r="BM6" s="277"/>
      <c r="BN6" s="277"/>
      <c r="BO6" s="277"/>
      <c r="BP6" s="347"/>
      <c r="BQ6" s="347"/>
      <c r="BR6" s="347"/>
      <c r="BS6" s="347"/>
      <c r="BT6" s="347"/>
      <c r="BU6" s="347"/>
      <c r="BV6" s="347"/>
      <c r="BW6" s="347"/>
      <c r="BX6" s="347"/>
      <c r="BY6" s="347"/>
      <c r="BZ6" s="347"/>
      <c r="CA6" s="347"/>
      <c r="CB6" s="347"/>
    </row>
    <row r="7" spans="1:98" s="282" customFormat="1" ht="24.75" customHeight="1" thickBot="1" x14ac:dyDescent="0.25">
      <c r="A7" s="554">
        <v>1</v>
      </c>
      <c r="B7" s="308" t="s">
        <v>4</v>
      </c>
      <c r="C7" s="308"/>
      <c r="D7" s="309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1"/>
      <c r="R7" s="312"/>
      <c r="S7" s="309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9">
        <f>SUM(AF6:AF6)</f>
        <v>46800000</v>
      </c>
      <c r="AG7" s="349">
        <f>SUM(AG6:AG6)</f>
        <v>11700000</v>
      </c>
      <c r="AH7" s="349">
        <f>SUM(AH6:AH6)</f>
        <v>3900000</v>
      </c>
      <c r="AI7" s="349">
        <f t="shared" ref="AI7:AP7" si="1">SUM(AI6:AI6)</f>
        <v>3900000</v>
      </c>
      <c r="AJ7" s="349">
        <f t="shared" si="1"/>
        <v>3900000</v>
      </c>
      <c r="AK7" s="349">
        <f t="shared" si="1"/>
        <v>3900000</v>
      </c>
      <c r="AL7" s="349">
        <f t="shared" si="1"/>
        <v>3900000</v>
      </c>
      <c r="AM7" s="349">
        <f t="shared" si="1"/>
        <v>3900000</v>
      </c>
      <c r="AN7" s="349">
        <f t="shared" si="1"/>
        <v>3900000</v>
      </c>
      <c r="AO7" s="349">
        <f t="shared" si="1"/>
        <v>3900000</v>
      </c>
      <c r="AP7" s="349">
        <f t="shared" si="1"/>
        <v>3900000</v>
      </c>
      <c r="AQ7" s="349"/>
      <c r="AR7" s="349"/>
      <c r="AS7" s="349">
        <f>SUM(AS6:AS6)</f>
        <v>46800000</v>
      </c>
      <c r="AT7" s="349">
        <f>SUM(AT6:AT6)</f>
        <v>0</v>
      </c>
      <c r="AU7" s="349">
        <f t="shared" ref="AU7:BE7" si="2">SUM(AU6:AU6)</f>
        <v>0</v>
      </c>
      <c r="AV7" s="349">
        <f t="shared" si="2"/>
        <v>0</v>
      </c>
      <c r="AW7" s="349">
        <f t="shared" si="2"/>
        <v>0</v>
      </c>
      <c r="AX7" s="349">
        <f t="shared" si="2"/>
        <v>0</v>
      </c>
      <c r="AY7" s="349">
        <f t="shared" si="2"/>
        <v>0</v>
      </c>
      <c r="AZ7" s="349">
        <f t="shared" si="2"/>
        <v>0</v>
      </c>
      <c r="BA7" s="349">
        <f t="shared" si="2"/>
        <v>0</v>
      </c>
      <c r="BB7" s="349">
        <f t="shared" si="2"/>
        <v>0</v>
      </c>
      <c r="BC7" s="349">
        <f t="shared" si="2"/>
        <v>0</v>
      </c>
      <c r="BD7" s="349">
        <f t="shared" si="2"/>
        <v>0</v>
      </c>
      <c r="BE7" s="349">
        <f t="shared" si="2"/>
        <v>0</v>
      </c>
      <c r="BF7" s="349">
        <f>SUM(BF6:BF6)</f>
        <v>0</v>
      </c>
      <c r="BG7" s="350">
        <f>AF7-AS7-BF7</f>
        <v>0</v>
      </c>
      <c r="BH7" s="349">
        <f>SUM(BH6:BH6)</f>
        <v>46800000</v>
      </c>
      <c r="BI7" s="349">
        <f>SUM(BI6:BI6)</f>
        <v>0</v>
      </c>
      <c r="BJ7" s="374">
        <f>SUM(BJ6)</f>
        <v>1</v>
      </c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</row>
    <row r="8" spans="1:98" s="262" customFormat="1" ht="24.75" customHeight="1" x14ac:dyDescent="0.2">
      <c r="A8" s="283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AE8" s="280"/>
      <c r="AS8" s="291"/>
      <c r="BF8" s="319">
        <f>SUM(AS7+BF7)</f>
        <v>46800000</v>
      </c>
      <c r="BG8" s="284">
        <f>AF7-AS7-BF7</f>
        <v>0</v>
      </c>
      <c r="BH8" s="320">
        <f>SUM(BI7+AS7+BF7)</f>
        <v>46800000</v>
      </c>
      <c r="BI8" s="285">
        <f>SUM(BG7)</f>
        <v>0</v>
      </c>
      <c r="BJ8" s="371" t="s">
        <v>38</v>
      </c>
      <c r="BK8" s="280"/>
      <c r="BL8" s="260"/>
      <c r="BM8" s="260"/>
      <c r="BN8" s="260"/>
      <c r="BO8" s="260"/>
      <c r="BP8" s="260"/>
      <c r="BQ8" s="260"/>
      <c r="BR8" s="260"/>
      <c r="BS8" s="260"/>
      <c r="BT8" s="260"/>
      <c r="BU8" s="260"/>
      <c r="BV8" s="260"/>
      <c r="BW8" s="260"/>
      <c r="BX8" s="260"/>
      <c r="BY8" s="260"/>
      <c r="BZ8" s="260"/>
      <c r="CA8" s="260"/>
      <c r="CB8" s="260"/>
      <c r="CC8" s="260"/>
    </row>
    <row r="9" spans="1:98" s="262" customFormat="1" ht="24.75" customHeight="1" x14ac:dyDescent="0.2">
      <c r="A9" s="283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AE9" s="280"/>
      <c r="AS9" s="280"/>
      <c r="AT9" s="388">
        <f>SUM(AG7+AT7)</f>
        <v>11700000</v>
      </c>
      <c r="AU9" s="388">
        <f t="shared" ref="AU9:BE9" si="3">SUM(AH7+AU7)</f>
        <v>3900000</v>
      </c>
      <c r="AV9" s="388">
        <f t="shared" si="3"/>
        <v>3900000</v>
      </c>
      <c r="AW9" s="388">
        <f t="shared" si="3"/>
        <v>3900000</v>
      </c>
      <c r="AX9" s="388">
        <f t="shared" si="3"/>
        <v>3900000</v>
      </c>
      <c r="AY9" s="388">
        <f t="shared" si="3"/>
        <v>3900000</v>
      </c>
      <c r="AZ9" s="388">
        <f t="shared" si="3"/>
        <v>3900000</v>
      </c>
      <c r="BA9" s="388">
        <f t="shared" si="3"/>
        <v>3900000</v>
      </c>
      <c r="BB9" s="388">
        <f t="shared" si="3"/>
        <v>3900000</v>
      </c>
      <c r="BC9" s="388">
        <f t="shared" si="3"/>
        <v>3900000</v>
      </c>
      <c r="BD9" s="388">
        <f t="shared" si="3"/>
        <v>0</v>
      </c>
      <c r="BE9" s="388">
        <f t="shared" si="3"/>
        <v>0</v>
      </c>
      <c r="BF9" s="388">
        <f>SUM(AT9:BE9)</f>
        <v>46800000</v>
      </c>
      <c r="BG9" s="280"/>
      <c r="BH9" s="286"/>
      <c r="BI9" s="287">
        <f>SUM(BI7-BI8)</f>
        <v>0</v>
      </c>
      <c r="BJ9" s="371" t="s">
        <v>37</v>
      </c>
      <c r="BK9" s="280"/>
      <c r="BL9" s="260"/>
      <c r="BM9" s="260"/>
      <c r="BN9" s="260"/>
      <c r="BO9" s="260"/>
      <c r="BP9" s="260"/>
      <c r="BQ9" s="260"/>
      <c r="BR9" s="260"/>
      <c r="BS9" s="260"/>
      <c r="BT9" s="260"/>
      <c r="BU9" s="260"/>
      <c r="BV9" s="260"/>
      <c r="BW9" s="260"/>
      <c r="BX9" s="260"/>
      <c r="BY9" s="260"/>
      <c r="BZ9" s="260"/>
      <c r="CA9" s="260"/>
      <c r="CB9" s="260"/>
      <c r="CC9" s="260"/>
    </row>
    <row r="10" spans="1:98" s="262" customFormat="1" ht="16.5" customHeight="1" x14ac:dyDescent="0.2">
      <c r="A10" s="1754" t="s">
        <v>8</v>
      </c>
      <c r="B10" s="1755"/>
      <c r="C10" s="244" t="s">
        <v>72</v>
      </c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93"/>
      <c r="AF10" s="245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7"/>
      <c r="AT10" s="246"/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7"/>
      <c r="BG10" s="247"/>
      <c r="BH10" s="243"/>
      <c r="BI10" s="248"/>
      <c r="BJ10" s="372"/>
      <c r="BK10" s="246"/>
      <c r="BL10" s="246"/>
      <c r="BM10" s="246"/>
      <c r="BN10" s="246"/>
      <c r="BO10" s="246"/>
      <c r="BP10" s="293"/>
      <c r="BQ10" s="246"/>
      <c r="BR10" s="246"/>
      <c r="BS10" s="246"/>
      <c r="BT10" s="246"/>
      <c r="BU10" s="246"/>
      <c r="BV10" s="247"/>
      <c r="BW10" s="247"/>
      <c r="BX10" s="247"/>
      <c r="BY10" s="243"/>
      <c r="BZ10" s="248"/>
      <c r="CA10" s="247"/>
      <c r="CB10" s="247"/>
      <c r="CC10" s="260"/>
      <c r="CD10" s="260"/>
      <c r="CE10" s="260"/>
      <c r="CF10" s="260"/>
      <c r="CG10" s="260"/>
      <c r="CH10" s="261"/>
      <c r="CI10" s="260"/>
      <c r="CJ10" s="260"/>
      <c r="CK10" s="260"/>
      <c r="CL10" s="260"/>
      <c r="CM10" s="260"/>
      <c r="CN10" s="260"/>
      <c r="CO10" s="260"/>
      <c r="CP10" s="260"/>
      <c r="CQ10" s="260"/>
      <c r="CR10" s="260"/>
      <c r="CS10" s="260"/>
      <c r="CT10" s="260"/>
    </row>
    <row r="11" spans="1:98" s="264" customFormat="1" ht="48.75" customHeight="1" x14ac:dyDescent="0.2">
      <c r="A11" s="1756" t="s">
        <v>10</v>
      </c>
      <c r="B11" s="1759" t="s">
        <v>11</v>
      </c>
      <c r="C11" s="1759" t="s">
        <v>22</v>
      </c>
      <c r="D11" s="1762" t="s">
        <v>12</v>
      </c>
      <c r="E11" s="1762"/>
      <c r="F11" s="1762"/>
      <c r="G11" s="1762"/>
      <c r="H11" s="1762"/>
      <c r="I11" s="1762"/>
      <c r="J11" s="1762"/>
      <c r="K11" s="1762"/>
      <c r="L11" s="1762"/>
      <c r="M11" s="1762"/>
      <c r="N11" s="1762"/>
      <c r="O11" s="1762"/>
      <c r="P11" s="1762"/>
      <c r="Q11" s="1762"/>
      <c r="R11" s="1759" t="s">
        <v>20</v>
      </c>
      <c r="S11" s="1763" t="s">
        <v>17</v>
      </c>
      <c r="T11" s="1764"/>
      <c r="U11" s="1764"/>
      <c r="V11" s="1764"/>
      <c r="W11" s="1764"/>
      <c r="X11" s="1764"/>
      <c r="Y11" s="1764"/>
      <c r="Z11" s="1764"/>
      <c r="AA11" s="1764"/>
      <c r="AB11" s="1764"/>
      <c r="AC11" s="1764"/>
      <c r="AD11" s="1764"/>
      <c r="AE11" s="1765"/>
      <c r="AF11" s="1766" t="s">
        <v>6</v>
      </c>
      <c r="AG11" s="1766"/>
      <c r="AH11" s="1766"/>
      <c r="AI11" s="1766"/>
      <c r="AJ11" s="1766"/>
      <c r="AK11" s="1766"/>
      <c r="AL11" s="1766"/>
      <c r="AM11" s="1766"/>
      <c r="AN11" s="1766"/>
      <c r="AO11" s="1766"/>
      <c r="AP11" s="1766"/>
      <c r="AQ11" s="1766"/>
      <c r="AR11" s="1766"/>
      <c r="AS11" s="1766"/>
      <c r="AT11" s="1767" t="s">
        <v>41</v>
      </c>
      <c r="AU11" s="1768"/>
      <c r="AV11" s="1768"/>
      <c r="AW11" s="1768"/>
      <c r="AX11" s="1768"/>
      <c r="AY11" s="1768"/>
      <c r="AZ11" s="1768"/>
      <c r="BA11" s="1768"/>
      <c r="BB11" s="1768"/>
      <c r="BC11" s="1768"/>
      <c r="BD11" s="1768"/>
      <c r="BE11" s="1768"/>
      <c r="BF11" s="1769"/>
      <c r="BG11" s="1759" t="s">
        <v>38</v>
      </c>
      <c r="BH11" s="1759" t="s">
        <v>256</v>
      </c>
      <c r="BI11" s="1746" t="s">
        <v>39</v>
      </c>
      <c r="BJ11" s="243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63"/>
      <c r="CB11" s="263"/>
    </row>
    <row r="12" spans="1:98" s="264" customFormat="1" ht="48.75" customHeight="1" x14ac:dyDescent="0.2">
      <c r="A12" s="1757"/>
      <c r="B12" s="1760"/>
      <c r="C12" s="1760"/>
      <c r="D12" s="1749" t="s">
        <v>18</v>
      </c>
      <c r="E12" s="1751" t="s">
        <v>19</v>
      </c>
      <c r="F12" s="1752"/>
      <c r="G12" s="1752"/>
      <c r="H12" s="1752"/>
      <c r="I12" s="1752"/>
      <c r="J12" s="1752"/>
      <c r="K12" s="1752"/>
      <c r="L12" s="1752"/>
      <c r="M12" s="1752"/>
      <c r="N12" s="1752"/>
      <c r="O12" s="1752"/>
      <c r="P12" s="1752"/>
      <c r="Q12" s="1752"/>
      <c r="R12" s="1760"/>
      <c r="S12" s="1749" t="s">
        <v>18</v>
      </c>
      <c r="T12" s="1751" t="s">
        <v>19</v>
      </c>
      <c r="U12" s="1752"/>
      <c r="V12" s="1752"/>
      <c r="W12" s="1752"/>
      <c r="X12" s="1752"/>
      <c r="Y12" s="1752"/>
      <c r="Z12" s="1752"/>
      <c r="AA12" s="1752"/>
      <c r="AB12" s="1752"/>
      <c r="AC12" s="1752"/>
      <c r="AD12" s="1752"/>
      <c r="AE12" s="1753"/>
      <c r="AF12" s="1749" t="s">
        <v>18</v>
      </c>
      <c r="AG12" s="1751" t="s">
        <v>19</v>
      </c>
      <c r="AH12" s="1752"/>
      <c r="AI12" s="1752"/>
      <c r="AJ12" s="1752"/>
      <c r="AK12" s="1752"/>
      <c r="AL12" s="1752"/>
      <c r="AM12" s="1752"/>
      <c r="AN12" s="1752"/>
      <c r="AO12" s="1752"/>
      <c r="AP12" s="1752"/>
      <c r="AQ12" s="1752"/>
      <c r="AR12" s="1752"/>
      <c r="AS12" s="1753"/>
      <c r="AT12" s="1770"/>
      <c r="AU12" s="1771"/>
      <c r="AV12" s="1771"/>
      <c r="AW12" s="1771"/>
      <c r="AX12" s="1771"/>
      <c r="AY12" s="1771"/>
      <c r="AZ12" s="1771"/>
      <c r="BA12" s="1771"/>
      <c r="BB12" s="1771"/>
      <c r="BC12" s="1771"/>
      <c r="BD12" s="1771"/>
      <c r="BE12" s="1771"/>
      <c r="BF12" s="1772"/>
      <c r="BG12" s="1760"/>
      <c r="BH12" s="1760"/>
      <c r="BI12" s="1747"/>
      <c r="BJ12" s="243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63"/>
      <c r="CB12" s="263"/>
    </row>
    <row r="13" spans="1:98" s="269" customFormat="1" ht="28.5" customHeight="1" x14ac:dyDescent="0.2">
      <c r="A13" s="1758"/>
      <c r="B13" s="1761"/>
      <c r="C13" s="1761"/>
      <c r="D13" s="1750"/>
      <c r="E13" s="265">
        <v>1</v>
      </c>
      <c r="F13" s="265">
        <v>2</v>
      </c>
      <c r="G13" s="265">
        <v>3</v>
      </c>
      <c r="H13" s="265">
        <v>4</v>
      </c>
      <c r="I13" s="265">
        <v>5</v>
      </c>
      <c r="J13" s="265">
        <v>6</v>
      </c>
      <c r="K13" s="265">
        <v>7</v>
      </c>
      <c r="L13" s="265">
        <v>8</v>
      </c>
      <c r="M13" s="265">
        <v>9</v>
      </c>
      <c r="N13" s="265">
        <v>10</v>
      </c>
      <c r="O13" s="265">
        <v>11</v>
      </c>
      <c r="P13" s="265">
        <v>12</v>
      </c>
      <c r="Q13" s="265" t="s">
        <v>21</v>
      </c>
      <c r="R13" s="1761"/>
      <c r="S13" s="1750"/>
      <c r="T13" s="265">
        <v>1</v>
      </c>
      <c r="U13" s="265">
        <v>2</v>
      </c>
      <c r="V13" s="265">
        <v>3</v>
      </c>
      <c r="W13" s="265">
        <v>4</v>
      </c>
      <c r="X13" s="265">
        <v>5</v>
      </c>
      <c r="Y13" s="265">
        <v>6</v>
      </c>
      <c r="Z13" s="265">
        <v>7</v>
      </c>
      <c r="AA13" s="265">
        <v>8</v>
      </c>
      <c r="AB13" s="265">
        <v>9</v>
      </c>
      <c r="AC13" s="265">
        <v>10</v>
      </c>
      <c r="AD13" s="265">
        <v>11</v>
      </c>
      <c r="AE13" s="265">
        <v>12</v>
      </c>
      <c r="AF13" s="1750"/>
      <c r="AG13" s="265">
        <v>1</v>
      </c>
      <c r="AH13" s="265">
        <v>2</v>
      </c>
      <c r="AI13" s="265">
        <v>3</v>
      </c>
      <c r="AJ13" s="265">
        <v>4</v>
      </c>
      <c r="AK13" s="265">
        <v>5</v>
      </c>
      <c r="AL13" s="265">
        <v>6</v>
      </c>
      <c r="AM13" s="265">
        <v>7</v>
      </c>
      <c r="AN13" s="265">
        <v>8</v>
      </c>
      <c r="AO13" s="265">
        <v>9</v>
      </c>
      <c r="AP13" s="265">
        <v>10</v>
      </c>
      <c r="AQ13" s="265">
        <v>11</v>
      </c>
      <c r="AR13" s="265">
        <v>12</v>
      </c>
      <c r="AS13" s="265" t="s">
        <v>13</v>
      </c>
      <c r="AT13" s="266">
        <v>1</v>
      </c>
      <c r="AU13" s="266">
        <v>2</v>
      </c>
      <c r="AV13" s="266">
        <v>3</v>
      </c>
      <c r="AW13" s="266">
        <v>4</v>
      </c>
      <c r="AX13" s="266">
        <v>5</v>
      </c>
      <c r="AY13" s="266">
        <v>6</v>
      </c>
      <c r="AZ13" s="266">
        <v>7</v>
      </c>
      <c r="BA13" s="266">
        <v>8</v>
      </c>
      <c r="BB13" s="266">
        <v>9</v>
      </c>
      <c r="BC13" s="266">
        <v>10</v>
      </c>
      <c r="BD13" s="266">
        <v>11</v>
      </c>
      <c r="BE13" s="266">
        <v>12</v>
      </c>
      <c r="BF13" s="265" t="s">
        <v>13</v>
      </c>
      <c r="BG13" s="1761"/>
      <c r="BH13" s="1761"/>
      <c r="BI13" s="1748"/>
      <c r="BJ13" s="267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</row>
    <row r="14" spans="1:98" s="267" customFormat="1" ht="24.75" customHeight="1" thickBot="1" x14ac:dyDescent="0.25">
      <c r="A14" s="340"/>
      <c r="B14" s="341" t="s">
        <v>79</v>
      </c>
      <c r="C14" s="281" t="s">
        <v>25</v>
      </c>
      <c r="D14" s="251">
        <v>12</v>
      </c>
      <c r="E14" s="251">
        <v>3</v>
      </c>
      <c r="F14" s="342">
        <v>1</v>
      </c>
      <c r="G14" s="342">
        <v>1</v>
      </c>
      <c r="H14" s="342">
        <v>1</v>
      </c>
      <c r="I14" s="342">
        <v>1</v>
      </c>
      <c r="J14" s="342">
        <v>1</v>
      </c>
      <c r="K14" s="1207">
        <v>1</v>
      </c>
      <c r="L14" s="576">
        <v>1</v>
      </c>
      <c r="M14" s="576">
        <v>1</v>
      </c>
      <c r="N14" s="576">
        <v>1</v>
      </c>
      <c r="O14" s="342"/>
      <c r="P14" s="342"/>
      <c r="Q14" s="343">
        <f>SUM(E14:P14)</f>
        <v>12</v>
      </c>
      <c r="R14" s="252" t="s">
        <v>68</v>
      </c>
      <c r="S14" s="332">
        <v>1000000</v>
      </c>
      <c r="T14" s="332">
        <v>1000000</v>
      </c>
      <c r="U14" s="332">
        <v>1000000</v>
      </c>
      <c r="V14" s="332">
        <v>1000000</v>
      </c>
      <c r="W14" s="332">
        <v>1000000</v>
      </c>
      <c r="X14" s="332">
        <v>1000000</v>
      </c>
      <c r="Y14" s="332">
        <v>1000000</v>
      </c>
      <c r="Z14" s="1208">
        <v>1000000</v>
      </c>
      <c r="AA14" s="332">
        <v>1000000</v>
      </c>
      <c r="AB14" s="1330">
        <v>1000000</v>
      </c>
      <c r="AC14" s="1412">
        <v>1000000</v>
      </c>
      <c r="AD14" s="1330"/>
      <c r="AE14" s="332"/>
      <c r="AF14" s="271">
        <f t="shared" ref="AF14" si="4">SUM(Q14*S14)</f>
        <v>12000000</v>
      </c>
      <c r="AG14" s="272">
        <f>T14*E14</f>
        <v>3000000</v>
      </c>
      <c r="AH14" s="272">
        <f>U14*F14</f>
        <v>1000000</v>
      </c>
      <c r="AI14" s="272">
        <f t="shared" ref="AI14:AR14" si="5">V14*G14</f>
        <v>1000000</v>
      </c>
      <c r="AJ14" s="272">
        <f t="shared" si="5"/>
        <v>1000000</v>
      </c>
      <c r="AK14" s="272">
        <f t="shared" si="5"/>
        <v>1000000</v>
      </c>
      <c r="AL14" s="272">
        <f t="shared" si="5"/>
        <v>1000000</v>
      </c>
      <c r="AM14" s="272">
        <f t="shared" si="5"/>
        <v>1000000</v>
      </c>
      <c r="AN14" s="272">
        <f t="shared" si="5"/>
        <v>1000000</v>
      </c>
      <c r="AO14" s="1199">
        <f t="shared" si="5"/>
        <v>1000000</v>
      </c>
      <c r="AP14" s="1298">
        <f t="shared" si="5"/>
        <v>1000000</v>
      </c>
      <c r="AQ14" s="272">
        <f t="shared" si="5"/>
        <v>0</v>
      </c>
      <c r="AR14" s="272">
        <f t="shared" si="5"/>
        <v>0</v>
      </c>
      <c r="AS14" s="273">
        <f t="shared" ref="AS14" si="6">SUM(AG14:AR14)</f>
        <v>12000000</v>
      </c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99">
        <f>SUM(AT14:BE14)</f>
        <v>0</v>
      </c>
      <c r="BG14" s="344">
        <f>AF14-AS14-BF14</f>
        <v>0</v>
      </c>
      <c r="BH14" s="345">
        <f>S14*D14</f>
        <v>12000000</v>
      </c>
      <c r="BI14" s="346">
        <f>BH14-AS14-BF14</f>
        <v>0</v>
      </c>
      <c r="BJ14" s="373">
        <f>SUM(Q14/D14)</f>
        <v>1</v>
      </c>
      <c r="BK14" s="277"/>
      <c r="BL14" s="277"/>
      <c r="BM14" s="277"/>
      <c r="BN14" s="277"/>
      <c r="BO14" s="27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</row>
    <row r="15" spans="1:98" s="282" customFormat="1" ht="24.75" customHeight="1" thickBot="1" x14ac:dyDescent="0.25">
      <c r="A15" s="554">
        <v>2</v>
      </c>
      <c r="B15" s="308" t="s">
        <v>4</v>
      </c>
      <c r="C15" s="308"/>
      <c r="D15" s="309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1"/>
      <c r="R15" s="312"/>
      <c r="S15" s="309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9">
        <f>SUM(AF14:AF14)</f>
        <v>12000000</v>
      </c>
      <c r="AG15" s="349">
        <f>SUM(AG14:AG14)</f>
        <v>3000000</v>
      </c>
      <c r="AH15" s="349">
        <f>SUM(AH14:AH14)</f>
        <v>1000000</v>
      </c>
      <c r="AI15" s="349">
        <f t="shared" ref="AI15:AR15" si="7">SUM(AI14:AI14)</f>
        <v>1000000</v>
      </c>
      <c r="AJ15" s="349">
        <f t="shared" si="7"/>
        <v>1000000</v>
      </c>
      <c r="AK15" s="349">
        <f t="shared" si="7"/>
        <v>1000000</v>
      </c>
      <c r="AL15" s="349">
        <f t="shared" si="7"/>
        <v>1000000</v>
      </c>
      <c r="AM15" s="349">
        <f t="shared" si="7"/>
        <v>1000000</v>
      </c>
      <c r="AN15" s="349">
        <f t="shared" si="7"/>
        <v>1000000</v>
      </c>
      <c r="AO15" s="349">
        <f t="shared" si="7"/>
        <v>1000000</v>
      </c>
      <c r="AP15" s="349">
        <f t="shared" si="7"/>
        <v>1000000</v>
      </c>
      <c r="AQ15" s="349">
        <f t="shared" si="7"/>
        <v>0</v>
      </c>
      <c r="AR15" s="349">
        <f t="shared" si="7"/>
        <v>0</v>
      </c>
      <c r="AS15" s="349">
        <f>SUM(AS14:AS14)</f>
        <v>12000000</v>
      </c>
      <c r="AT15" s="349">
        <f>SUM(AT14:AT14)</f>
        <v>0</v>
      </c>
      <c r="AU15" s="349">
        <f>SUM(AU14:AU14)</f>
        <v>0</v>
      </c>
      <c r="AV15" s="349">
        <f>SUM(AV14:AV14)</f>
        <v>0</v>
      </c>
      <c r="AW15" s="349"/>
      <c r="AX15" s="349"/>
      <c r="AY15" s="349"/>
      <c r="AZ15" s="349"/>
      <c r="BA15" s="349"/>
      <c r="BB15" s="349"/>
      <c r="BC15" s="349"/>
      <c r="BD15" s="349"/>
      <c r="BE15" s="349"/>
      <c r="BF15" s="349">
        <f>SUM(BF14:BF14)</f>
        <v>0</v>
      </c>
      <c r="BG15" s="350">
        <f>AF15-AS15-BF15</f>
        <v>0</v>
      </c>
      <c r="BH15" s="349">
        <f>SUM(BH14:BH14)</f>
        <v>12000000</v>
      </c>
      <c r="BI15" s="349">
        <f>SUM(BI14:BI14)</f>
        <v>0</v>
      </c>
      <c r="BJ15" s="375">
        <f>SUM(BJ14)</f>
        <v>1</v>
      </c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</row>
    <row r="16" spans="1:98" s="262" customFormat="1" ht="24.75" customHeight="1" x14ac:dyDescent="0.2">
      <c r="A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AE16" s="280"/>
      <c r="AS16" s="291"/>
      <c r="BF16" s="319">
        <f>SUM(AS15+BF15)</f>
        <v>12000000</v>
      </c>
      <c r="BG16" s="284">
        <f>AF15-AS15-BF15</f>
        <v>0</v>
      </c>
      <c r="BH16" s="320">
        <f>SUM(BI15+AS15+BF15)</f>
        <v>12000000</v>
      </c>
      <c r="BI16" s="285">
        <f>SUM(BG15)</f>
        <v>0</v>
      </c>
      <c r="BJ16" s="371" t="s">
        <v>38</v>
      </c>
      <c r="BK16" s="28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</row>
    <row r="17" spans="1:98" s="262" customFormat="1" ht="24.75" customHeight="1" x14ac:dyDescent="0.2">
      <c r="A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AE17" s="280"/>
      <c r="AS17" s="280"/>
      <c r="AT17" s="388">
        <f>SUM(AG15+AT15)</f>
        <v>3000000</v>
      </c>
      <c r="AU17" s="388">
        <f t="shared" ref="AU17:BE17" si="8">SUM(AH15+AU15)</f>
        <v>1000000</v>
      </c>
      <c r="AV17" s="388">
        <f t="shared" si="8"/>
        <v>1000000</v>
      </c>
      <c r="AW17" s="388">
        <f t="shared" si="8"/>
        <v>1000000</v>
      </c>
      <c r="AX17" s="388">
        <f t="shared" si="8"/>
        <v>1000000</v>
      </c>
      <c r="AY17" s="388">
        <f t="shared" si="8"/>
        <v>1000000</v>
      </c>
      <c r="AZ17" s="388">
        <f t="shared" si="8"/>
        <v>1000000</v>
      </c>
      <c r="BA17" s="388">
        <f t="shared" si="8"/>
        <v>1000000</v>
      </c>
      <c r="BB17" s="388">
        <f t="shared" si="8"/>
        <v>1000000</v>
      </c>
      <c r="BC17" s="388">
        <f t="shared" si="8"/>
        <v>1000000</v>
      </c>
      <c r="BD17" s="388">
        <f t="shared" si="8"/>
        <v>0</v>
      </c>
      <c r="BE17" s="388">
        <f t="shared" si="8"/>
        <v>0</v>
      </c>
      <c r="BF17" s="388">
        <f>SUM(AT17:BE17)</f>
        <v>12000000</v>
      </c>
      <c r="BG17" s="280"/>
      <c r="BH17" s="286"/>
      <c r="BI17" s="287">
        <f>SUM(BI15-BI16)</f>
        <v>0</v>
      </c>
      <c r="BJ17" s="371" t="s">
        <v>37</v>
      </c>
      <c r="BK17" s="28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</row>
    <row r="18" spans="1:98" s="262" customFormat="1" ht="16.5" customHeight="1" x14ac:dyDescent="0.2">
      <c r="A18" s="1754" t="s">
        <v>8</v>
      </c>
      <c r="B18" s="1755"/>
      <c r="C18" s="244" t="s">
        <v>321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93"/>
      <c r="AF18" s="245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7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7"/>
      <c r="BG18" s="247"/>
      <c r="BH18" s="243"/>
      <c r="BI18" s="248"/>
      <c r="BJ18" s="372"/>
      <c r="BK18" s="246"/>
      <c r="BL18" s="246"/>
      <c r="BM18" s="246"/>
      <c r="BN18" s="246"/>
      <c r="BO18" s="246"/>
      <c r="BP18" s="293"/>
      <c r="BQ18" s="246"/>
      <c r="BR18" s="246"/>
      <c r="BS18" s="246"/>
      <c r="BT18" s="246"/>
      <c r="BU18" s="246"/>
      <c r="BV18" s="247"/>
      <c r="BW18" s="247"/>
      <c r="BX18" s="247"/>
      <c r="BY18" s="243"/>
      <c r="BZ18" s="248"/>
      <c r="CA18" s="247"/>
      <c r="CB18" s="247"/>
      <c r="CC18" s="260"/>
      <c r="CD18" s="260"/>
      <c r="CE18" s="260"/>
      <c r="CF18" s="260"/>
      <c r="CG18" s="260"/>
      <c r="CH18" s="261"/>
      <c r="CI18" s="260"/>
      <c r="CJ18" s="260"/>
      <c r="CK18" s="260"/>
      <c r="CL18" s="260"/>
      <c r="CM18" s="260"/>
      <c r="CN18" s="260"/>
      <c r="CO18" s="260"/>
      <c r="CP18" s="260"/>
      <c r="CQ18" s="260"/>
      <c r="CR18" s="260"/>
      <c r="CS18" s="260"/>
      <c r="CT18" s="260"/>
    </row>
    <row r="19" spans="1:98" s="264" customFormat="1" ht="48.75" customHeight="1" x14ac:dyDescent="0.2">
      <c r="A19" s="1756" t="s">
        <v>10</v>
      </c>
      <c r="B19" s="1759" t="s">
        <v>11</v>
      </c>
      <c r="C19" s="1759" t="s">
        <v>22</v>
      </c>
      <c r="D19" s="1762" t="s">
        <v>12</v>
      </c>
      <c r="E19" s="1762"/>
      <c r="F19" s="1762"/>
      <c r="G19" s="1762"/>
      <c r="H19" s="1762"/>
      <c r="I19" s="1762"/>
      <c r="J19" s="1762"/>
      <c r="K19" s="1762"/>
      <c r="L19" s="1762"/>
      <c r="M19" s="1762"/>
      <c r="N19" s="1762"/>
      <c r="O19" s="1762"/>
      <c r="P19" s="1762"/>
      <c r="Q19" s="1762"/>
      <c r="R19" s="1759" t="s">
        <v>20</v>
      </c>
      <c r="S19" s="1763" t="s">
        <v>17</v>
      </c>
      <c r="T19" s="1764"/>
      <c r="U19" s="1764"/>
      <c r="V19" s="1764"/>
      <c r="W19" s="1764"/>
      <c r="X19" s="1764"/>
      <c r="Y19" s="1764"/>
      <c r="Z19" s="1764"/>
      <c r="AA19" s="1764"/>
      <c r="AB19" s="1764"/>
      <c r="AC19" s="1764"/>
      <c r="AD19" s="1764"/>
      <c r="AE19" s="1765"/>
      <c r="AF19" s="1766" t="s">
        <v>6</v>
      </c>
      <c r="AG19" s="1766"/>
      <c r="AH19" s="1766"/>
      <c r="AI19" s="1766"/>
      <c r="AJ19" s="1766"/>
      <c r="AK19" s="1766"/>
      <c r="AL19" s="1766"/>
      <c r="AM19" s="1766"/>
      <c r="AN19" s="1766"/>
      <c r="AO19" s="1766"/>
      <c r="AP19" s="1766"/>
      <c r="AQ19" s="1766"/>
      <c r="AR19" s="1766"/>
      <c r="AS19" s="1766"/>
      <c r="AT19" s="1767" t="s">
        <v>41</v>
      </c>
      <c r="AU19" s="1768"/>
      <c r="AV19" s="1768"/>
      <c r="AW19" s="1768"/>
      <c r="AX19" s="1768"/>
      <c r="AY19" s="1768"/>
      <c r="AZ19" s="1768"/>
      <c r="BA19" s="1768"/>
      <c r="BB19" s="1768"/>
      <c r="BC19" s="1768"/>
      <c r="BD19" s="1768"/>
      <c r="BE19" s="1768"/>
      <c r="BF19" s="1769"/>
      <c r="BG19" s="1759" t="s">
        <v>38</v>
      </c>
      <c r="BH19" s="1759" t="s">
        <v>256</v>
      </c>
      <c r="BI19" s="1746" t="s">
        <v>39</v>
      </c>
      <c r="BJ19" s="243"/>
      <c r="BK19" s="245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63"/>
      <c r="CB19" s="263"/>
    </row>
    <row r="20" spans="1:98" s="264" customFormat="1" ht="48.75" customHeight="1" x14ac:dyDescent="0.2">
      <c r="A20" s="1757"/>
      <c r="B20" s="1760"/>
      <c r="C20" s="1760"/>
      <c r="D20" s="1749" t="s">
        <v>18</v>
      </c>
      <c r="E20" s="1751" t="s">
        <v>19</v>
      </c>
      <c r="F20" s="1752"/>
      <c r="G20" s="1752"/>
      <c r="H20" s="1752"/>
      <c r="I20" s="1752"/>
      <c r="J20" s="1752"/>
      <c r="K20" s="1752"/>
      <c r="L20" s="1752"/>
      <c r="M20" s="1752"/>
      <c r="N20" s="1752"/>
      <c r="O20" s="1752"/>
      <c r="P20" s="1752"/>
      <c r="Q20" s="1752"/>
      <c r="R20" s="1760"/>
      <c r="S20" s="1749" t="s">
        <v>18</v>
      </c>
      <c r="T20" s="1751" t="s">
        <v>19</v>
      </c>
      <c r="U20" s="1752"/>
      <c r="V20" s="1752"/>
      <c r="W20" s="1752"/>
      <c r="X20" s="1752"/>
      <c r="Y20" s="1752"/>
      <c r="Z20" s="1752"/>
      <c r="AA20" s="1752"/>
      <c r="AB20" s="1752"/>
      <c r="AC20" s="1752"/>
      <c r="AD20" s="1752"/>
      <c r="AE20" s="1753"/>
      <c r="AF20" s="1749" t="s">
        <v>18</v>
      </c>
      <c r="AG20" s="1751" t="s">
        <v>19</v>
      </c>
      <c r="AH20" s="1752"/>
      <c r="AI20" s="1752"/>
      <c r="AJ20" s="1752"/>
      <c r="AK20" s="1752"/>
      <c r="AL20" s="1752"/>
      <c r="AM20" s="1752"/>
      <c r="AN20" s="1752"/>
      <c r="AO20" s="1752"/>
      <c r="AP20" s="1752"/>
      <c r="AQ20" s="1752"/>
      <c r="AR20" s="1752"/>
      <c r="AS20" s="1753"/>
      <c r="AT20" s="1770"/>
      <c r="AU20" s="1771"/>
      <c r="AV20" s="1771"/>
      <c r="AW20" s="1771"/>
      <c r="AX20" s="1771"/>
      <c r="AY20" s="1771"/>
      <c r="AZ20" s="1771"/>
      <c r="BA20" s="1771"/>
      <c r="BB20" s="1771"/>
      <c r="BC20" s="1771"/>
      <c r="BD20" s="1771"/>
      <c r="BE20" s="1771"/>
      <c r="BF20" s="1772"/>
      <c r="BG20" s="1760"/>
      <c r="BH20" s="1760"/>
      <c r="BI20" s="1747"/>
      <c r="BJ20" s="243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63"/>
      <c r="CB20" s="263"/>
    </row>
    <row r="21" spans="1:98" s="269" customFormat="1" ht="28.5" customHeight="1" x14ac:dyDescent="0.2">
      <c r="A21" s="1758"/>
      <c r="B21" s="1761"/>
      <c r="C21" s="1761"/>
      <c r="D21" s="1750"/>
      <c r="E21" s="265">
        <v>1</v>
      </c>
      <c r="F21" s="265">
        <v>2</v>
      </c>
      <c r="G21" s="265">
        <v>3</v>
      </c>
      <c r="H21" s="265">
        <v>4</v>
      </c>
      <c r="I21" s="265">
        <v>5</v>
      </c>
      <c r="J21" s="265">
        <v>6</v>
      </c>
      <c r="K21" s="265">
        <v>7</v>
      </c>
      <c r="L21" s="265">
        <v>8</v>
      </c>
      <c r="M21" s="265">
        <v>9</v>
      </c>
      <c r="N21" s="265">
        <v>10</v>
      </c>
      <c r="O21" s="265">
        <v>11</v>
      </c>
      <c r="P21" s="265">
        <v>12</v>
      </c>
      <c r="Q21" s="265" t="s">
        <v>21</v>
      </c>
      <c r="R21" s="1761"/>
      <c r="S21" s="1750"/>
      <c r="T21" s="265">
        <v>1</v>
      </c>
      <c r="U21" s="265">
        <v>2</v>
      </c>
      <c r="V21" s="265">
        <v>3</v>
      </c>
      <c r="W21" s="265">
        <v>4</v>
      </c>
      <c r="X21" s="265">
        <v>5</v>
      </c>
      <c r="Y21" s="265">
        <v>6</v>
      </c>
      <c r="Z21" s="265">
        <v>7</v>
      </c>
      <c r="AA21" s="265">
        <v>8</v>
      </c>
      <c r="AB21" s="265">
        <v>9</v>
      </c>
      <c r="AC21" s="265">
        <v>10</v>
      </c>
      <c r="AD21" s="265">
        <v>11</v>
      </c>
      <c r="AE21" s="265">
        <v>12</v>
      </c>
      <c r="AF21" s="1750"/>
      <c r="AG21" s="265">
        <v>1</v>
      </c>
      <c r="AH21" s="265">
        <v>2</v>
      </c>
      <c r="AI21" s="265">
        <v>3</v>
      </c>
      <c r="AJ21" s="265">
        <v>4</v>
      </c>
      <c r="AK21" s="265">
        <v>5</v>
      </c>
      <c r="AL21" s="265">
        <v>6</v>
      </c>
      <c r="AM21" s="265">
        <v>7</v>
      </c>
      <c r="AN21" s="265">
        <v>8</v>
      </c>
      <c r="AO21" s="265">
        <v>9</v>
      </c>
      <c r="AP21" s="265">
        <v>10</v>
      </c>
      <c r="AQ21" s="265">
        <v>11</v>
      </c>
      <c r="AR21" s="265">
        <v>12</v>
      </c>
      <c r="AS21" s="265" t="s">
        <v>13</v>
      </c>
      <c r="AT21" s="266">
        <v>1</v>
      </c>
      <c r="AU21" s="266">
        <v>2</v>
      </c>
      <c r="AV21" s="266">
        <v>3</v>
      </c>
      <c r="AW21" s="266">
        <v>4</v>
      </c>
      <c r="AX21" s="266">
        <v>5</v>
      </c>
      <c r="AY21" s="266">
        <v>6</v>
      </c>
      <c r="AZ21" s="266">
        <v>7</v>
      </c>
      <c r="BA21" s="266">
        <v>8</v>
      </c>
      <c r="BB21" s="266">
        <v>9</v>
      </c>
      <c r="BC21" s="266">
        <v>10</v>
      </c>
      <c r="BD21" s="266">
        <v>11</v>
      </c>
      <c r="BE21" s="266">
        <v>12</v>
      </c>
      <c r="BF21" s="265" t="s">
        <v>13</v>
      </c>
      <c r="BG21" s="1761"/>
      <c r="BH21" s="1761"/>
      <c r="BI21" s="1748"/>
      <c r="BJ21" s="267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</row>
    <row r="22" spans="1:98" s="267" customFormat="1" ht="24.75" customHeight="1" thickBot="1" x14ac:dyDescent="0.25">
      <c r="A22" s="340"/>
      <c r="B22" s="341" t="s">
        <v>79</v>
      </c>
      <c r="C22" s="281" t="s">
        <v>25</v>
      </c>
      <c r="D22" s="251">
        <v>1</v>
      </c>
      <c r="E22" s="251">
        <v>1</v>
      </c>
      <c r="F22" s="342"/>
      <c r="G22" s="342"/>
      <c r="H22" s="342"/>
      <c r="I22" s="342"/>
      <c r="J22" s="342"/>
      <c r="K22" s="342"/>
      <c r="L22" s="342"/>
      <c r="M22" s="342"/>
      <c r="N22" s="342"/>
      <c r="O22" s="342"/>
      <c r="P22" s="342"/>
      <c r="Q22" s="343">
        <f>SUM(E22:P22)</f>
        <v>1</v>
      </c>
      <c r="R22" s="252" t="s">
        <v>68</v>
      </c>
      <c r="S22" s="332">
        <v>3900000</v>
      </c>
      <c r="T22" s="332">
        <v>3900000</v>
      </c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>
        <v>1000000</v>
      </c>
      <c r="AF22" s="271">
        <f t="shared" ref="AF22" si="9">SUM(Q22*S22)</f>
        <v>3900000</v>
      </c>
      <c r="AG22" s="272">
        <f>T22*E22</f>
        <v>3900000</v>
      </c>
      <c r="AH22" s="272">
        <f>U22*F22</f>
        <v>0</v>
      </c>
      <c r="AI22" s="272">
        <f t="shared" ref="AI22" si="10">V22*G22</f>
        <v>0</v>
      </c>
      <c r="AJ22" s="272">
        <f t="shared" ref="AJ22" si="11">W22*H22</f>
        <v>0</v>
      </c>
      <c r="AK22" s="272">
        <f t="shared" ref="AK22" si="12">X22*I22</f>
        <v>0</v>
      </c>
      <c r="AL22" s="272">
        <f t="shared" ref="AL22" si="13">Y22*J22</f>
        <v>0</v>
      </c>
      <c r="AM22" s="272">
        <f t="shared" ref="AM22" si="14">Z22*K22</f>
        <v>0</v>
      </c>
      <c r="AN22" s="272">
        <f t="shared" ref="AN22" si="15">AA22*L22</f>
        <v>0</v>
      </c>
      <c r="AO22" s="272">
        <f t="shared" ref="AO22" si="16">AB22*M22</f>
        <v>0</v>
      </c>
      <c r="AP22" s="272">
        <f t="shared" ref="AP22" si="17">AC22*N22</f>
        <v>0</v>
      </c>
      <c r="AQ22" s="272">
        <f t="shared" ref="AQ22" si="18">AD22*O22</f>
        <v>0</v>
      </c>
      <c r="AR22" s="272">
        <f t="shared" ref="AR22" si="19">AE22*P22</f>
        <v>0</v>
      </c>
      <c r="AS22" s="273">
        <f t="shared" ref="AS22" si="20">SUM(AG22:AR22)</f>
        <v>3900000</v>
      </c>
      <c r="AT22" s="272"/>
      <c r="AU22" s="272"/>
      <c r="AV22" s="272"/>
      <c r="AW22" s="272"/>
      <c r="AX22" s="272"/>
      <c r="AY22" s="272"/>
      <c r="AZ22" s="272"/>
      <c r="BA22" s="272"/>
      <c r="BB22" s="272"/>
      <c r="BC22" s="272"/>
      <c r="BD22" s="272"/>
      <c r="BE22" s="272"/>
      <c r="BF22" s="299">
        <f>SUM(AT22:BE22)</f>
        <v>0</v>
      </c>
      <c r="BG22" s="344">
        <f>AF22-AS22-BF22</f>
        <v>0</v>
      </c>
      <c r="BH22" s="345">
        <f>S22*D22</f>
        <v>3900000</v>
      </c>
      <c r="BI22" s="346">
        <f>BH22-AS22-BF22</f>
        <v>0</v>
      </c>
      <c r="BJ22" s="373">
        <f>SUM(Q22/D22)</f>
        <v>1</v>
      </c>
      <c r="BK22" s="277"/>
      <c r="BL22" s="277"/>
      <c r="BM22" s="277"/>
      <c r="BN22" s="277"/>
      <c r="BO22" s="27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</row>
    <row r="23" spans="1:98" s="282" customFormat="1" ht="24.75" customHeight="1" thickBot="1" x14ac:dyDescent="0.25">
      <c r="A23" s="554">
        <v>3</v>
      </c>
      <c r="B23" s="308" t="s">
        <v>4</v>
      </c>
      <c r="C23" s="308"/>
      <c r="D23" s="309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/>
      <c r="R23" s="312"/>
      <c r="S23" s="309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9">
        <f>SUM(AF22:AF22)</f>
        <v>3900000</v>
      </c>
      <c r="AG23" s="349">
        <f>SUM(AG22:AG22)</f>
        <v>3900000</v>
      </c>
      <c r="AH23" s="349">
        <f>SUM(AH22:AH22)</f>
        <v>0</v>
      </c>
      <c r="AI23" s="349">
        <f t="shared" ref="AI23:AR23" si="21">SUM(AI22:AI22)</f>
        <v>0</v>
      </c>
      <c r="AJ23" s="349">
        <f t="shared" si="21"/>
        <v>0</v>
      </c>
      <c r="AK23" s="349">
        <f t="shared" si="21"/>
        <v>0</v>
      </c>
      <c r="AL23" s="349">
        <f t="shared" si="21"/>
        <v>0</v>
      </c>
      <c r="AM23" s="349">
        <f t="shared" si="21"/>
        <v>0</v>
      </c>
      <c r="AN23" s="349">
        <f t="shared" si="21"/>
        <v>0</v>
      </c>
      <c r="AO23" s="349">
        <f t="shared" si="21"/>
        <v>0</v>
      </c>
      <c r="AP23" s="349">
        <f t="shared" si="21"/>
        <v>0</v>
      </c>
      <c r="AQ23" s="349">
        <f t="shared" si="21"/>
        <v>0</v>
      </c>
      <c r="AR23" s="349">
        <f t="shared" si="21"/>
        <v>0</v>
      </c>
      <c r="AS23" s="349">
        <f>SUM(AS22:AS22)</f>
        <v>3900000</v>
      </c>
      <c r="AT23" s="349">
        <f>SUM(AT22:AT22)</f>
        <v>0</v>
      </c>
      <c r="AU23" s="349">
        <f>SUM(AU22:AU22)</f>
        <v>0</v>
      </c>
      <c r="AV23" s="349">
        <f>SUM(AV22:AV22)</f>
        <v>0</v>
      </c>
      <c r="AW23" s="349"/>
      <c r="AX23" s="349"/>
      <c r="AY23" s="349"/>
      <c r="AZ23" s="349"/>
      <c r="BA23" s="349"/>
      <c r="BB23" s="349"/>
      <c r="BC23" s="349"/>
      <c r="BD23" s="349"/>
      <c r="BE23" s="349"/>
      <c r="BF23" s="349">
        <f>SUM(BF22:BF22)</f>
        <v>0</v>
      </c>
      <c r="BG23" s="350">
        <f>AF23-AS23-BF23</f>
        <v>0</v>
      </c>
      <c r="BH23" s="349">
        <f>SUM(BH22:BH22)</f>
        <v>3900000</v>
      </c>
      <c r="BI23" s="349">
        <f>SUM(BI22:BI22)</f>
        <v>0</v>
      </c>
      <c r="BJ23" s="375">
        <f>SUM(BJ22)</f>
        <v>1</v>
      </c>
      <c r="BK23" s="318"/>
      <c r="BL23" s="318"/>
      <c r="BM23" s="318"/>
      <c r="BN23" s="318"/>
      <c r="BO23" s="318"/>
      <c r="BP23" s="318"/>
      <c r="BQ23" s="318"/>
      <c r="BR23" s="318"/>
      <c r="BS23" s="318"/>
      <c r="BT23" s="318"/>
      <c r="BU23" s="318"/>
      <c r="BV23" s="318"/>
      <c r="BW23" s="318"/>
      <c r="BX23" s="318"/>
      <c r="BY23" s="318"/>
      <c r="BZ23" s="318"/>
      <c r="CA23" s="318"/>
      <c r="CB23" s="318"/>
    </row>
    <row r="24" spans="1:98" s="262" customFormat="1" ht="24.75" customHeight="1" x14ac:dyDescent="0.2">
      <c r="A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AE24" s="280"/>
      <c r="AS24" s="291"/>
      <c r="BF24" s="319">
        <f>SUM(AS23+BF23)</f>
        <v>3900000</v>
      </c>
      <c r="BG24" s="284">
        <f>AF23-AS23-BF23</f>
        <v>0</v>
      </c>
      <c r="BH24" s="320">
        <f>SUM(BI23+AS23+BF23)</f>
        <v>3900000</v>
      </c>
      <c r="BI24" s="285">
        <f>SUM(BG23)</f>
        <v>0</v>
      </c>
      <c r="BJ24" s="371" t="s">
        <v>38</v>
      </c>
      <c r="BK24" s="28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</row>
    <row r="25" spans="1:98" s="262" customFormat="1" ht="24.75" customHeight="1" x14ac:dyDescent="0.2">
      <c r="A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AE25" s="280"/>
      <c r="AS25" s="280"/>
      <c r="AT25" s="388">
        <f>SUM(AG23+AT23)</f>
        <v>3900000</v>
      </c>
      <c r="AU25" s="388">
        <f t="shared" ref="AU25" si="22">SUM(AH23+AU23)</f>
        <v>0</v>
      </c>
      <c r="AV25" s="388">
        <f t="shared" ref="AV25" si="23">SUM(AI23+AV23)</f>
        <v>0</v>
      </c>
      <c r="AW25" s="388">
        <f t="shared" ref="AW25" si="24">SUM(AJ23+AW23)</f>
        <v>0</v>
      </c>
      <c r="AX25" s="388">
        <f t="shared" ref="AX25" si="25">SUM(AK23+AX23)</f>
        <v>0</v>
      </c>
      <c r="AY25" s="388">
        <f t="shared" ref="AY25" si="26">SUM(AL23+AY23)</f>
        <v>0</v>
      </c>
      <c r="AZ25" s="388">
        <f t="shared" ref="AZ25" si="27">SUM(AM23+AZ23)</f>
        <v>0</v>
      </c>
      <c r="BA25" s="388">
        <f t="shared" ref="BA25" si="28">SUM(AN23+BA23)</f>
        <v>0</v>
      </c>
      <c r="BB25" s="388">
        <f t="shared" ref="BB25" si="29">SUM(AO23+BB23)</f>
        <v>0</v>
      </c>
      <c r="BC25" s="388">
        <f t="shared" ref="BC25" si="30">SUM(AP23+BC23)</f>
        <v>0</v>
      </c>
      <c r="BD25" s="388">
        <f t="shared" ref="BD25" si="31">SUM(AQ23+BD23)</f>
        <v>0</v>
      </c>
      <c r="BE25" s="388">
        <f t="shared" ref="BE25" si="32">SUM(AR23+BE23)</f>
        <v>0</v>
      </c>
      <c r="BF25" s="388">
        <f>SUM(AT25:BE25)</f>
        <v>3900000</v>
      </c>
      <c r="BG25" s="280"/>
      <c r="BH25" s="286"/>
      <c r="BI25" s="287">
        <f>SUM(BI23-BI24)</f>
        <v>0</v>
      </c>
      <c r="BJ25" s="371" t="s">
        <v>37</v>
      </c>
      <c r="BK25" s="28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</row>
    <row r="26" spans="1:98" s="262" customFormat="1" ht="16.5" customHeight="1" x14ac:dyDescent="0.2">
      <c r="A26" s="1754" t="s">
        <v>8</v>
      </c>
      <c r="B26" s="1755"/>
      <c r="C26" s="244" t="s">
        <v>69</v>
      </c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93"/>
      <c r="AF26" s="245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7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7"/>
      <c r="BG26" s="247"/>
      <c r="BH26" s="243"/>
      <c r="BI26" s="248"/>
      <c r="BJ26" s="372"/>
      <c r="BK26" s="246"/>
      <c r="BL26" s="246"/>
      <c r="BM26" s="246"/>
      <c r="BN26" s="246"/>
      <c r="BO26" s="246"/>
      <c r="BP26" s="293"/>
      <c r="BQ26" s="246"/>
      <c r="BR26" s="246"/>
      <c r="BS26" s="246"/>
      <c r="BT26" s="246"/>
      <c r="BU26" s="246"/>
      <c r="BV26" s="247"/>
      <c r="BW26" s="247"/>
      <c r="BX26" s="247"/>
      <c r="BY26" s="243"/>
      <c r="BZ26" s="248"/>
      <c r="CA26" s="247"/>
      <c r="CB26" s="247"/>
      <c r="CC26" s="260"/>
      <c r="CD26" s="260"/>
      <c r="CE26" s="260"/>
      <c r="CF26" s="260"/>
      <c r="CG26" s="260"/>
      <c r="CH26" s="261"/>
      <c r="CI26" s="260"/>
      <c r="CJ26" s="260"/>
      <c r="CK26" s="260"/>
      <c r="CL26" s="260"/>
      <c r="CM26" s="260"/>
      <c r="CN26" s="260"/>
      <c r="CO26" s="260"/>
      <c r="CP26" s="260"/>
      <c r="CQ26" s="260"/>
      <c r="CR26" s="260"/>
      <c r="CS26" s="260"/>
      <c r="CT26" s="260"/>
    </row>
    <row r="27" spans="1:98" s="264" customFormat="1" ht="48.75" customHeight="1" x14ac:dyDescent="0.2">
      <c r="A27" s="1756" t="s">
        <v>10</v>
      </c>
      <c r="B27" s="1759" t="s">
        <v>11</v>
      </c>
      <c r="C27" s="1759" t="s">
        <v>22</v>
      </c>
      <c r="D27" s="1762" t="s">
        <v>12</v>
      </c>
      <c r="E27" s="1762"/>
      <c r="F27" s="1762"/>
      <c r="G27" s="1762"/>
      <c r="H27" s="1762"/>
      <c r="I27" s="1762"/>
      <c r="J27" s="1762"/>
      <c r="K27" s="1762"/>
      <c r="L27" s="1762"/>
      <c r="M27" s="1762"/>
      <c r="N27" s="1762"/>
      <c r="O27" s="1762"/>
      <c r="P27" s="1762"/>
      <c r="Q27" s="1762"/>
      <c r="R27" s="1759" t="s">
        <v>20</v>
      </c>
      <c r="S27" s="1763" t="s">
        <v>17</v>
      </c>
      <c r="T27" s="1764"/>
      <c r="U27" s="1764"/>
      <c r="V27" s="1764"/>
      <c r="W27" s="1764"/>
      <c r="X27" s="1764"/>
      <c r="Y27" s="1764"/>
      <c r="Z27" s="1764"/>
      <c r="AA27" s="1764"/>
      <c r="AB27" s="1764"/>
      <c r="AC27" s="1764"/>
      <c r="AD27" s="1764"/>
      <c r="AE27" s="1765"/>
      <c r="AF27" s="1766" t="s">
        <v>6</v>
      </c>
      <c r="AG27" s="1766"/>
      <c r="AH27" s="1766"/>
      <c r="AI27" s="1766"/>
      <c r="AJ27" s="1766"/>
      <c r="AK27" s="1766"/>
      <c r="AL27" s="1766"/>
      <c r="AM27" s="1766"/>
      <c r="AN27" s="1766"/>
      <c r="AO27" s="1766"/>
      <c r="AP27" s="1766"/>
      <c r="AQ27" s="1766"/>
      <c r="AR27" s="1766"/>
      <c r="AS27" s="1766"/>
      <c r="AT27" s="1767" t="s">
        <v>41</v>
      </c>
      <c r="AU27" s="1768"/>
      <c r="AV27" s="1768"/>
      <c r="AW27" s="1768"/>
      <c r="AX27" s="1768"/>
      <c r="AY27" s="1768"/>
      <c r="AZ27" s="1768"/>
      <c r="BA27" s="1768"/>
      <c r="BB27" s="1768"/>
      <c r="BC27" s="1768"/>
      <c r="BD27" s="1768"/>
      <c r="BE27" s="1768"/>
      <c r="BF27" s="1769"/>
      <c r="BG27" s="1759" t="s">
        <v>38</v>
      </c>
      <c r="BH27" s="1759" t="s">
        <v>256</v>
      </c>
      <c r="BI27" s="1746" t="s">
        <v>39</v>
      </c>
      <c r="BJ27" s="243"/>
      <c r="BK27" s="245"/>
      <c r="BL27" s="245"/>
      <c r="BM27" s="245"/>
      <c r="BN27" s="245"/>
      <c r="BO27" s="245"/>
      <c r="BP27" s="245"/>
      <c r="BQ27" s="245"/>
      <c r="BR27" s="245"/>
      <c r="BS27" s="245"/>
      <c r="BT27" s="245"/>
      <c r="BU27" s="245"/>
      <c r="BV27" s="245"/>
      <c r="BW27" s="245"/>
      <c r="BX27" s="245"/>
      <c r="BY27" s="245"/>
      <c r="BZ27" s="245"/>
      <c r="CA27" s="263"/>
      <c r="CB27" s="263"/>
    </row>
    <row r="28" spans="1:98" s="264" customFormat="1" ht="48.75" customHeight="1" x14ac:dyDescent="0.2">
      <c r="A28" s="1757"/>
      <c r="B28" s="1760"/>
      <c r="C28" s="1760"/>
      <c r="D28" s="1749" t="s">
        <v>18</v>
      </c>
      <c r="E28" s="1751" t="s">
        <v>19</v>
      </c>
      <c r="F28" s="1752"/>
      <c r="G28" s="1752"/>
      <c r="H28" s="1752"/>
      <c r="I28" s="1752"/>
      <c r="J28" s="1752"/>
      <c r="K28" s="1752"/>
      <c r="L28" s="1752"/>
      <c r="M28" s="1752"/>
      <c r="N28" s="1752"/>
      <c r="O28" s="1752"/>
      <c r="P28" s="1752"/>
      <c r="Q28" s="1752"/>
      <c r="R28" s="1760"/>
      <c r="S28" s="1749" t="s">
        <v>18</v>
      </c>
      <c r="T28" s="1751" t="s">
        <v>19</v>
      </c>
      <c r="U28" s="1752"/>
      <c r="V28" s="1752"/>
      <c r="W28" s="1752"/>
      <c r="X28" s="1752"/>
      <c r="Y28" s="1752"/>
      <c r="Z28" s="1752"/>
      <c r="AA28" s="1752"/>
      <c r="AB28" s="1752"/>
      <c r="AC28" s="1752"/>
      <c r="AD28" s="1752"/>
      <c r="AE28" s="1753"/>
      <c r="AF28" s="1749" t="s">
        <v>18</v>
      </c>
      <c r="AG28" s="1751" t="s">
        <v>19</v>
      </c>
      <c r="AH28" s="1752"/>
      <c r="AI28" s="1752"/>
      <c r="AJ28" s="1752"/>
      <c r="AK28" s="1752"/>
      <c r="AL28" s="1752"/>
      <c r="AM28" s="1752"/>
      <c r="AN28" s="1752"/>
      <c r="AO28" s="1752"/>
      <c r="AP28" s="1752"/>
      <c r="AQ28" s="1752"/>
      <c r="AR28" s="1752"/>
      <c r="AS28" s="1753"/>
      <c r="AT28" s="1770"/>
      <c r="AU28" s="1771"/>
      <c r="AV28" s="1771"/>
      <c r="AW28" s="1771"/>
      <c r="AX28" s="1771"/>
      <c r="AY28" s="1771"/>
      <c r="AZ28" s="1771"/>
      <c r="BA28" s="1771"/>
      <c r="BB28" s="1771"/>
      <c r="BC28" s="1771"/>
      <c r="BD28" s="1771"/>
      <c r="BE28" s="1771"/>
      <c r="BF28" s="1772"/>
      <c r="BG28" s="1760"/>
      <c r="BH28" s="1760"/>
      <c r="BI28" s="1747"/>
      <c r="BJ28" s="243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63"/>
      <c r="CB28" s="263"/>
    </row>
    <row r="29" spans="1:98" s="269" customFormat="1" ht="28.5" customHeight="1" x14ac:dyDescent="0.2">
      <c r="A29" s="1758"/>
      <c r="B29" s="1761"/>
      <c r="C29" s="1761"/>
      <c r="D29" s="1750"/>
      <c r="E29" s="265">
        <v>1</v>
      </c>
      <c r="F29" s="265">
        <v>2</v>
      </c>
      <c r="G29" s="265">
        <v>3</v>
      </c>
      <c r="H29" s="265">
        <v>4</v>
      </c>
      <c r="I29" s="265">
        <v>5</v>
      </c>
      <c r="J29" s="265">
        <v>6</v>
      </c>
      <c r="K29" s="265">
        <v>7</v>
      </c>
      <c r="L29" s="265">
        <v>8</v>
      </c>
      <c r="M29" s="265">
        <v>9</v>
      </c>
      <c r="N29" s="265">
        <v>10</v>
      </c>
      <c r="O29" s="265">
        <v>11</v>
      </c>
      <c r="P29" s="265">
        <v>12</v>
      </c>
      <c r="Q29" s="265" t="s">
        <v>21</v>
      </c>
      <c r="R29" s="1761"/>
      <c r="S29" s="1750"/>
      <c r="T29" s="265">
        <v>1</v>
      </c>
      <c r="U29" s="265">
        <v>2</v>
      </c>
      <c r="V29" s="265">
        <v>3</v>
      </c>
      <c r="W29" s="265">
        <v>4</v>
      </c>
      <c r="X29" s="265">
        <v>5</v>
      </c>
      <c r="Y29" s="265">
        <v>6</v>
      </c>
      <c r="Z29" s="265">
        <v>7</v>
      </c>
      <c r="AA29" s="265">
        <v>8</v>
      </c>
      <c r="AB29" s="265">
        <v>9</v>
      </c>
      <c r="AC29" s="265">
        <v>10</v>
      </c>
      <c r="AD29" s="265">
        <v>11</v>
      </c>
      <c r="AE29" s="265">
        <v>12</v>
      </c>
      <c r="AF29" s="1750"/>
      <c r="AG29" s="265">
        <v>1</v>
      </c>
      <c r="AH29" s="265">
        <v>2</v>
      </c>
      <c r="AI29" s="265">
        <v>3</v>
      </c>
      <c r="AJ29" s="265">
        <v>4</v>
      </c>
      <c r="AK29" s="265">
        <v>5</v>
      </c>
      <c r="AL29" s="265">
        <v>6</v>
      </c>
      <c r="AM29" s="265">
        <v>7</v>
      </c>
      <c r="AN29" s="265">
        <v>8</v>
      </c>
      <c r="AO29" s="265">
        <v>9</v>
      </c>
      <c r="AP29" s="265">
        <v>10</v>
      </c>
      <c r="AQ29" s="265">
        <v>11</v>
      </c>
      <c r="AR29" s="265">
        <v>12</v>
      </c>
      <c r="AS29" s="265" t="s">
        <v>13</v>
      </c>
      <c r="AT29" s="266">
        <v>1</v>
      </c>
      <c r="AU29" s="266">
        <v>2</v>
      </c>
      <c r="AV29" s="266">
        <v>3</v>
      </c>
      <c r="AW29" s="266">
        <v>4</v>
      </c>
      <c r="AX29" s="266">
        <v>5</v>
      </c>
      <c r="AY29" s="266">
        <v>6</v>
      </c>
      <c r="AZ29" s="266">
        <v>7</v>
      </c>
      <c r="BA29" s="266">
        <v>8</v>
      </c>
      <c r="BB29" s="266">
        <v>9</v>
      </c>
      <c r="BC29" s="266">
        <v>10</v>
      </c>
      <c r="BD29" s="266">
        <v>11</v>
      </c>
      <c r="BE29" s="266">
        <v>12</v>
      </c>
      <c r="BF29" s="265" t="s">
        <v>13</v>
      </c>
      <c r="BG29" s="1761"/>
      <c r="BH29" s="1761"/>
      <c r="BI29" s="1748"/>
      <c r="BJ29" s="267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</row>
    <row r="30" spans="1:98" s="328" customFormat="1" ht="24.75" customHeight="1" thickBot="1" x14ac:dyDescent="0.25">
      <c r="A30" s="340"/>
      <c r="B30" s="351" t="s">
        <v>80</v>
      </c>
      <c r="C30" s="281" t="s">
        <v>25</v>
      </c>
      <c r="D30" s="333">
        <v>12</v>
      </c>
      <c r="E30" s="333">
        <v>3</v>
      </c>
      <c r="F30" s="342">
        <v>1</v>
      </c>
      <c r="G30" s="342">
        <v>1</v>
      </c>
      <c r="H30" s="342">
        <v>1</v>
      </c>
      <c r="I30" s="342">
        <v>1</v>
      </c>
      <c r="J30" s="342">
        <v>1</v>
      </c>
      <c r="K30" s="1207">
        <v>1</v>
      </c>
      <c r="L30" s="576">
        <v>1</v>
      </c>
      <c r="M30" s="576">
        <v>1</v>
      </c>
      <c r="N30" s="576">
        <v>1</v>
      </c>
      <c r="O30" s="342">
        <v>1</v>
      </c>
      <c r="P30" s="342"/>
      <c r="Q30" s="840">
        <v>12</v>
      </c>
      <c r="R30" s="334" t="s">
        <v>68</v>
      </c>
      <c r="S30" s="332">
        <v>2900000</v>
      </c>
      <c r="T30" s="332">
        <v>2863425</v>
      </c>
      <c r="U30" s="332">
        <v>2863425</v>
      </c>
      <c r="V30" s="332">
        <v>2863425</v>
      </c>
      <c r="W30" s="332">
        <v>2863425</v>
      </c>
      <c r="X30" s="332">
        <v>2863425</v>
      </c>
      <c r="Y30" s="332">
        <v>2863425</v>
      </c>
      <c r="Z30" s="332">
        <v>2863425</v>
      </c>
      <c r="AA30" s="332">
        <v>2863425</v>
      </c>
      <c r="AB30" s="1330">
        <v>2863425</v>
      </c>
      <c r="AC30" s="1412">
        <v>2863425</v>
      </c>
      <c r="AD30" s="332">
        <v>438900</v>
      </c>
      <c r="AE30" s="332"/>
      <c r="AF30" s="271">
        <f t="shared" ref="AF30" si="33">SUM(Q30*S30)</f>
        <v>34800000</v>
      </c>
      <c r="AG30" s="272">
        <f>T30*E30</f>
        <v>8590275</v>
      </c>
      <c r="AH30" s="272">
        <f>U30*F30</f>
        <v>2863425</v>
      </c>
      <c r="AI30" s="272">
        <f>V30*G30</f>
        <v>2863425</v>
      </c>
      <c r="AJ30" s="272">
        <f t="shared" ref="AJ30:AR30" si="34">W30*H30</f>
        <v>2863425</v>
      </c>
      <c r="AK30" s="272">
        <f t="shared" si="34"/>
        <v>2863425</v>
      </c>
      <c r="AL30" s="272">
        <f t="shared" si="34"/>
        <v>2863425</v>
      </c>
      <c r="AM30" s="1213">
        <v>2863425</v>
      </c>
      <c r="AN30" s="272">
        <f t="shared" si="34"/>
        <v>2863425</v>
      </c>
      <c r="AO30" s="1199">
        <f t="shared" si="34"/>
        <v>2863425</v>
      </c>
      <c r="AP30" s="1298">
        <f t="shared" si="34"/>
        <v>2863425</v>
      </c>
      <c r="AQ30" s="1298">
        <f t="shared" si="34"/>
        <v>438900</v>
      </c>
      <c r="AR30" s="272">
        <f t="shared" si="34"/>
        <v>0</v>
      </c>
      <c r="AS30" s="273">
        <f t="shared" ref="AS30" si="35">SUM(AG30:AR30)</f>
        <v>34800000</v>
      </c>
      <c r="AT30" s="272"/>
      <c r="AU30" s="272"/>
      <c r="AV30" s="272"/>
      <c r="AW30" s="272"/>
      <c r="AX30" s="272"/>
      <c r="AY30" s="272"/>
      <c r="AZ30" s="272"/>
      <c r="BA30" s="272"/>
      <c r="BB30" s="272"/>
      <c r="BC30" s="272"/>
      <c r="BD30" s="272"/>
      <c r="BE30" s="272"/>
      <c r="BF30" s="299">
        <f>SUM(AT30:BE30)</f>
        <v>0</v>
      </c>
      <c r="BG30" s="344">
        <f>AF30-AS30-BF30</f>
        <v>0</v>
      </c>
      <c r="BH30" s="345">
        <f>S30*D30</f>
        <v>34800000</v>
      </c>
      <c r="BI30" s="346">
        <f>BH30-AS30-BF30</f>
        <v>0</v>
      </c>
      <c r="BJ30" s="373">
        <f>SUM(Q30/D30)</f>
        <v>1</v>
      </c>
      <c r="BK30" s="277"/>
      <c r="BL30" s="277"/>
      <c r="BM30" s="277"/>
      <c r="BN30" s="277"/>
      <c r="BO30" s="27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</row>
    <row r="31" spans="1:98" s="356" customFormat="1" ht="24.75" customHeight="1" thickBot="1" x14ac:dyDescent="0.25">
      <c r="A31" s="554">
        <v>4</v>
      </c>
      <c r="B31" s="352" t="s">
        <v>4</v>
      </c>
      <c r="C31" s="352"/>
      <c r="D31" s="353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1"/>
      <c r="R31" s="354"/>
      <c r="S31" s="353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49">
        <f>SUM(AF30:AF30)</f>
        <v>34800000</v>
      </c>
      <c r="AG31" s="349">
        <f>SUM(AG30:AG30)</f>
        <v>8590275</v>
      </c>
      <c r="AH31" s="349">
        <f>SUM(AH30:AH30)</f>
        <v>2863425</v>
      </c>
      <c r="AI31" s="349">
        <f>SUM(AI30:AI30)</f>
        <v>2863425</v>
      </c>
      <c r="AJ31" s="349">
        <f t="shared" ref="AJ31:AR31" si="36">SUM(AJ30:AJ30)</f>
        <v>2863425</v>
      </c>
      <c r="AK31" s="349">
        <f t="shared" si="36"/>
        <v>2863425</v>
      </c>
      <c r="AL31" s="349">
        <f t="shared" si="36"/>
        <v>2863425</v>
      </c>
      <c r="AM31" s="349">
        <f t="shared" si="36"/>
        <v>2863425</v>
      </c>
      <c r="AN31" s="349">
        <f t="shared" si="36"/>
        <v>2863425</v>
      </c>
      <c r="AO31" s="349">
        <f t="shared" si="36"/>
        <v>2863425</v>
      </c>
      <c r="AP31" s="349">
        <f t="shared" si="36"/>
        <v>2863425</v>
      </c>
      <c r="AQ31" s="349">
        <f t="shared" si="36"/>
        <v>438900</v>
      </c>
      <c r="AR31" s="349">
        <f t="shared" si="36"/>
        <v>0</v>
      </c>
      <c r="AS31" s="349">
        <f>SUM(AS30:AS30)</f>
        <v>34800000</v>
      </c>
      <c r="AT31" s="349">
        <f>SUM(AT30:AT30)</f>
        <v>0</v>
      </c>
      <c r="AU31" s="349">
        <f>SUM(AU30:AU30)</f>
        <v>0</v>
      </c>
      <c r="AV31" s="349">
        <f>SUM(AV30:AV30)</f>
        <v>0</v>
      </c>
      <c r="AW31" s="349"/>
      <c r="AX31" s="349"/>
      <c r="AY31" s="349"/>
      <c r="AZ31" s="349"/>
      <c r="BA31" s="349"/>
      <c r="BB31" s="349"/>
      <c r="BC31" s="349"/>
      <c r="BD31" s="349"/>
      <c r="BE31" s="349"/>
      <c r="BF31" s="349">
        <f>SUM(BF30:BF30)</f>
        <v>0</v>
      </c>
      <c r="BG31" s="350">
        <f>AF31-AS31-BF31</f>
        <v>0</v>
      </c>
      <c r="BH31" s="349">
        <f>SUM(BH30:BH30)</f>
        <v>34800000</v>
      </c>
      <c r="BI31" s="349">
        <f>SUM(BI30:BI30)</f>
        <v>0</v>
      </c>
      <c r="BJ31" s="375">
        <f>SUM(BJ30)</f>
        <v>1</v>
      </c>
      <c r="BK31" s="318"/>
      <c r="BL31" s="318"/>
      <c r="BM31" s="318"/>
      <c r="BN31" s="318"/>
      <c r="BO31" s="318"/>
      <c r="BP31" s="318"/>
      <c r="BQ31" s="318"/>
      <c r="BR31" s="318"/>
      <c r="BS31" s="318"/>
      <c r="BT31" s="318"/>
      <c r="BU31" s="318"/>
      <c r="BV31" s="318"/>
      <c r="BW31" s="318"/>
      <c r="BX31" s="318"/>
      <c r="BY31" s="318"/>
      <c r="BZ31" s="318"/>
      <c r="CA31" s="318"/>
      <c r="CB31" s="318"/>
    </row>
    <row r="32" spans="1:98" s="262" customFormat="1" ht="24.75" customHeight="1" x14ac:dyDescent="0.2">
      <c r="A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AD32" s="262" t="s">
        <v>723</v>
      </c>
      <c r="AE32" s="280"/>
      <c r="AQ32" s="283" t="s">
        <v>723</v>
      </c>
      <c r="AS32" s="291"/>
      <c r="BF32" s="319">
        <f>SUM(AS31+BF31)</f>
        <v>34800000</v>
      </c>
      <c r="BG32" s="284">
        <f>AF31-AS31-BF31</f>
        <v>0</v>
      </c>
      <c r="BH32" s="320">
        <f>SUM(BI31+AS31+BF31)</f>
        <v>34800000</v>
      </c>
      <c r="BI32" s="285">
        <f>SUM(BG31)</f>
        <v>0</v>
      </c>
      <c r="BJ32" s="371" t="s">
        <v>38</v>
      </c>
      <c r="BK32" s="280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</row>
    <row r="33" spans="1:98" s="262" customFormat="1" ht="24.75" customHeight="1" x14ac:dyDescent="0.2">
      <c r="A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AE33" s="280"/>
      <c r="AS33" s="280"/>
      <c r="AT33" s="388">
        <f>SUM(AG31+AT31)</f>
        <v>8590275</v>
      </c>
      <c r="AU33" s="388">
        <f t="shared" ref="AU33:BE33" si="37">SUM(AH31+AU31)</f>
        <v>2863425</v>
      </c>
      <c r="AV33" s="388">
        <f t="shared" si="37"/>
        <v>2863425</v>
      </c>
      <c r="AW33" s="388">
        <f t="shared" si="37"/>
        <v>2863425</v>
      </c>
      <c r="AX33" s="388">
        <f t="shared" si="37"/>
        <v>2863425</v>
      </c>
      <c r="AY33" s="388">
        <f t="shared" si="37"/>
        <v>2863425</v>
      </c>
      <c r="AZ33" s="388">
        <f t="shared" si="37"/>
        <v>2863425</v>
      </c>
      <c r="BA33" s="388">
        <f t="shared" si="37"/>
        <v>2863425</v>
      </c>
      <c r="BB33" s="388">
        <f t="shared" si="37"/>
        <v>2863425</v>
      </c>
      <c r="BC33" s="388">
        <f t="shared" si="37"/>
        <v>2863425</v>
      </c>
      <c r="BD33" s="388">
        <f t="shared" si="37"/>
        <v>438900</v>
      </c>
      <c r="BE33" s="388">
        <f t="shared" si="37"/>
        <v>0</v>
      </c>
      <c r="BF33" s="388">
        <f>SUM(AT33:BE33)</f>
        <v>34800000</v>
      </c>
      <c r="BG33" s="280"/>
      <c r="BH33" s="286"/>
      <c r="BI33" s="287">
        <f>SUM(BI31-BI32)</f>
        <v>0</v>
      </c>
      <c r="BJ33" s="371" t="s">
        <v>37</v>
      </c>
      <c r="BK33" s="28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</row>
    <row r="34" spans="1:98" s="262" customFormat="1" ht="16.5" customHeight="1" x14ac:dyDescent="0.2">
      <c r="A34" s="1754" t="s">
        <v>8</v>
      </c>
      <c r="B34" s="1755"/>
      <c r="C34" s="244" t="s">
        <v>73</v>
      </c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245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93"/>
      <c r="AF34" s="245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7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7"/>
      <c r="BG34" s="247"/>
      <c r="BH34" s="243"/>
      <c r="BI34" s="248"/>
      <c r="BJ34" s="372"/>
      <c r="BK34" s="246"/>
      <c r="BL34" s="246"/>
      <c r="BM34" s="246"/>
      <c r="BN34" s="246"/>
      <c r="BO34" s="246"/>
      <c r="BP34" s="293"/>
      <c r="BQ34" s="246"/>
      <c r="BR34" s="246"/>
      <c r="BS34" s="246"/>
      <c r="BT34" s="246"/>
      <c r="BU34" s="246"/>
      <c r="BV34" s="247"/>
      <c r="BW34" s="247"/>
      <c r="BX34" s="247"/>
      <c r="BY34" s="243"/>
      <c r="BZ34" s="248"/>
      <c r="CA34" s="247"/>
      <c r="CB34" s="247"/>
      <c r="CC34" s="260"/>
      <c r="CD34" s="260"/>
      <c r="CE34" s="260"/>
      <c r="CF34" s="260"/>
      <c r="CG34" s="260"/>
      <c r="CH34" s="261"/>
      <c r="CI34" s="260"/>
      <c r="CJ34" s="260"/>
      <c r="CK34" s="260"/>
      <c r="CL34" s="260"/>
      <c r="CM34" s="260"/>
      <c r="CN34" s="260"/>
      <c r="CO34" s="260"/>
      <c r="CP34" s="260"/>
      <c r="CQ34" s="260"/>
      <c r="CR34" s="260"/>
      <c r="CS34" s="260"/>
      <c r="CT34" s="260"/>
    </row>
    <row r="35" spans="1:98" s="264" customFormat="1" ht="48.75" customHeight="1" x14ac:dyDescent="0.2">
      <c r="A35" s="1756" t="s">
        <v>10</v>
      </c>
      <c r="B35" s="1759" t="s">
        <v>11</v>
      </c>
      <c r="C35" s="1759" t="s">
        <v>22</v>
      </c>
      <c r="D35" s="1762" t="s">
        <v>12</v>
      </c>
      <c r="E35" s="1762"/>
      <c r="F35" s="1762"/>
      <c r="G35" s="1762"/>
      <c r="H35" s="1762"/>
      <c r="I35" s="1762"/>
      <c r="J35" s="1762"/>
      <c r="K35" s="1762"/>
      <c r="L35" s="1762"/>
      <c r="M35" s="1762"/>
      <c r="N35" s="1762"/>
      <c r="O35" s="1762"/>
      <c r="P35" s="1762"/>
      <c r="Q35" s="1762"/>
      <c r="R35" s="1759" t="s">
        <v>20</v>
      </c>
      <c r="S35" s="1763" t="s">
        <v>17</v>
      </c>
      <c r="T35" s="1764"/>
      <c r="U35" s="1764"/>
      <c r="V35" s="1764"/>
      <c r="W35" s="1764"/>
      <c r="X35" s="1764"/>
      <c r="Y35" s="1764"/>
      <c r="Z35" s="1764"/>
      <c r="AA35" s="1764"/>
      <c r="AB35" s="1764"/>
      <c r="AC35" s="1764"/>
      <c r="AD35" s="1764"/>
      <c r="AE35" s="1765"/>
      <c r="AF35" s="1766" t="s">
        <v>6</v>
      </c>
      <c r="AG35" s="1766"/>
      <c r="AH35" s="1766"/>
      <c r="AI35" s="1766"/>
      <c r="AJ35" s="1766"/>
      <c r="AK35" s="1766"/>
      <c r="AL35" s="1766"/>
      <c r="AM35" s="1766"/>
      <c r="AN35" s="1766"/>
      <c r="AO35" s="1766"/>
      <c r="AP35" s="1766"/>
      <c r="AQ35" s="1766"/>
      <c r="AR35" s="1766"/>
      <c r="AS35" s="1766"/>
      <c r="AT35" s="1767" t="s">
        <v>41</v>
      </c>
      <c r="AU35" s="1768"/>
      <c r="AV35" s="1768"/>
      <c r="AW35" s="1768"/>
      <c r="AX35" s="1768"/>
      <c r="AY35" s="1768"/>
      <c r="AZ35" s="1768"/>
      <c r="BA35" s="1768"/>
      <c r="BB35" s="1768"/>
      <c r="BC35" s="1768"/>
      <c r="BD35" s="1768"/>
      <c r="BE35" s="1768"/>
      <c r="BF35" s="1769"/>
      <c r="BG35" s="1759" t="s">
        <v>38</v>
      </c>
      <c r="BH35" s="1759" t="s">
        <v>256</v>
      </c>
      <c r="BI35" s="1746" t="s">
        <v>39</v>
      </c>
      <c r="BJ35" s="243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63"/>
      <c r="CB35" s="263"/>
    </row>
    <row r="36" spans="1:98" s="264" customFormat="1" ht="48.75" customHeight="1" x14ac:dyDescent="0.2">
      <c r="A36" s="1757"/>
      <c r="B36" s="1760"/>
      <c r="C36" s="1760"/>
      <c r="D36" s="1749" t="s">
        <v>18</v>
      </c>
      <c r="E36" s="1751" t="s">
        <v>19</v>
      </c>
      <c r="F36" s="1752"/>
      <c r="G36" s="1752"/>
      <c r="H36" s="1752"/>
      <c r="I36" s="1752"/>
      <c r="J36" s="1752"/>
      <c r="K36" s="1752"/>
      <c r="L36" s="1752"/>
      <c r="M36" s="1752"/>
      <c r="N36" s="1752"/>
      <c r="O36" s="1752"/>
      <c r="P36" s="1752"/>
      <c r="Q36" s="1752"/>
      <c r="R36" s="1760"/>
      <c r="S36" s="1749" t="s">
        <v>18</v>
      </c>
      <c r="T36" s="1751" t="s">
        <v>19</v>
      </c>
      <c r="U36" s="1752"/>
      <c r="V36" s="1752"/>
      <c r="W36" s="1752"/>
      <c r="X36" s="1752"/>
      <c r="Y36" s="1752"/>
      <c r="Z36" s="1752"/>
      <c r="AA36" s="1752"/>
      <c r="AB36" s="1752"/>
      <c r="AC36" s="1752"/>
      <c r="AD36" s="1752"/>
      <c r="AE36" s="1753"/>
      <c r="AF36" s="1749" t="s">
        <v>18</v>
      </c>
      <c r="AG36" s="1751" t="s">
        <v>19</v>
      </c>
      <c r="AH36" s="1752"/>
      <c r="AI36" s="1752"/>
      <c r="AJ36" s="1752"/>
      <c r="AK36" s="1752"/>
      <c r="AL36" s="1752"/>
      <c r="AM36" s="1752"/>
      <c r="AN36" s="1752"/>
      <c r="AO36" s="1752"/>
      <c r="AP36" s="1752"/>
      <c r="AQ36" s="1752"/>
      <c r="AR36" s="1752"/>
      <c r="AS36" s="1753"/>
      <c r="AT36" s="1770"/>
      <c r="AU36" s="1771"/>
      <c r="AV36" s="1771"/>
      <c r="AW36" s="1771"/>
      <c r="AX36" s="1771"/>
      <c r="AY36" s="1771"/>
      <c r="AZ36" s="1771"/>
      <c r="BA36" s="1771"/>
      <c r="BB36" s="1771"/>
      <c r="BC36" s="1771"/>
      <c r="BD36" s="1771"/>
      <c r="BE36" s="1771"/>
      <c r="BF36" s="1772"/>
      <c r="BG36" s="1760"/>
      <c r="BH36" s="1760"/>
      <c r="BI36" s="1747"/>
      <c r="BJ36" s="243"/>
      <c r="BK36" s="245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63"/>
      <c r="CB36" s="263"/>
    </row>
    <row r="37" spans="1:98" s="269" customFormat="1" ht="28.5" customHeight="1" x14ac:dyDescent="0.2">
      <c r="A37" s="1758"/>
      <c r="B37" s="1761"/>
      <c r="C37" s="1761"/>
      <c r="D37" s="1750"/>
      <c r="E37" s="265">
        <v>1</v>
      </c>
      <c r="F37" s="265">
        <v>2</v>
      </c>
      <c r="G37" s="265">
        <v>3</v>
      </c>
      <c r="H37" s="265">
        <v>4</v>
      </c>
      <c r="I37" s="265">
        <v>5</v>
      </c>
      <c r="J37" s="265">
        <v>6</v>
      </c>
      <c r="K37" s="265">
        <v>7</v>
      </c>
      <c r="L37" s="265">
        <v>8</v>
      </c>
      <c r="M37" s="265">
        <v>9</v>
      </c>
      <c r="N37" s="265">
        <v>10</v>
      </c>
      <c r="O37" s="265">
        <v>11</v>
      </c>
      <c r="P37" s="265">
        <v>12</v>
      </c>
      <c r="Q37" s="265" t="s">
        <v>21</v>
      </c>
      <c r="R37" s="1761"/>
      <c r="S37" s="1750"/>
      <c r="T37" s="265">
        <v>1</v>
      </c>
      <c r="U37" s="265">
        <v>2</v>
      </c>
      <c r="V37" s="265">
        <v>3</v>
      </c>
      <c r="W37" s="265">
        <v>4</v>
      </c>
      <c r="X37" s="265">
        <v>5</v>
      </c>
      <c r="Y37" s="265">
        <v>6</v>
      </c>
      <c r="Z37" s="265">
        <v>7</v>
      </c>
      <c r="AA37" s="265">
        <v>8</v>
      </c>
      <c r="AB37" s="265">
        <v>9</v>
      </c>
      <c r="AC37" s="265">
        <v>10</v>
      </c>
      <c r="AD37" s="265">
        <v>11</v>
      </c>
      <c r="AE37" s="265">
        <v>12</v>
      </c>
      <c r="AF37" s="1750"/>
      <c r="AG37" s="265">
        <v>1</v>
      </c>
      <c r="AH37" s="265">
        <v>2</v>
      </c>
      <c r="AI37" s="265">
        <v>3</v>
      </c>
      <c r="AJ37" s="265">
        <v>4</v>
      </c>
      <c r="AK37" s="265">
        <v>5</v>
      </c>
      <c r="AL37" s="265">
        <v>6</v>
      </c>
      <c r="AM37" s="265">
        <v>7</v>
      </c>
      <c r="AN37" s="265">
        <v>8</v>
      </c>
      <c r="AO37" s="265">
        <v>9</v>
      </c>
      <c r="AP37" s="265">
        <v>10</v>
      </c>
      <c r="AQ37" s="265">
        <v>11</v>
      </c>
      <c r="AR37" s="265">
        <v>12</v>
      </c>
      <c r="AS37" s="265" t="s">
        <v>13</v>
      </c>
      <c r="AT37" s="266">
        <v>1</v>
      </c>
      <c r="AU37" s="266">
        <v>2</v>
      </c>
      <c r="AV37" s="266">
        <v>3</v>
      </c>
      <c r="AW37" s="266">
        <v>4</v>
      </c>
      <c r="AX37" s="266">
        <v>5</v>
      </c>
      <c r="AY37" s="266">
        <v>6</v>
      </c>
      <c r="AZ37" s="266">
        <v>7</v>
      </c>
      <c r="BA37" s="266">
        <v>8</v>
      </c>
      <c r="BB37" s="266">
        <v>9</v>
      </c>
      <c r="BC37" s="266">
        <v>10</v>
      </c>
      <c r="BD37" s="266">
        <v>11</v>
      </c>
      <c r="BE37" s="266">
        <v>12</v>
      </c>
      <c r="BF37" s="265" t="s">
        <v>13</v>
      </c>
      <c r="BG37" s="1761"/>
      <c r="BH37" s="1761"/>
      <c r="BI37" s="1748"/>
      <c r="BJ37" s="267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</row>
    <row r="38" spans="1:98" s="267" customFormat="1" ht="24.75" customHeight="1" thickBot="1" x14ac:dyDescent="0.25">
      <c r="A38" s="340"/>
      <c r="B38" s="341" t="s">
        <v>271</v>
      </c>
      <c r="C38" s="281" t="s">
        <v>25</v>
      </c>
      <c r="D38" s="251">
        <v>72</v>
      </c>
      <c r="E38" s="251">
        <v>15</v>
      </c>
      <c r="F38" s="251">
        <v>5</v>
      </c>
      <c r="G38" s="342">
        <v>5</v>
      </c>
      <c r="H38" s="342">
        <v>5</v>
      </c>
      <c r="I38" s="342">
        <v>5</v>
      </c>
      <c r="J38" s="342">
        <v>5</v>
      </c>
      <c r="K38" s="1207">
        <v>5</v>
      </c>
      <c r="L38" s="576">
        <v>5</v>
      </c>
      <c r="M38" s="576">
        <v>5</v>
      </c>
      <c r="N38" s="576">
        <v>5</v>
      </c>
      <c r="O38" s="342">
        <v>5</v>
      </c>
      <c r="P38" s="342"/>
      <c r="Q38" s="343">
        <v>60</v>
      </c>
      <c r="R38" s="252" t="s">
        <v>68</v>
      </c>
      <c r="S38" s="332">
        <v>2300000</v>
      </c>
      <c r="T38" s="332">
        <v>2263425</v>
      </c>
      <c r="U38" s="332">
        <v>2263425</v>
      </c>
      <c r="V38" s="332">
        <v>2263425</v>
      </c>
      <c r="W38" s="332">
        <v>2263425</v>
      </c>
      <c r="X38" s="332">
        <v>2263425</v>
      </c>
      <c r="Y38" s="332">
        <v>2263425</v>
      </c>
      <c r="Z38" s="332">
        <v>2263425</v>
      </c>
      <c r="AA38" s="332">
        <v>2263425</v>
      </c>
      <c r="AB38" s="1330">
        <v>2263425</v>
      </c>
      <c r="AC38" s="1412">
        <v>2263425</v>
      </c>
      <c r="AD38" s="332">
        <v>438900</v>
      </c>
      <c r="AE38" s="332"/>
      <c r="AF38" s="271">
        <f t="shared" ref="AF38" si="38">SUM(Q38*S38)</f>
        <v>138000000</v>
      </c>
      <c r="AG38" s="272">
        <f>T38*E38</f>
        <v>33951375</v>
      </c>
      <c r="AH38" s="272">
        <f>U38*F38</f>
        <v>11317125</v>
      </c>
      <c r="AI38" s="272">
        <f t="shared" ref="AI38:AR38" si="39">V38*G38</f>
        <v>11317125</v>
      </c>
      <c r="AJ38" s="272">
        <f t="shared" si="39"/>
        <v>11317125</v>
      </c>
      <c r="AK38" s="272">
        <f t="shared" si="39"/>
        <v>11317125</v>
      </c>
      <c r="AL38" s="272">
        <f t="shared" si="39"/>
        <v>11317125</v>
      </c>
      <c r="AM38" s="1188">
        <v>11317125</v>
      </c>
      <c r="AN38" s="272">
        <f t="shared" si="39"/>
        <v>11317125</v>
      </c>
      <c r="AO38" s="1199">
        <f t="shared" si="39"/>
        <v>11317125</v>
      </c>
      <c r="AP38" s="1298">
        <f t="shared" si="39"/>
        <v>11317125</v>
      </c>
      <c r="AQ38" s="272">
        <f t="shared" si="39"/>
        <v>2194500</v>
      </c>
      <c r="AR38" s="272">
        <f t="shared" si="39"/>
        <v>0</v>
      </c>
      <c r="AS38" s="273">
        <f t="shared" ref="AS38" si="40">SUM(AG38:AR38)</f>
        <v>138000000</v>
      </c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99">
        <f>SUM(AT38:BE38)</f>
        <v>0</v>
      </c>
      <c r="BG38" s="344">
        <f>AF38-AS38-BF38</f>
        <v>0</v>
      </c>
      <c r="BH38" s="345">
        <f>S38*D38</f>
        <v>165600000</v>
      </c>
      <c r="BI38" s="346">
        <f>BH38-AS38-BF38</f>
        <v>27600000</v>
      </c>
      <c r="BJ38" s="373">
        <f>SUM(Q38/D38)</f>
        <v>0.83333333333333337</v>
      </c>
      <c r="BK38" s="277"/>
      <c r="BL38" s="277"/>
      <c r="BM38" s="277"/>
      <c r="BN38" s="277"/>
      <c r="BO38" s="27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</row>
    <row r="39" spans="1:98" s="282" customFormat="1" ht="24.75" customHeight="1" thickBot="1" x14ac:dyDescent="0.25">
      <c r="A39" s="554">
        <v>5</v>
      </c>
      <c r="B39" s="308" t="s">
        <v>4</v>
      </c>
      <c r="C39" s="308"/>
      <c r="D39" s="309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1"/>
      <c r="R39" s="312"/>
      <c r="S39" s="309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9">
        <f>SUM(AF38:AF38)</f>
        <v>138000000</v>
      </c>
      <c r="AG39" s="349">
        <f>SUM(AG38:AG38)</f>
        <v>33951375</v>
      </c>
      <c r="AH39" s="349">
        <f>SUM(AH38:AH38)</f>
        <v>11317125</v>
      </c>
      <c r="AI39" s="1332">
        <f t="shared" ref="AI39:AR39" si="41">SUM(AI38:AI38)</f>
        <v>11317125</v>
      </c>
      <c r="AJ39" s="1332">
        <f t="shared" si="41"/>
        <v>11317125</v>
      </c>
      <c r="AK39" s="1332">
        <f t="shared" si="41"/>
        <v>11317125</v>
      </c>
      <c r="AL39" s="1332">
        <f t="shared" si="41"/>
        <v>11317125</v>
      </c>
      <c r="AM39" s="1332">
        <f t="shared" si="41"/>
        <v>11317125</v>
      </c>
      <c r="AN39" s="1332">
        <f t="shared" si="41"/>
        <v>11317125</v>
      </c>
      <c r="AO39" s="1332">
        <f t="shared" si="41"/>
        <v>11317125</v>
      </c>
      <c r="AP39" s="349">
        <f t="shared" si="41"/>
        <v>11317125</v>
      </c>
      <c r="AQ39" s="349">
        <f t="shared" si="41"/>
        <v>2194500</v>
      </c>
      <c r="AR39" s="349">
        <f t="shared" si="41"/>
        <v>0</v>
      </c>
      <c r="AS39" s="349">
        <f>SUM(AS38:AS38)</f>
        <v>138000000</v>
      </c>
      <c r="AT39" s="349">
        <f>SUM(AT38:AT38)</f>
        <v>0</v>
      </c>
      <c r="AU39" s="349">
        <f>SUM(AU38:AU38)</f>
        <v>0</v>
      </c>
      <c r="AV39" s="349">
        <f>SUM(AV38:AV38)</f>
        <v>0</v>
      </c>
      <c r="AW39" s="349">
        <f t="shared" ref="AW39:BE39" si="42">SUM(AW38:AW38)</f>
        <v>0</v>
      </c>
      <c r="AX39" s="349">
        <f t="shared" si="42"/>
        <v>0</v>
      </c>
      <c r="AY39" s="349">
        <f t="shared" si="42"/>
        <v>0</v>
      </c>
      <c r="AZ39" s="349">
        <f t="shared" si="42"/>
        <v>0</v>
      </c>
      <c r="BA39" s="349">
        <f t="shared" si="42"/>
        <v>0</v>
      </c>
      <c r="BB39" s="349">
        <f t="shared" si="42"/>
        <v>0</v>
      </c>
      <c r="BC39" s="349">
        <f t="shared" si="42"/>
        <v>0</v>
      </c>
      <c r="BD39" s="349">
        <f t="shared" si="42"/>
        <v>0</v>
      </c>
      <c r="BE39" s="349">
        <f t="shared" si="42"/>
        <v>0</v>
      </c>
      <c r="BF39" s="349">
        <f>SUM(BF38:BF38)</f>
        <v>0</v>
      </c>
      <c r="BG39" s="350">
        <f>AF39-AS39-BF39</f>
        <v>0</v>
      </c>
      <c r="BH39" s="349">
        <f>SUM(BH38:BH38)</f>
        <v>165600000</v>
      </c>
      <c r="BI39" s="349">
        <f>SUM(BI38:BI38)</f>
        <v>27600000</v>
      </c>
      <c r="BJ39" s="375">
        <v>1</v>
      </c>
      <c r="BK39" s="318"/>
      <c r="BL39" s="318"/>
      <c r="BM39" s="318"/>
      <c r="BN39" s="318"/>
      <c r="BO39" s="318"/>
      <c r="BP39" s="318"/>
      <c r="BQ39" s="318"/>
      <c r="BR39" s="318"/>
      <c r="BS39" s="318"/>
      <c r="BT39" s="318"/>
      <c r="BU39" s="318"/>
      <c r="BV39" s="318"/>
      <c r="BW39" s="318"/>
      <c r="BX39" s="318"/>
      <c r="BY39" s="318"/>
      <c r="BZ39" s="318"/>
      <c r="CA39" s="318"/>
      <c r="CB39" s="318"/>
    </row>
    <row r="40" spans="1:98" s="262" customFormat="1" ht="24.75" customHeight="1" x14ac:dyDescent="0.2">
      <c r="A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AE40" s="280"/>
      <c r="AS40" s="291"/>
      <c r="BF40" s="319">
        <f>SUM(AS39+BF39)</f>
        <v>138000000</v>
      </c>
      <c r="BG40" s="284">
        <f>AF39-AS39-BF39</f>
        <v>0</v>
      </c>
      <c r="BH40" s="320">
        <f>SUM(BI39+AS39+BF39)</f>
        <v>165600000</v>
      </c>
      <c r="BI40" s="285">
        <f>SUM(BG39)</f>
        <v>0</v>
      </c>
      <c r="BJ40" s="371" t="s">
        <v>38</v>
      </c>
      <c r="BK40" s="280"/>
      <c r="BL40" s="260"/>
      <c r="BM40" s="260"/>
      <c r="BN40" s="260"/>
      <c r="BO40" s="260"/>
      <c r="BP40" s="260"/>
      <c r="BQ40" s="260"/>
      <c r="BR40" s="260"/>
      <c r="BS40" s="260"/>
      <c r="BT40" s="260"/>
      <c r="BU40" s="260"/>
      <c r="BV40" s="260"/>
      <c r="BW40" s="260"/>
      <c r="BX40" s="260"/>
      <c r="BY40" s="260"/>
      <c r="BZ40" s="260"/>
      <c r="CA40" s="260"/>
      <c r="CB40" s="260"/>
      <c r="CC40" s="260"/>
    </row>
    <row r="41" spans="1:98" s="262" customFormat="1" ht="24.75" customHeight="1" x14ac:dyDescent="0.2">
      <c r="A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AE41" s="280"/>
      <c r="AS41" s="280"/>
      <c r="AT41" s="388">
        <f>SUM(AG39+AT39)</f>
        <v>33951375</v>
      </c>
      <c r="AU41" s="388">
        <f t="shared" ref="AU41:BE41" si="43">SUM(AH39+AU39)</f>
        <v>11317125</v>
      </c>
      <c r="AV41" s="388">
        <f t="shared" si="43"/>
        <v>11317125</v>
      </c>
      <c r="AW41" s="388">
        <f t="shared" si="43"/>
        <v>11317125</v>
      </c>
      <c r="AX41" s="388">
        <f t="shared" si="43"/>
        <v>11317125</v>
      </c>
      <c r="AY41" s="388">
        <f t="shared" si="43"/>
        <v>11317125</v>
      </c>
      <c r="AZ41" s="388">
        <f t="shared" si="43"/>
        <v>11317125</v>
      </c>
      <c r="BA41" s="388">
        <f t="shared" si="43"/>
        <v>11317125</v>
      </c>
      <c r="BB41" s="388">
        <f t="shared" si="43"/>
        <v>11317125</v>
      </c>
      <c r="BC41" s="388">
        <f t="shared" si="43"/>
        <v>11317125</v>
      </c>
      <c r="BD41" s="388">
        <f t="shared" si="43"/>
        <v>2194500</v>
      </c>
      <c r="BE41" s="388">
        <f t="shared" si="43"/>
        <v>0</v>
      </c>
      <c r="BF41" s="388">
        <f>SUM(AT41:BE41)</f>
        <v>138000000</v>
      </c>
      <c r="BG41" s="280"/>
      <c r="BH41" s="286"/>
      <c r="BI41" s="287">
        <f>SUM(BI39-BI40)</f>
        <v>27600000</v>
      </c>
      <c r="BJ41" s="371" t="s">
        <v>37</v>
      </c>
      <c r="BK41" s="280"/>
      <c r="BL41" s="260"/>
      <c r="BM41" s="260"/>
      <c r="BN41" s="260"/>
      <c r="BO41" s="260"/>
      <c r="BP41" s="260"/>
      <c r="BQ41" s="260"/>
      <c r="BR41" s="260"/>
      <c r="BS41" s="260"/>
      <c r="BT41" s="260"/>
      <c r="BU41" s="260"/>
      <c r="BV41" s="260"/>
      <c r="BW41" s="260"/>
      <c r="BX41" s="260"/>
      <c r="BY41" s="260"/>
      <c r="BZ41" s="260"/>
      <c r="CA41" s="260"/>
      <c r="CB41" s="260"/>
      <c r="CC41" s="260"/>
    </row>
    <row r="42" spans="1:98" s="262" customFormat="1" ht="16.5" customHeight="1" x14ac:dyDescent="0.2">
      <c r="A42" s="1754" t="s">
        <v>8</v>
      </c>
      <c r="B42" s="1755"/>
      <c r="C42" s="244" t="s">
        <v>76</v>
      </c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93"/>
      <c r="AF42" s="245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7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7"/>
      <c r="BG42" s="247"/>
      <c r="BH42" s="243"/>
      <c r="BI42" s="248"/>
      <c r="BJ42" s="372"/>
      <c r="BK42" s="246"/>
      <c r="BL42" s="246"/>
      <c r="BM42" s="246"/>
      <c r="BN42" s="246"/>
      <c r="BO42" s="246"/>
      <c r="BP42" s="293"/>
      <c r="BQ42" s="246"/>
      <c r="BR42" s="246"/>
      <c r="BS42" s="246"/>
      <c r="BT42" s="246"/>
      <c r="BU42" s="246"/>
      <c r="BV42" s="247"/>
      <c r="BW42" s="247"/>
      <c r="BX42" s="247"/>
      <c r="BY42" s="243"/>
      <c r="BZ42" s="248"/>
      <c r="CA42" s="247"/>
      <c r="CB42" s="247"/>
      <c r="CC42" s="260"/>
      <c r="CD42" s="260"/>
      <c r="CE42" s="260"/>
      <c r="CF42" s="260"/>
      <c r="CG42" s="260"/>
      <c r="CH42" s="261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</row>
    <row r="43" spans="1:98" s="264" customFormat="1" ht="48.75" customHeight="1" x14ac:dyDescent="0.2">
      <c r="A43" s="1756" t="s">
        <v>10</v>
      </c>
      <c r="B43" s="1759" t="s">
        <v>11</v>
      </c>
      <c r="C43" s="1759" t="s">
        <v>22</v>
      </c>
      <c r="D43" s="1762" t="s">
        <v>12</v>
      </c>
      <c r="E43" s="1762"/>
      <c r="F43" s="1762"/>
      <c r="G43" s="1762"/>
      <c r="H43" s="1762"/>
      <c r="I43" s="1762"/>
      <c r="J43" s="1762"/>
      <c r="K43" s="1762"/>
      <c r="L43" s="1762"/>
      <c r="M43" s="1762"/>
      <c r="N43" s="1762"/>
      <c r="O43" s="1762"/>
      <c r="P43" s="1762"/>
      <c r="Q43" s="1762"/>
      <c r="R43" s="1759" t="s">
        <v>20</v>
      </c>
      <c r="S43" s="1763" t="s">
        <v>17</v>
      </c>
      <c r="T43" s="1764"/>
      <c r="U43" s="1764"/>
      <c r="V43" s="1764"/>
      <c r="W43" s="1764"/>
      <c r="X43" s="1764"/>
      <c r="Y43" s="1764"/>
      <c r="Z43" s="1764"/>
      <c r="AA43" s="1764"/>
      <c r="AB43" s="1764"/>
      <c r="AC43" s="1764"/>
      <c r="AD43" s="1764"/>
      <c r="AE43" s="1765"/>
      <c r="AF43" s="1766" t="s">
        <v>6</v>
      </c>
      <c r="AG43" s="1766"/>
      <c r="AH43" s="1766"/>
      <c r="AI43" s="1766"/>
      <c r="AJ43" s="1766"/>
      <c r="AK43" s="1766"/>
      <c r="AL43" s="1766"/>
      <c r="AM43" s="1766"/>
      <c r="AN43" s="1766"/>
      <c r="AO43" s="1766"/>
      <c r="AP43" s="1766"/>
      <c r="AQ43" s="1766"/>
      <c r="AR43" s="1766"/>
      <c r="AS43" s="1766"/>
      <c r="AT43" s="1767" t="s">
        <v>41</v>
      </c>
      <c r="AU43" s="1768"/>
      <c r="AV43" s="1768"/>
      <c r="AW43" s="1768"/>
      <c r="AX43" s="1768"/>
      <c r="AY43" s="1768"/>
      <c r="AZ43" s="1768"/>
      <c r="BA43" s="1768"/>
      <c r="BB43" s="1768"/>
      <c r="BC43" s="1768"/>
      <c r="BD43" s="1768"/>
      <c r="BE43" s="1768"/>
      <c r="BF43" s="1769"/>
      <c r="BG43" s="1759" t="s">
        <v>38</v>
      </c>
      <c r="BH43" s="1759" t="s">
        <v>256</v>
      </c>
      <c r="BI43" s="1746" t="s">
        <v>39</v>
      </c>
      <c r="BJ43" s="243"/>
      <c r="BK43" s="245"/>
      <c r="BL43" s="245"/>
      <c r="BM43" s="245"/>
      <c r="BN43" s="245"/>
      <c r="BO43" s="245"/>
      <c r="BP43" s="245"/>
      <c r="BQ43" s="245"/>
      <c r="BR43" s="245"/>
      <c r="BS43" s="245"/>
      <c r="BT43" s="245"/>
      <c r="BU43" s="245"/>
      <c r="BV43" s="245"/>
      <c r="BW43" s="245"/>
      <c r="BX43" s="245"/>
      <c r="BY43" s="245"/>
      <c r="BZ43" s="245"/>
      <c r="CA43" s="263"/>
      <c r="CB43" s="263"/>
    </row>
    <row r="44" spans="1:98" s="264" customFormat="1" ht="48.75" customHeight="1" x14ac:dyDescent="0.2">
      <c r="A44" s="1757"/>
      <c r="B44" s="1760"/>
      <c r="C44" s="1760"/>
      <c r="D44" s="1749" t="s">
        <v>18</v>
      </c>
      <c r="E44" s="1751" t="s">
        <v>19</v>
      </c>
      <c r="F44" s="1752"/>
      <c r="G44" s="1752"/>
      <c r="H44" s="1752"/>
      <c r="I44" s="1752"/>
      <c r="J44" s="1752"/>
      <c r="K44" s="1752"/>
      <c r="L44" s="1752"/>
      <c r="M44" s="1752"/>
      <c r="N44" s="1752"/>
      <c r="O44" s="1752"/>
      <c r="P44" s="1752"/>
      <c r="Q44" s="1752"/>
      <c r="R44" s="1760"/>
      <c r="S44" s="1749" t="s">
        <v>18</v>
      </c>
      <c r="T44" s="1751" t="s">
        <v>19</v>
      </c>
      <c r="U44" s="1752"/>
      <c r="V44" s="1752"/>
      <c r="W44" s="1752"/>
      <c r="X44" s="1752"/>
      <c r="Y44" s="1752"/>
      <c r="Z44" s="1752"/>
      <c r="AA44" s="1752"/>
      <c r="AB44" s="1752"/>
      <c r="AC44" s="1752"/>
      <c r="AD44" s="1752"/>
      <c r="AE44" s="1753"/>
      <c r="AF44" s="1749" t="s">
        <v>18</v>
      </c>
      <c r="AG44" s="1751" t="s">
        <v>19</v>
      </c>
      <c r="AH44" s="1752"/>
      <c r="AI44" s="1752"/>
      <c r="AJ44" s="1752"/>
      <c r="AK44" s="1752"/>
      <c r="AL44" s="1752"/>
      <c r="AM44" s="1752"/>
      <c r="AN44" s="1752"/>
      <c r="AO44" s="1752"/>
      <c r="AP44" s="1752"/>
      <c r="AQ44" s="1752"/>
      <c r="AR44" s="1752"/>
      <c r="AS44" s="1753"/>
      <c r="AT44" s="1770"/>
      <c r="AU44" s="1771"/>
      <c r="AV44" s="1771"/>
      <c r="AW44" s="1771"/>
      <c r="AX44" s="1771"/>
      <c r="AY44" s="1771"/>
      <c r="AZ44" s="1771"/>
      <c r="BA44" s="1771"/>
      <c r="BB44" s="1771"/>
      <c r="BC44" s="1771"/>
      <c r="BD44" s="1771"/>
      <c r="BE44" s="1771"/>
      <c r="BF44" s="1772"/>
      <c r="BG44" s="1760"/>
      <c r="BH44" s="1760"/>
      <c r="BI44" s="1747"/>
      <c r="BJ44" s="243"/>
      <c r="BK44" s="245"/>
      <c r="BL44" s="245"/>
      <c r="BM44" s="245"/>
      <c r="BN44" s="245"/>
      <c r="BO44" s="245"/>
      <c r="BP44" s="245"/>
      <c r="BQ44" s="245"/>
      <c r="BR44" s="245"/>
      <c r="BS44" s="245"/>
      <c r="BT44" s="245"/>
      <c r="BU44" s="245"/>
      <c r="BV44" s="245"/>
      <c r="BW44" s="245"/>
      <c r="BX44" s="245"/>
      <c r="BY44" s="245"/>
      <c r="BZ44" s="245"/>
      <c r="CA44" s="263"/>
      <c r="CB44" s="263"/>
    </row>
    <row r="45" spans="1:98" s="269" customFormat="1" ht="28.5" customHeight="1" x14ac:dyDescent="0.2">
      <c r="A45" s="1758"/>
      <c r="B45" s="1761"/>
      <c r="C45" s="1761"/>
      <c r="D45" s="1750"/>
      <c r="E45" s="265">
        <v>1</v>
      </c>
      <c r="F45" s="265">
        <v>2</v>
      </c>
      <c r="G45" s="265">
        <v>3</v>
      </c>
      <c r="H45" s="265">
        <v>4</v>
      </c>
      <c r="I45" s="265">
        <v>5</v>
      </c>
      <c r="J45" s="265">
        <v>6</v>
      </c>
      <c r="K45" s="265">
        <v>7</v>
      </c>
      <c r="L45" s="265">
        <v>8</v>
      </c>
      <c r="M45" s="265">
        <v>9</v>
      </c>
      <c r="N45" s="265">
        <v>10</v>
      </c>
      <c r="O45" s="265">
        <v>11</v>
      </c>
      <c r="P45" s="265">
        <v>12</v>
      </c>
      <c r="Q45" s="265" t="s">
        <v>21</v>
      </c>
      <c r="R45" s="1761"/>
      <c r="S45" s="1750"/>
      <c r="T45" s="265">
        <v>1</v>
      </c>
      <c r="U45" s="265">
        <v>2</v>
      </c>
      <c r="V45" s="265">
        <v>3</v>
      </c>
      <c r="W45" s="265">
        <v>4</v>
      </c>
      <c r="X45" s="265">
        <v>5</v>
      </c>
      <c r="Y45" s="265">
        <v>6</v>
      </c>
      <c r="Z45" s="265">
        <v>7</v>
      </c>
      <c r="AA45" s="265">
        <v>8</v>
      </c>
      <c r="AB45" s="265">
        <v>9</v>
      </c>
      <c r="AC45" s="265">
        <v>10</v>
      </c>
      <c r="AD45" s="265">
        <v>11</v>
      </c>
      <c r="AE45" s="265">
        <v>12</v>
      </c>
      <c r="AF45" s="1750"/>
      <c r="AG45" s="265">
        <v>1</v>
      </c>
      <c r="AH45" s="265">
        <v>2</v>
      </c>
      <c r="AI45" s="265">
        <v>3</v>
      </c>
      <c r="AJ45" s="265">
        <v>4</v>
      </c>
      <c r="AK45" s="265">
        <v>5</v>
      </c>
      <c r="AL45" s="265">
        <v>6</v>
      </c>
      <c r="AM45" s="265">
        <v>7</v>
      </c>
      <c r="AN45" s="265">
        <v>8</v>
      </c>
      <c r="AO45" s="265">
        <v>9</v>
      </c>
      <c r="AP45" s="265">
        <v>10</v>
      </c>
      <c r="AQ45" s="265">
        <v>11</v>
      </c>
      <c r="AR45" s="265">
        <v>12</v>
      </c>
      <c r="AS45" s="265" t="s">
        <v>13</v>
      </c>
      <c r="AT45" s="266">
        <v>1</v>
      </c>
      <c r="AU45" s="266">
        <v>2</v>
      </c>
      <c r="AV45" s="266">
        <v>3</v>
      </c>
      <c r="AW45" s="266">
        <v>4</v>
      </c>
      <c r="AX45" s="266">
        <v>5</v>
      </c>
      <c r="AY45" s="266">
        <v>6</v>
      </c>
      <c r="AZ45" s="266">
        <v>7</v>
      </c>
      <c r="BA45" s="266">
        <v>8</v>
      </c>
      <c r="BB45" s="266">
        <v>9</v>
      </c>
      <c r="BC45" s="266">
        <v>10</v>
      </c>
      <c r="BD45" s="266">
        <v>11</v>
      </c>
      <c r="BE45" s="266">
        <v>12</v>
      </c>
      <c r="BF45" s="265" t="s">
        <v>13</v>
      </c>
      <c r="BG45" s="1761"/>
      <c r="BH45" s="1761"/>
      <c r="BI45" s="1748"/>
      <c r="BJ45" s="267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</row>
    <row r="46" spans="1:98" s="267" customFormat="1" ht="24.75" customHeight="1" thickBot="1" x14ac:dyDescent="0.25">
      <c r="A46" s="340"/>
      <c r="B46" s="341" t="s">
        <v>273</v>
      </c>
      <c r="C46" s="281" t="s">
        <v>25</v>
      </c>
      <c r="D46" s="251">
        <v>48</v>
      </c>
      <c r="E46" s="251">
        <v>6</v>
      </c>
      <c r="F46" s="342">
        <v>2</v>
      </c>
      <c r="G46" s="342">
        <v>2</v>
      </c>
      <c r="H46" s="342">
        <v>2</v>
      </c>
      <c r="I46" s="342">
        <v>2</v>
      </c>
      <c r="J46" s="342">
        <v>2</v>
      </c>
      <c r="K46" s="1207">
        <v>2</v>
      </c>
      <c r="L46" s="576">
        <v>2</v>
      </c>
      <c r="M46" s="576">
        <v>2</v>
      </c>
      <c r="N46" s="576">
        <v>2</v>
      </c>
      <c r="O46" s="342">
        <v>2</v>
      </c>
      <c r="P46" s="342"/>
      <c r="Q46" s="343">
        <v>24</v>
      </c>
      <c r="R46" s="252" t="s">
        <v>68</v>
      </c>
      <c r="S46" s="332">
        <v>2135000</v>
      </c>
      <c r="T46" s="332">
        <v>2098425</v>
      </c>
      <c r="U46" s="332">
        <v>2098425</v>
      </c>
      <c r="V46" s="332">
        <v>2098425</v>
      </c>
      <c r="W46" s="332">
        <v>2098425</v>
      </c>
      <c r="X46" s="332">
        <v>2098425</v>
      </c>
      <c r="Y46" s="332">
        <v>2098425</v>
      </c>
      <c r="Z46" s="1208">
        <v>2098425</v>
      </c>
      <c r="AA46" s="332">
        <v>2098425</v>
      </c>
      <c r="AB46" s="1330">
        <v>2098425</v>
      </c>
      <c r="AC46" s="1412">
        <v>2098425</v>
      </c>
      <c r="AD46" s="332">
        <v>438900</v>
      </c>
      <c r="AE46" s="332"/>
      <c r="AF46" s="271">
        <f t="shared" ref="AF46" si="44">SUM(Q46*S46)</f>
        <v>51240000</v>
      </c>
      <c r="AG46" s="272">
        <f>T46*E46</f>
        <v>12590550</v>
      </c>
      <c r="AH46" s="272">
        <f>U46*F46</f>
        <v>4196850</v>
      </c>
      <c r="AI46" s="272">
        <f t="shared" ref="AI46:AR46" si="45">V46*G46</f>
        <v>4196850</v>
      </c>
      <c r="AJ46" s="272">
        <f t="shared" si="45"/>
        <v>4196850</v>
      </c>
      <c r="AK46" s="272">
        <f t="shared" si="45"/>
        <v>4196850</v>
      </c>
      <c r="AL46" s="272">
        <f t="shared" si="45"/>
        <v>4196850</v>
      </c>
      <c r="AM46" s="1188">
        <f t="shared" si="45"/>
        <v>4196850</v>
      </c>
      <c r="AN46" s="272">
        <f t="shared" si="45"/>
        <v>4196850</v>
      </c>
      <c r="AO46" s="1199">
        <f t="shared" si="45"/>
        <v>4196850</v>
      </c>
      <c r="AP46" s="272">
        <f t="shared" si="45"/>
        <v>4196850</v>
      </c>
      <c r="AQ46" s="272">
        <f t="shared" si="45"/>
        <v>877800</v>
      </c>
      <c r="AR46" s="272">
        <f t="shared" si="45"/>
        <v>0</v>
      </c>
      <c r="AS46" s="273">
        <f t="shared" ref="AS46" si="46">SUM(AG46:AR46)</f>
        <v>51240000</v>
      </c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99">
        <f>SUM(AT46:BE46)</f>
        <v>0</v>
      </c>
      <c r="BG46" s="344">
        <f>AF46-AS46-BF46</f>
        <v>0</v>
      </c>
      <c r="BH46" s="345">
        <f>S46*D46</f>
        <v>102480000</v>
      </c>
      <c r="BI46" s="346">
        <f>BH46-AS46-BF46</f>
        <v>51240000</v>
      </c>
      <c r="BJ46" s="373">
        <f>SUM(Q46/D46)</f>
        <v>0.5</v>
      </c>
      <c r="BK46" s="277"/>
      <c r="BL46" s="277"/>
      <c r="BM46" s="277"/>
      <c r="BN46" s="277"/>
      <c r="BO46" s="277"/>
      <c r="BP46" s="347"/>
      <c r="BQ46" s="347"/>
      <c r="BR46" s="347"/>
      <c r="BS46" s="347"/>
      <c r="BT46" s="347"/>
      <c r="BU46" s="347"/>
      <c r="BV46" s="347"/>
      <c r="BW46" s="347"/>
      <c r="BX46" s="347"/>
      <c r="BY46" s="347"/>
      <c r="BZ46" s="347"/>
      <c r="CA46" s="347"/>
      <c r="CB46" s="347"/>
    </row>
    <row r="47" spans="1:98" s="282" customFormat="1" ht="24.75" customHeight="1" thickBot="1" x14ac:dyDescent="0.25">
      <c r="A47" s="554">
        <v>6</v>
      </c>
      <c r="B47" s="308" t="s">
        <v>4</v>
      </c>
      <c r="C47" s="308"/>
      <c r="D47" s="309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1"/>
      <c r="R47" s="312"/>
      <c r="S47" s="309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9">
        <f>SUM(AF46:AF46)</f>
        <v>51240000</v>
      </c>
      <c r="AG47" s="349">
        <f>SUM(AG46:AG46)</f>
        <v>12590550</v>
      </c>
      <c r="AH47" s="349">
        <f>SUM(AH46:AH46)</f>
        <v>4196850</v>
      </c>
      <c r="AI47" s="349">
        <f t="shared" ref="AI47:AR47" si="47">SUM(AI46:AI46)</f>
        <v>4196850</v>
      </c>
      <c r="AJ47" s="349">
        <f t="shared" si="47"/>
        <v>4196850</v>
      </c>
      <c r="AK47" s="349">
        <f t="shared" si="47"/>
        <v>4196850</v>
      </c>
      <c r="AL47" s="349">
        <f t="shared" si="47"/>
        <v>4196850</v>
      </c>
      <c r="AM47" s="349">
        <f t="shared" si="47"/>
        <v>4196850</v>
      </c>
      <c r="AN47" s="349">
        <f t="shared" si="47"/>
        <v>4196850</v>
      </c>
      <c r="AO47" s="349">
        <f t="shared" si="47"/>
        <v>4196850</v>
      </c>
      <c r="AP47" s="349">
        <f t="shared" si="47"/>
        <v>4196850</v>
      </c>
      <c r="AQ47" s="349">
        <f t="shared" si="47"/>
        <v>877800</v>
      </c>
      <c r="AR47" s="349">
        <f t="shared" si="47"/>
        <v>0</v>
      </c>
      <c r="AS47" s="349">
        <f>SUM(AS46:AS46)</f>
        <v>51240000</v>
      </c>
      <c r="AT47" s="349">
        <f>SUM(AT46:AT46)</f>
        <v>0</v>
      </c>
      <c r="AU47" s="349">
        <f t="shared" ref="AU47:BE47" si="48">SUM(AU46:AU46)</f>
        <v>0</v>
      </c>
      <c r="AV47" s="349">
        <f t="shared" si="48"/>
        <v>0</v>
      </c>
      <c r="AW47" s="349">
        <f t="shared" si="48"/>
        <v>0</v>
      </c>
      <c r="AX47" s="349">
        <f t="shared" si="48"/>
        <v>0</v>
      </c>
      <c r="AY47" s="349">
        <f t="shared" si="48"/>
        <v>0</v>
      </c>
      <c r="AZ47" s="349">
        <f t="shared" si="48"/>
        <v>0</v>
      </c>
      <c r="BA47" s="349">
        <f t="shared" si="48"/>
        <v>0</v>
      </c>
      <c r="BB47" s="349">
        <f t="shared" si="48"/>
        <v>0</v>
      </c>
      <c r="BC47" s="349">
        <f t="shared" si="48"/>
        <v>0</v>
      </c>
      <c r="BD47" s="349">
        <f t="shared" si="48"/>
        <v>0</v>
      </c>
      <c r="BE47" s="349">
        <f t="shared" si="48"/>
        <v>0</v>
      </c>
      <c r="BF47" s="349">
        <f>SUM(BF46:BF46)</f>
        <v>0</v>
      </c>
      <c r="BG47" s="350">
        <f>AF47-AS47-BF47</f>
        <v>0</v>
      </c>
      <c r="BH47" s="349">
        <f>SUM(BH46:BH46)</f>
        <v>102480000</v>
      </c>
      <c r="BI47" s="349">
        <f>SUM(BI46:BI46)</f>
        <v>51240000</v>
      </c>
      <c r="BJ47" s="375">
        <v>1</v>
      </c>
      <c r="BK47" s="318"/>
      <c r="BL47" s="318"/>
      <c r="BM47" s="318"/>
      <c r="BN47" s="318"/>
      <c r="BO47" s="318"/>
      <c r="BP47" s="318"/>
      <c r="BQ47" s="318"/>
      <c r="BR47" s="318"/>
      <c r="BS47" s="318"/>
      <c r="BT47" s="318"/>
      <c r="BU47" s="318"/>
      <c r="BV47" s="318"/>
      <c r="BW47" s="318"/>
      <c r="BX47" s="318"/>
      <c r="BY47" s="318"/>
      <c r="BZ47" s="318"/>
      <c r="CA47" s="318"/>
      <c r="CB47" s="318"/>
    </row>
    <row r="48" spans="1:98" s="262" customFormat="1" ht="24.75" customHeight="1" x14ac:dyDescent="0.2">
      <c r="A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AE48" s="280"/>
      <c r="AS48" s="291"/>
      <c r="BF48" s="319">
        <f>SUM(AS47+BF47)</f>
        <v>51240000</v>
      </c>
      <c r="BG48" s="284">
        <f>AF47-AS47-BF47</f>
        <v>0</v>
      </c>
      <c r="BH48" s="320">
        <f>SUM(BI47+AS47+BF47)</f>
        <v>102480000</v>
      </c>
      <c r="BI48" s="285">
        <f>SUM(BG47)</f>
        <v>0</v>
      </c>
      <c r="BJ48" s="371" t="s">
        <v>38</v>
      </c>
      <c r="BK48" s="28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</row>
    <row r="49" spans="1:98" s="262" customFormat="1" ht="24.75" customHeight="1" x14ac:dyDescent="0.2">
      <c r="A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AE49" s="280"/>
      <c r="AS49" s="280"/>
      <c r="AT49" s="388">
        <f>SUM(AG47+AT47)</f>
        <v>12590550</v>
      </c>
      <c r="AU49" s="388">
        <f t="shared" ref="AU49:BE49" si="49">SUM(AH47+AU47)</f>
        <v>4196850</v>
      </c>
      <c r="AV49" s="388">
        <f t="shared" si="49"/>
        <v>4196850</v>
      </c>
      <c r="AW49" s="388">
        <f t="shared" si="49"/>
        <v>4196850</v>
      </c>
      <c r="AX49" s="388">
        <f t="shared" si="49"/>
        <v>4196850</v>
      </c>
      <c r="AY49" s="388">
        <f t="shared" si="49"/>
        <v>4196850</v>
      </c>
      <c r="AZ49" s="388">
        <f t="shared" si="49"/>
        <v>4196850</v>
      </c>
      <c r="BA49" s="388">
        <f t="shared" si="49"/>
        <v>4196850</v>
      </c>
      <c r="BB49" s="388">
        <f t="shared" si="49"/>
        <v>4196850</v>
      </c>
      <c r="BC49" s="388">
        <f t="shared" si="49"/>
        <v>4196850</v>
      </c>
      <c r="BD49" s="388">
        <f t="shared" si="49"/>
        <v>877800</v>
      </c>
      <c r="BE49" s="388">
        <f t="shared" si="49"/>
        <v>0</v>
      </c>
      <c r="BF49" s="388">
        <f>SUM(AT49:BE49)</f>
        <v>51240000</v>
      </c>
      <c r="BG49" s="280"/>
      <c r="BH49" s="286"/>
      <c r="BI49" s="287">
        <f>SUM(BI47-BI48)</f>
        <v>51240000</v>
      </c>
      <c r="BJ49" s="371" t="s">
        <v>37</v>
      </c>
      <c r="BK49" s="28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</row>
    <row r="50" spans="1:98" s="262" customFormat="1" ht="16.5" customHeight="1" x14ac:dyDescent="0.2">
      <c r="A50" s="1754" t="s">
        <v>8</v>
      </c>
      <c r="B50" s="1755"/>
      <c r="C50" s="244" t="s">
        <v>70</v>
      </c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93"/>
      <c r="AF50" s="245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7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7"/>
      <c r="BG50" s="247"/>
      <c r="BH50" s="243"/>
      <c r="BI50" s="248"/>
      <c r="BJ50" s="372"/>
      <c r="BK50" s="246"/>
      <c r="BL50" s="246"/>
      <c r="BM50" s="246"/>
      <c r="BN50" s="246"/>
      <c r="BO50" s="246"/>
      <c r="BP50" s="293"/>
      <c r="BQ50" s="246"/>
      <c r="BR50" s="246"/>
      <c r="BS50" s="246"/>
      <c r="BT50" s="246"/>
      <c r="BU50" s="246"/>
      <c r="BV50" s="247"/>
      <c r="BW50" s="247"/>
      <c r="BX50" s="247"/>
      <c r="BY50" s="243"/>
      <c r="BZ50" s="248"/>
      <c r="CA50" s="247"/>
      <c r="CB50" s="247"/>
      <c r="CC50" s="260"/>
      <c r="CD50" s="260"/>
      <c r="CE50" s="260"/>
      <c r="CF50" s="260"/>
      <c r="CG50" s="260"/>
      <c r="CH50" s="261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</row>
    <row r="51" spans="1:98" s="264" customFormat="1" ht="48.75" customHeight="1" x14ac:dyDescent="0.2">
      <c r="A51" s="1756" t="s">
        <v>10</v>
      </c>
      <c r="B51" s="1759" t="s">
        <v>11</v>
      </c>
      <c r="C51" s="1759" t="s">
        <v>22</v>
      </c>
      <c r="D51" s="1762" t="s">
        <v>12</v>
      </c>
      <c r="E51" s="1762"/>
      <c r="F51" s="1762"/>
      <c r="G51" s="1762"/>
      <c r="H51" s="1762"/>
      <c r="I51" s="1762"/>
      <c r="J51" s="1762"/>
      <c r="K51" s="1762"/>
      <c r="L51" s="1762"/>
      <c r="M51" s="1762"/>
      <c r="N51" s="1762"/>
      <c r="O51" s="1762"/>
      <c r="P51" s="1762"/>
      <c r="Q51" s="1762"/>
      <c r="R51" s="1759" t="s">
        <v>20</v>
      </c>
      <c r="S51" s="1763" t="s">
        <v>17</v>
      </c>
      <c r="T51" s="1764"/>
      <c r="U51" s="1764"/>
      <c r="V51" s="1764"/>
      <c r="W51" s="1764"/>
      <c r="X51" s="1764"/>
      <c r="Y51" s="1764"/>
      <c r="Z51" s="1764"/>
      <c r="AA51" s="1764"/>
      <c r="AB51" s="1764"/>
      <c r="AC51" s="1764"/>
      <c r="AD51" s="1764"/>
      <c r="AE51" s="1765"/>
      <c r="AF51" s="1766" t="s">
        <v>6</v>
      </c>
      <c r="AG51" s="1766"/>
      <c r="AH51" s="1766"/>
      <c r="AI51" s="1766"/>
      <c r="AJ51" s="1766"/>
      <c r="AK51" s="1766"/>
      <c r="AL51" s="1766"/>
      <c r="AM51" s="1766"/>
      <c r="AN51" s="1766"/>
      <c r="AO51" s="1766"/>
      <c r="AP51" s="1766"/>
      <c r="AQ51" s="1766"/>
      <c r="AR51" s="1766"/>
      <c r="AS51" s="1766"/>
      <c r="AT51" s="1767" t="s">
        <v>41</v>
      </c>
      <c r="AU51" s="1768"/>
      <c r="AV51" s="1768"/>
      <c r="AW51" s="1768"/>
      <c r="AX51" s="1768"/>
      <c r="AY51" s="1768"/>
      <c r="AZ51" s="1768"/>
      <c r="BA51" s="1768"/>
      <c r="BB51" s="1768"/>
      <c r="BC51" s="1768"/>
      <c r="BD51" s="1768"/>
      <c r="BE51" s="1768"/>
      <c r="BF51" s="1769"/>
      <c r="BG51" s="1759" t="s">
        <v>38</v>
      </c>
      <c r="BH51" s="1759" t="s">
        <v>256</v>
      </c>
      <c r="BI51" s="1746" t="s">
        <v>39</v>
      </c>
      <c r="BJ51" s="243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63"/>
      <c r="CB51" s="263"/>
    </row>
    <row r="52" spans="1:98" s="264" customFormat="1" ht="48.75" customHeight="1" x14ac:dyDescent="0.2">
      <c r="A52" s="1757"/>
      <c r="B52" s="1760"/>
      <c r="C52" s="1760"/>
      <c r="D52" s="1749" t="s">
        <v>18</v>
      </c>
      <c r="E52" s="1751" t="s">
        <v>19</v>
      </c>
      <c r="F52" s="1752"/>
      <c r="G52" s="1752"/>
      <c r="H52" s="1752"/>
      <c r="I52" s="1752"/>
      <c r="J52" s="1752"/>
      <c r="K52" s="1752"/>
      <c r="L52" s="1752"/>
      <c r="M52" s="1752"/>
      <c r="N52" s="1752"/>
      <c r="O52" s="1752"/>
      <c r="P52" s="1752"/>
      <c r="Q52" s="1752"/>
      <c r="R52" s="1760"/>
      <c r="S52" s="1749" t="s">
        <v>18</v>
      </c>
      <c r="T52" s="1751" t="s">
        <v>19</v>
      </c>
      <c r="U52" s="1752"/>
      <c r="V52" s="1752"/>
      <c r="W52" s="1752"/>
      <c r="X52" s="1752"/>
      <c r="Y52" s="1752"/>
      <c r="Z52" s="1752"/>
      <c r="AA52" s="1752"/>
      <c r="AB52" s="1752"/>
      <c r="AC52" s="1752"/>
      <c r="AD52" s="1752"/>
      <c r="AE52" s="1753"/>
      <c r="AF52" s="1749" t="s">
        <v>18</v>
      </c>
      <c r="AG52" s="1751" t="s">
        <v>19</v>
      </c>
      <c r="AH52" s="1752"/>
      <c r="AI52" s="1752"/>
      <c r="AJ52" s="1752"/>
      <c r="AK52" s="1752"/>
      <c r="AL52" s="1752"/>
      <c r="AM52" s="1752"/>
      <c r="AN52" s="1752"/>
      <c r="AO52" s="1752"/>
      <c r="AP52" s="1752"/>
      <c r="AQ52" s="1752"/>
      <c r="AR52" s="1752"/>
      <c r="AS52" s="1753"/>
      <c r="AT52" s="1770"/>
      <c r="AU52" s="1771"/>
      <c r="AV52" s="1771"/>
      <c r="AW52" s="1771"/>
      <c r="AX52" s="1771"/>
      <c r="AY52" s="1771"/>
      <c r="AZ52" s="1771"/>
      <c r="BA52" s="1771"/>
      <c r="BB52" s="1771"/>
      <c r="BC52" s="1771"/>
      <c r="BD52" s="1771"/>
      <c r="BE52" s="1771"/>
      <c r="BF52" s="1772"/>
      <c r="BG52" s="1760"/>
      <c r="BH52" s="1760"/>
      <c r="BI52" s="1747"/>
      <c r="BJ52" s="243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63"/>
      <c r="CB52" s="263"/>
    </row>
    <row r="53" spans="1:98" s="269" customFormat="1" ht="28.5" customHeight="1" x14ac:dyDescent="0.2">
      <c r="A53" s="1758"/>
      <c r="B53" s="1761"/>
      <c r="C53" s="1761"/>
      <c r="D53" s="1750"/>
      <c r="E53" s="265">
        <v>1</v>
      </c>
      <c r="F53" s="265">
        <v>2</v>
      </c>
      <c r="G53" s="265">
        <v>3</v>
      </c>
      <c r="H53" s="265">
        <v>4</v>
      </c>
      <c r="I53" s="265">
        <v>5</v>
      </c>
      <c r="J53" s="265">
        <v>6</v>
      </c>
      <c r="K53" s="265">
        <v>7</v>
      </c>
      <c r="L53" s="265">
        <v>8</v>
      </c>
      <c r="M53" s="265">
        <v>9</v>
      </c>
      <c r="N53" s="265">
        <v>10</v>
      </c>
      <c r="O53" s="265">
        <v>11</v>
      </c>
      <c r="P53" s="265">
        <v>12</v>
      </c>
      <c r="Q53" s="265" t="s">
        <v>21</v>
      </c>
      <c r="R53" s="1761"/>
      <c r="S53" s="1750"/>
      <c r="T53" s="265">
        <v>1</v>
      </c>
      <c r="U53" s="265">
        <v>2</v>
      </c>
      <c r="V53" s="265">
        <v>3</v>
      </c>
      <c r="W53" s="265">
        <v>4</v>
      </c>
      <c r="X53" s="265">
        <v>5</v>
      </c>
      <c r="Y53" s="265">
        <v>6</v>
      </c>
      <c r="Z53" s="265">
        <v>7</v>
      </c>
      <c r="AA53" s="265">
        <v>8</v>
      </c>
      <c r="AB53" s="265">
        <v>9</v>
      </c>
      <c r="AC53" s="265">
        <v>10</v>
      </c>
      <c r="AD53" s="265">
        <v>11</v>
      </c>
      <c r="AE53" s="265">
        <v>12</v>
      </c>
      <c r="AF53" s="1750"/>
      <c r="AG53" s="265">
        <v>1</v>
      </c>
      <c r="AH53" s="265">
        <v>2</v>
      </c>
      <c r="AI53" s="265">
        <v>3</v>
      </c>
      <c r="AJ53" s="265">
        <v>4</v>
      </c>
      <c r="AK53" s="265">
        <v>5</v>
      </c>
      <c r="AL53" s="265">
        <v>6</v>
      </c>
      <c r="AM53" s="265">
        <v>7</v>
      </c>
      <c r="AN53" s="265">
        <v>8</v>
      </c>
      <c r="AO53" s="265">
        <v>9</v>
      </c>
      <c r="AP53" s="265">
        <v>10</v>
      </c>
      <c r="AQ53" s="265">
        <v>11</v>
      </c>
      <c r="AR53" s="265">
        <v>12</v>
      </c>
      <c r="AS53" s="265" t="s">
        <v>13</v>
      </c>
      <c r="AT53" s="266">
        <v>1</v>
      </c>
      <c r="AU53" s="266">
        <v>2</v>
      </c>
      <c r="AV53" s="266">
        <v>3</v>
      </c>
      <c r="AW53" s="266">
        <v>4</v>
      </c>
      <c r="AX53" s="266">
        <v>5</v>
      </c>
      <c r="AY53" s="266">
        <v>6</v>
      </c>
      <c r="AZ53" s="266">
        <v>7</v>
      </c>
      <c r="BA53" s="266">
        <v>8</v>
      </c>
      <c r="BB53" s="266">
        <v>9</v>
      </c>
      <c r="BC53" s="266">
        <v>10</v>
      </c>
      <c r="BD53" s="266">
        <v>11</v>
      </c>
      <c r="BE53" s="266">
        <v>12</v>
      </c>
      <c r="BF53" s="265" t="s">
        <v>13</v>
      </c>
      <c r="BG53" s="1761"/>
      <c r="BH53" s="1761"/>
      <c r="BI53" s="1748"/>
      <c r="BJ53" s="267"/>
      <c r="BK53" s="268"/>
      <c r="BL53" s="268"/>
      <c r="BM53" s="268"/>
      <c r="BN53" s="268"/>
      <c r="BO53" s="268"/>
      <c r="BP53" s="268"/>
      <c r="BQ53" s="268"/>
      <c r="BR53" s="268"/>
      <c r="BS53" s="268"/>
      <c r="BT53" s="268"/>
      <c r="BU53" s="268"/>
      <c r="BV53" s="268"/>
      <c r="BW53" s="268"/>
      <c r="BX53" s="268"/>
      <c r="BY53" s="268"/>
      <c r="BZ53" s="268"/>
      <c r="CA53" s="268"/>
      <c r="CB53" s="268"/>
    </row>
    <row r="54" spans="1:98" s="328" customFormat="1" ht="24.75" customHeight="1" thickBot="1" x14ac:dyDescent="0.25">
      <c r="A54" s="340"/>
      <c r="B54" s="351" t="s">
        <v>81</v>
      </c>
      <c r="C54" s="281" t="s">
        <v>25</v>
      </c>
      <c r="D54" s="333">
        <v>12</v>
      </c>
      <c r="E54" s="333">
        <v>3</v>
      </c>
      <c r="F54" s="342">
        <v>1</v>
      </c>
      <c r="G54" s="342">
        <v>1</v>
      </c>
      <c r="H54" s="342">
        <v>1</v>
      </c>
      <c r="I54" s="342">
        <v>1</v>
      </c>
      <c r="J54" s="342">
        <v>1</v>
      </c>
      <c r="K54" s="1207">
        <v>1</v>
      </c>
      <c r="L54" s="576">
        <v>1</v>
      </c>
      <c r="M54" s="576">
        <v>1</v>
      </c>
      <c r="N54" s="576">
        <v>1</v>
      </c>
      <c r="O54" s="342"/>
      <c r="P54" s="342"/>
      <c r="Q54" s="343">
        <f>SUM(E54:P54)</f>
        <v>12</v>
      </c>
      <c r="R54" s="334" t="s">
        <v>68</v>
      </c>
      <c r="S54" s="332">
        <v>700000</v>
      </c>
      <c r="T54" s="332">
        <v>700000</v>
      </c>
      <c r="U54" s="332">
        <v>700000</v>
      </c>
      <c r="V54" s="332">
        <v>700000</v>
      </c>
      <c r="W54" s="332">
        <v>700000</v>
      </c>
      <c r="X54" s="332">
        <v>700000</v>
      </c>
      <c r="Y54" s="332">
        <v>700000</v>
      </c>
      <c r="Z54" s="332">
        <v>700000</v>
      </c>
      <c r="AA54" s="332">
        <v>700000</v>
      </c>
      <c r="AB54" s="1330">
        <v>700000</v>
      </c>
      <c r="AC54" s="332">
        <v>700000</v>
      </c>
      <c r="AD54" s="332"/>
      <c r="AE54" s="332"/>
      <c r="AF54" s="271">
        <f t="shared" ref="AF54" si="50">SUM(Q54*S54)</f>
        <v>8400000</v>
      </c>
      <c r="AG54" s="272">
        <f>T54*E54</f>
        <v>2100000</v>
      </c>
      <c r="AH54" s="272">
        <f>U54*F54</f>
        <v>700000</v>
      </c>
      <c r="AI54" s="272">
        <f>V54*G54</f>
        <v>700000</v>
      </c>
      <c r="AJ54" s="272">
        <f t="shared" ref="AJ54:AR54" si="51">W54*H54</f>
        <v>700000</v>
      </c>
      <c r="AK54" s="272">
        <f t="shared" si="51"/>
        <v>700000</v>
      </c>
      <c r="AL54" s="272">
        <f t="shared" si="51"/>
        <v>700000</v>
      </c>
      <c r="AM54" s="1213">
        <v>700000</v>
      </c>
      <c r="AN54" s="272">
        <f t="shared" si="51"/>
        <v>700000</v>
      </c>
      <c r="AO54" s="1199">
        <f t="shared" si="51"/>
        <v>700000</v>
      </c>
      <c r="AP54" s="272">
        <f t="shared" si="51"/>
        <v>700000</v>
      </c>
      <c r="AQ54" s="272">
        <f t="shared" si="51"/>
        <v>0</v>
      </c>
      <c r="AR54" s="272">
        <f t="shared" si="51"/>
        <v>0</v>
      </c>
      <c r="AS54" s="273">
        <f t="shared" ref="AS54" si="52">SUM(AG54:AR54)</f>
        <v>8400000</v>
      </c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99">
        <f>SUM(AT54:BE54)</f>
        <v>0</v>
      </c>
      <c r="BG54" s="344">
        <f>AF54-AS54-BF54</f>
        <v>0</v>
      </c>
      <c r="BH54" s="345">
        <f>S54*D54</f>
        <v>8400000</v>
      </c>
      <c r="BI54" s="346">
        <f>BH54-AS54-BF54</f>
        <v>0</v>
      </c>
      <c r="BJ54" s="373">
        <f>SUM(Q54/D54)</f>
        <v>1</v>
      </c>
      <c r="BK54" s="277"/>
      <c r="BL54" s="277"/>
      <c r="BM54" s="277"/>
      <c r="BN54" s="277"/>
      <c r="BO54" s="277"/>
      <c r="BP54" s="347"/>
      <c r="BQ54" s="347"/>
      <c r="BR54" s="347"/>
      <c r="BS54" s="347"/>
      <c r="BT54" s="347"/>
      <c r="BU54" s="347"/>
      <c r="BV54" s="347"/>
      <c r="BW54" s="347"/>
      <c r="BX54" s="347"/>
      <c r="BY54" s="347"/>
      <c r="BZ54" s="347"/>
      <c r="CA54" s="347"/>
      <c r="CB54" s="347"/>
    </row>
    <row r="55" spans="1:98" s="356" customFormat="1" ht="24.75" customHeight="1" thickBot="1" x14ac:dyDescent="0.25">
      <c r="A55" s="554">
        <v>7</v>
      </c>
      <c r="B55" s="352" t="s">
        <v>4</v>
      </c>
      <c r="C55" s="352"/>
      <c r="D55" s="353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1"/>
      <c r="R55" s="354"/>
      <c r="S55" s="353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49">
        <f>SUM(AF54:AF54)</f>
        <v>8400000</v>
      </c>
      <c r="AG55" s="349">
        <f>SUM(AG54:AG54)</f>
        <v>2100000</v>
      </c>
      <c r="AH55" s="349">
        <f>SUM(AH54:AH54)</f>
        <v>700000</v>
      </c>
      <c r="AI55" s="349">
        <f>SUM(AI54:AI54)</f>
        <v>700000</v>
      </c>
      <c r="AJ55" s="349">
        <f t="shared" ref="AJ55:AR55" si="53">SUM(AJ54:AJ54)</f>
        <v>700000</v>
      </c>
      <c r="AK55" s="349">
        <f t="shared" si="53"/>
        <v>700000</v>
      </c>
      <c r="AL55" s="349">
        <f t="shared" si="53"/>
        <v>700000</v>
      </c>
      <c r="AM55" s="349">
        <f t="shared" si="53"/>
        <v>700000</v>
      </c>
      <c r="AN55" s="349">
        <f t="shared" si="53"/>
        <v>700000</v>
      </c>
      <c r="AO55" s="349">
        <f t="shared" si="53"/>
        <v>700000</v>
      </c>
      <c r="AP55" s="349">
        <f t="shared" si="53"/>
        <v>700000</v>
      </c>
      <c r="AQ55" s="349">
        <f t="shared" si="53"/>
        <v>0</v>
      </c>
      <c r="AR55" s="349">
        <f t="shared" si="53"/>
        <v>0</v>
      </c>
      <c r="AS55" s="349">
        <f>SUM(AS54:AS54)</f>
        <v>8400000</v>
      </c>
      <c r="AT55" s="349">
        <f>SUM(AT54:AT54)</f>
        <v>0</v>
      </c>
      <c r="AU55" s="349">
        <f>SUM(AU54:AU54)</f>
        <v>0</v>
      </c>
      <c r="AV55" s="349">
        <f>SUM(AV54:AV54)</f>
        <v>0</v>
      </c>
      <c r="AW55" s="349">
        <f t="shared" ref="AW55:BE55" si="54">SUM(AW54:AW54)</f>
        <v>0</v>
      </c>
      <c r="AX55" s="349">
        <f t="shared" si="54"/>
        <v>0</v>
      </c>
      <c r="AY55" s="349">
        <f t="shared" si="54"/>
        <v>0</v>
      </c>
      <c r="AZ55" s="349">
        <f t="shared" si="54"/>
        <v>0</v>
      </c>
      <c r="BA55" s="349">
        <f t="shared" si="54"/>
        <v>0</v>
      </c>
      <c r="BB55" s="349">
        <f t="shared" si="54"/>
        <v>0</v>
      </c>
      <c r="BC55" s="349">
        <f t="shared" si="54"/>
        <v>0</v>
      </c>
      <c r="BD55" s="349">
        <f t="shared" si="54"/>
        <v>0</v>
      </c>
      <c r="BE55" s="349">
        <f t="shared" si="54"/>
        <v>0</v>
      </c>
      <c r="BF55" s="349">
        <f>SUM(BF54:BF54)</f>
        <v>0</v>
      </c>
      <c r="BG55" s="350">
        <f>AF55-AS55-BF55</f>
        <v>0</v>
      </c>
      <c r="BH55" s="349">
        <f>SUM(BH54:BH54)</f>
        <v>8400000</v>
      </c>
      <c r="BI55" s="349">
        <f>SUM(BI54:BI54)</f>
        <v>0</v>
      </c>
      <c r="BJ55" s="375">
        <f>SUM(BJ54)</f>
        <v>1</v>
      </c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  <c r="BU55" s="318"/>
      <c r="BV55" s="318"/>
      <c r="BW55" s="318"/>
      <c r="BX55" s="318"/>
      <c r="BY55" s="318"/>
      <c r="BZ55" s="318"/>
      <c r="CA55" s="318"/>
      <c r="CB55" s="318"/>
    </row>
    <row r="56" spans="1:98" s="262" customFormat="1" ht="24.75" customHeight="1" x14ac:dyDescent="0.2">
      <c r="A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AE56" s="280"/>
      <c r="AS56" s="291"/>
      <c r="BF56" s="319">
        <f>SUM(AS55+BF55)</f>
        <v>8400000</v>
      </c>
      <c r="BG56" s="284">
        <f>AF55-AS55-BF55</f>
        <v>0</v>
      </c>
      <c r="BH56" s="320">
        <f>SUM(BI55+AS55+BF55)</f>
        <v>8400000</v>
      </c>
      <c r="BI56" s="285">
        <f>SUM(BG55)</f>
        <v>0</v>
      </c>
      <c r="BJ56" s="371" t="s">
        <v>38</v>
      </c>
      <c r="BK56" s="280"/>
      <c r="BL56" s="260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60"/>
      <c r="BZ56" s="260"/>
      <c r="CA56" s="260"/>
      <c r="CB56" s="260"/>
      <c r="CC56" s="260"/>
    </row>
    <row r="57" spans="1:98" s="262" customFormat="1" ht="24.75" customHeight="1" x14ac:dyDescent="0.2">
      <c r="A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AE57" s="280"/>
      <c r="AS57" s="280"/>
      <c r="AT57" s="388">
        <f>SUM(AG55+AT55)</f>
        <v>2100000</v>
      </c>
      <c r="AU57" s="388">
        <f t="shared" ref="AU57:BE57" si="55">SUM(AH55+AU55)</f>
        <v>700000</v>
      </c>
      <c r="AV57" s="388">
        <f t="shared" si="55"/>
        <v>700000</v>
      </c>
      <c r="AW57" s="388">
        <f t="shared" si="55"/>
        <v>700000</v>
      </c>
      <c r="AX57" s="388">
        <f t="shared" si="55"/>
        <v>700000</v>
      </c>
      <c r="AY57" s="388">
        <f t="shared" si="55"/>
        <v>700000</v>
      </c>
      <c r="AZ57" s="388">
        <f t="shared" si="55"/>
        <v>700000</v>
      </c>
      <c r="BA57" s="388">
        <f t="shared" si="55"/>
        <v>700000</v>
      </c>
      <c r="BB57" s="388">
        <f t="shared" si="55"/>
        <v>700000</v>
      </c>
      <c r="BC57" s="388">
        <f t="shared" si="55"/>
        <v>700000</v>
      </c>
      <c r="BD57" s="388">
        <f t="shared" si="55"/>
        <v>0</v>
      </c>
      <c r="BE57" s="388">
        <f t="shared" si="55"/>
        <v>0</v>
      </c>
      <c r="BF57" s="388">
        <f>SUM(AT57:BE57)</f>
        <v>8400000</v>
      </c>
      <c r="BG57" s="280"/>
      <c r="BH57" s="286"/>
      <c r="BI57" s="287">
        <f>SUM(BI55-BI56)</f>
        <v>0</v>
      </c>
      <c r="BJ57" s="371" t="s">
        <v>37</v>
      </c>
      <c r="BK57" s="280"/>
      <c r="BL57" s="260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</row>
    <row r="58" spans="1:98" s="262" customFormat="1" ht="16.5" customHeight="1" x14ac:dyDescent="0.2">
      <c r="A58" s="1754" t="s">
        <v>8</v>
      </c>
      <c r="B58" s="1755"/>
      <c r="C58" s="244" t="s">
        <v>74</v>
      </c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93"/>
      <c r="AF58" s="245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7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7"/>
      <c r="BG58" s="247"/>
      <c r="BH58" s="243"/>
      <c r="BI58" s="248"/>
      <c r="BJ58" s="372"/>
      <c r="BK58" s="246"/>
      <c r="BL58" s="246"/>
      <c r="BM58" s="246"/>
      <c r="BN58" s="246"/>
      <c r="BO58" s="246"/>
      <c r="BP58" s="293"/>
      <c r="BQ58" s="246"/>
      <c r="BR58" s="246"/>
      <c r="BS58" s="246"/>
      <c r="BT58" s="246"/>
      <c r="BU58" s="246"/>
      <c r="BV58" s="247"/>
      <c r="BW58" s="247"/>
      <c r="BX58" s="247"/>
      <c r="BY58" s="243"/>
      <c r="BZ58" s="248"/>
      <c r="CA58" s="247"/>
      <c r="CB58" s="247"/>
      <c r="CC58" s="260"/>
      <c r="CD58" s="260"/>
      <c r="CE58" s="260"/>
      <c r="CF58" s="260"/>
      <c r="CG58" s="260"/>
      <c r="CH58" s="261"/>
      <c r="CI58" s="260"/>
      <c r="CJ58" s="260"/>
      <c r="CK58" s="260"/>
      <c r="CL58" s="260"/>
      <c r="CM58" s="260"/>
      <c r="CN58" s="260"/>
      <c r="CO58" s="260"/>
      <c r="CP58" s="260"/>
      <c r="CQ58" s="260"/>
      <c r="CR58" s="260"/>
      <c r="CS58" s="260"/>
      <c r="CT58" s="260"/>
    </row>
    <row r="59" spans="1:98" s="264" customFormat="1" ht="48.75" customHeight="1" x14ac:dyDescent="0.2">
      <c r="A59" s="1756" t="s">
        <v>10</v>
      </c>
      <c r="B59" s="1759" t="s">
        <v>11</v>
      </c>
      <c r="C59" s="1759" t="s">
        <v>22</v>
      </c>
      <c r="D59" s="1762" t="s">
        <v>12</v>
      </c>
      <c r="E59" s="1762"/>
      <c r="F59" s="1762"/>
      <c r="G59" s="1762"/>
      <c r="H59" s="1762"/>
      <c r="I59" s="1762"/>
      <c r="J59" s="1762"/>
      <c r="K59" s="1762"/>
      <c r="L59" s="1762"/>
      <c r="M59" s="1762"/>
      <c r="N59" s="1762"/>
      <c r="O59" s="1762"/>
      <c r="P59" s="1762"/>
      <c r="Q59" s="1762"/>
      <c r="R59" s="1759" t="s">
        <v>20</v>
      </c>
      <c r="S59" s="1763" t="s">
        <v>17</v>
      </c>
      <c r="T59" s="1764"/>
      <c r="U59" s="1764"/>
      <c r="V59" s="1764"/>
      <c r="W59" s="1764"/>
      <c r="X59" s="1764"/>
      <c r="Y59" s="1764"/>
      <c r="Z59" s="1764"/>
      <c r="AA59" s="1764"/>
      <c r="AB59" s="1764"/>
      <c r="AC59" s="1764"/>
      <c r="AD59" s="1764"/>
      <c r="AE59" s="1765"/>
      <c r="AF59" s="1766" t="s">
        <v>6</v>
      </c>
      <c r="AG59" s="1766"/>
      <c r="AH59" s="1766"/>
      <c r="AI59" s="1766"/>
      <c r="AJ59" s="1766"/>
      <c r="AK59" s="1766"/>
      <c r="AL59" s="1766"/>
      <c r="AM59" s="1766"/>
      <c r="AN59" s="1766"/>
      <c r="AO59" s="1766"/>
      <c r="AP59" s="1766"/>
      <c r="AQ59" s="1766"/>
      <c r="AR59" s="1766"/>
      <c r="AS59" s="1766"/>
      <c r="AT59" s="1767" t="s">
        <v>41</v>
      </c>
      <c r="AU59" s="1768"/>
      <c r="AV59" s="1768"/>
      <c r="AW59" s="1768"/>
      <c r="AX59" s="1768"/>
      <c r="AY59" s="1768"/>
      <c r="AZ59" s="1768"/>
      <c r="BA59" s="1768"/>
      <c r="BB59" s="1768"/>
      <c r="BC59" s="1768"/>
      <c r="BD59" s="1768"/>
      <c r="BE59" s="1768"/>
      <c r="BF59" s="1769"/>
      <c r="BG59" s="1759" t="s">
        <v>38</v>
      </c>
      <c r="BH59" s="1759" t="s">
        <v>256</v>
      </c>
      <c r="BI59" s="1746" t="s">
        <v>39</v>
      </c>
      <c r="BJ59" s="243"/>
      <c r="BK59" s="245"/>
      <c r="BL59" s="245"/>
      <c r="BM59" s="245"/>
      <c r="BN59" s="245"/>
      <c r="BO59" s="245"/>
      <c r="BP59" s="245"/>
      <c r="BQ59" s="245"/>
      <c r="BR59" s="245"/>
      <c r="BS59" s="245"/>
      <c r="BT59" s="245"/>
      <c r="BU59" s="245"/>
      <c r="BV59" s="245"/>
      <c r="BW59" s="245"/>
      <c r="BX59" s="245"/>
      <c r="BY59" s="245"/>
      <c r="BZ59" s="245"/>
      <c r="CA59" s="263"/>
      <c r="CB59" s="263"/>
    </row>
    <row r="60" spans="1:98" s="264" customFormat="1" ht="48.75" customHeight="1" x14ac:dyDescent="0.2">
      <c r="A60" s="1757"/>
      <c r="B60" s="1760"/>
      <c r="C60" s="1760"/>
      <c r="D60" s="1749" t="s">
        <v>18</v>
      </c>
      <c r="E60" s="1751" t="s">
        <v>19</v>
      </c>
      <c r="F60" s="1752"/>
      <c r="G60" s="1752"/>
      <c r="H60" s="1752"/>
      <c r="I60" s="1752"/>
      <c r="J60" s="1752"/>
      <c r="K60" s="1752"/>
      <c r="L60" s="1752"/>
      <c r="M60" s="1752"/>
      <c r="N60" s="1752"/>
      <c r="O60" s="1752"/>
      <c r="P60" s="1752"/>
      <c r="Q60" s="1752"/>
      <c r="R60" s="1760"/>
      <c r="S60" s="1749" t="s">
        <v>18</v>
      </c>
      <c r="T60" s="1751" t="s">
        <v>19</v>
      </c>
      <c r="U60" s="1752"/>
      <c r="V60" s="1752"/>
      <c r="W60" s="1752"/>
      <c r="X60" s="1752"/>
      <c r="Y60" s="1752"/>
      <c r="Z60" s="1752"/>
      <c r="AA60" s="1752"/>
      <c r="AB60" s="1752"/>
      <c r="AC60" s="1752"/>
      <c r="AD60" s="1752"/>
      <c r="AE60" s="1753"/>
      <c r="AF60" s="1749" t="s">
        <v>18</v>
      </c>
      <c r="AG60" s="1751" t="s">
        <v>19</v>
      </c>
      <c r="AH60" s="1752"/>
      <c r="AI60" s="1752"/>
      <c r="AJ60" s="1752"/>
      <c r="AK60" s="1752"/>
      <c r="AL60" s="1752"/>
      <c r="AM60" s="1752"/>
      <c r="AN60" s="1752"/>
      <c r="AO60" s="1752"/>
      <c r="AP60" s="1752"/>
      <c r="AQ60" s="1752"/>
      <c r="AR60" s="1752"/>
      <c r="AS60" s="1753"/>
      <c r="AT60" s="1770"/>
      <c r="AU60" s="1771"/>
      <c r="AV60" s="1771"/>
      <c r="AW60" s="1771"/>
      <c r="AX60" s="1771"/>
      <c r="AY60" s="1771"/>
      <c r="AZ60" s="1771"/>
      <c r="BA60" s="1771"/>
      <c r="BB60" s="1771"/>
      <c r="BC60" s="1771"/>
      <c r="BD60" s="1771"/>
      <c r="BE60" s="1771"/>
      <c r="BF60" s="1772"/>
      <c r="BG60" s="1760"/>
      <c r="BH60" s="1760"/>
      <c r="BI60" s="1747"/>
      <c r="BJ60" s="243"/>
      <c r="BK60" s="245"/>
      <c r="BL60" s="245"/>
      <c r="BM60" s="245"/>
      <c r="BN60" s="245"/>
      <c r="BO60" s="245"/>
      <c r="BP60" s="245"/>
      <c r="BQ60" s="245"/>
      <c r="BR60" s="245"/>
      <c r="BS60" s="245"/>
      <c r="BT60" s="245"/>
      <c r="BU60" s="245"/>
      <c r="BV60" s="245"/>
      <c r="BW60" s="245"/>
      <c r="BX60" s="245"/>
      <c r="BY60" s="245"/>
      <c r="BZ60" s="245"/>
      <c r="CA60" s="263"/>
      <c r="CB60" s="263"/>
    </row>
    <row r="61" spans="1:98" s="269" customFormat="1" ht="28.5" customHeight="1" x14ac:dyDescent="0.2">
      <c r="A61" s="1758"/>
      <c r="B61" s="1761"/>
      <c r="C61" s="1761"/>
      <c r="D61" s="1750"/>
      <c r="E61" s="265">
        <v>1</v>
      </c>
      <c r="F61" s="265">
        <v>2</v>
      </c>
      <c r="G61" s="265">
        <v>3</v>
      </c>
      <c r="H61" s="265">
        <v>4</v>
      </c>
      <c r="I61" s="265">
        <v>5</v>
      </c>
      <c r="J61" s="265">
        <v>6</v>
      </c>
      <c r="K61" s="265">
        <v>7</v>
      </c>
      <c r="L61" s="265">
        <v>8</v>
      </c>
      <c r="M61" s="265">
        <v>9</v>
      </c>
      <c r="N61" s="265">
        <v>10</v>
      </c>
      <c r="O61" s="265">
        <v>11</v>
      </c>
      <c r="P61" s="265">
        <v>12</v>
      </c>
      <c r="Q61" s="265" t="s">
        <v>21</v>
      </c>
      <c r="R61" s="1761"/>
      <c r="S61" s="1750"/>
      <c r="T61" s="265">
        <v>1</v>
      </c>
      <c r="U61" s="265">
        <v>2</v>
      </c>
      <c r="V61" s="265">
        <v>3</v>
      </c>
      <c r="W61" s="265">
        <v>4</v>
      </c>
      <c r="X61" s="265">
        <v>5</v>
      </c>
      <c r="Y61" s="265">
        <v>6</v>
      </c>
      <c r="Z61" s="265">
        <v>7</v>
      </c>
      <c r="AA61" s="265">
        <v>8</v>
      </c>
      <c r="AB61" s="265">
        <v>9</v>
      </c>
      <c r="AC61" s="265">
        <v>10</v>
      </c>
      <c r="AD61" s="265">
        <v>11</v>
      </c>
      <c r="AE61" s="265">
        <v>12</v>
      </c>
      <c r="AF61" s="1750"/>
      <c r="AG61" s="265">
        <v>1</v>
      </c>
      <c r="AH61" s="265">
        <v>2</v>
      </c>
      <c r="AI61" s="265">
        <v>3</v>
      </c>
      <c r="AJ61" s="265">
        <v>4</v>
      </c>
      <c r="AK61" s="265">
        <v>5</v>
      </c>
      <c r="AL61" s="265">
        <v>6</v>
      </c>
      <c r="AM61" s="265">
        <v>7</v>
      </c>
      <c r="AN61" s="265">
        <v>8</v>
      </c>
      <c r="AO61" s="265">
        <v>9</v>
      </c>
      <c r="AP61" s="265">
        <v>10</v>
      </c>
      <c r="AQ61" s="265">
        <v>11</v>
      </c>
      <c r="AR61" s="265">
        <v>12</v>
      </c>
      <c r="AS61" s="265" t="s">
        <v>13</v>
      </c>
      <c r="AT61" s="266">
        <v>1</v>
      </c>
      <c r="AU61" s="266">
        <v>2</v>
      </c>
      <c r="AV61" s="266">
        <v>3</v>
      </c>
      <c r="AW61" s="266">
        <v>4</v>
      </c>
      <c r="AX61" s="266">
        <v>5</v>
      </c>
      <c r="AY61" s="266">
        <v>6</v>
      </c>
      <c r="AZ61" s="266">
        <v>7</v>
      </c>
      <c r="BA61" s="266">
        <v>8</v>
      </c>
      <c r="BB61" s="266">
        <v>9</v>
      </c>
      <c r="BC61" s="266">
        <v>10</v>
      </c>
      <c r="BD61" s="266">
        <v>11</v>
      </c>
      <c r="BE61" s="266">
        <v>12</v>
      </c>
      <c r="BF61" s="265" t="s">
        <v>13</v>
      </c>
      <c r="BG61" s="1761"/>
      <c r="BH61" s="1761"/>
      <c r="BI61" s="1748"/>
      <c r="BJ61" s="267"/>
      <c r="BK61" s="268"/>
      <c r="BL61" s="268"/>
      <c r="BM61" s="268"/>
      <c r="BN61" s="268"/>
      <c r="BO61" s="268"/>
      <c r="BP61" s="268"/>
      <c r="BQ61" s="268"/>
      <c r="BR61" s="268"/>
      <c r="BS61" s="268"/>
      <c r="BT61" s="268"/>
      <c r="BU61" s="268"/>
      <c r="BV61" s="268"/>
      <c r="BW61" s="268"/>
      <c r="BX61" s="268"/>
      <c r="BY61" s="268"/>
      <c r="BZ61" s="268"/>
      <c r="CA61" s="268"/>
      <c r="CB61" s="268"/>
    </row>
    <row r="62" spans="1:98" s="267" customFormat="1" ht="24.75" customHeight="1" thickBot="1" x14ac:dyDescent="0.25">
      <c r="A62" s="340"/>
      <c r="B62" s="341" t="s">
        <v>272</v>
      </c>
      <c r="C62" s="281" t="s">
        <v>25</v>
      </c>
      <c r="D62" s="251">
        <v>72</v>
      </c>
      <c r="E62" s="251">
        <v>15</v>
      </c>
      <c r="F62" s="342">
        <v>5</v>
      </c>
      <c r="G62" s="342">
        <v>5</v>
      </c>
      <c r="H62" s="342">
        <v>5</v>
      </c>
      <c r="I62" s="342">
        <v>5</v>
      </c>
      <c r="J62" s="342">
        <v>5</v>
      </c>
      <c r="K62" s="1207">
        <v>5</v>
      </c>
      <c r="L62" s="576">
        <v>5</v>
      </c>
      <c r="M62" s="576">
        <v>5</v>
      </c>
      <c r="N62" s="576">
        <v>5</v>
      </c>
      <c r="O62" s="342"/>
      <c r="P62" s="342"/>
      <c r="Q62" s="343">
        <f>SUM(E62:P62)</f>
        <v>60</v>
      </c>
      <c r="R62" s="252" t="s">
        <v>68</v>
      </c>
      <c r="S62" s="332">
        <v>600000</v>
      </c>
      <c r="T62" s="332">
        <v>600000</v>
      </c>
      <c r="U62" s="332">
        <v>600000</v>
      </c>
      <c r="V62" s="332">
        <v>600000</v>
      </c>
      <c r="W62" s="332">
        <v>600000</v>
      </c>
      <c r="X62" s="332">
        <v>600000</v>
      </c>
      <c r="Y62" s="332">
        <v>600000</v>
      </c>
      <c r="Z62" s="1208">
        <v>600000</v>
      </c>
      <c r="AA62" s="332">
        <v>600000</v>
      </c>
      <c r="AB62" s="1330">
        <v>600000</v>
      </c>
      <c r="AC62" s="1330">
        <v>600000</v>
      </c>
      <c r="AD62" s="332"/>
      <c r="AE62" s="332"/>
      <c r="AF62" s="271">
        <f t="shared" ref="AF62" si="56">SUM(Q62*S62)</f>
        <v>36000000</v>
      </c>
      <c r="AG62" s="272">
        <f>T62*E62</f>
        <v>9000000</v>
      </c>
      <c r="AH62" s="272">
        <f>U62*F62</f>
        <v>3000000</v>
      </c>
      <c r="AI62" s="272">
        <f t="shared" ref="AI62:AR62" si="57">V62*G62</f>
        <v>3000000</v>
      </c>
      <c r="AJ62" s="272">
        <f t="shared" si="57"/>
        <v>3000000</v>
      </c>
      <c r="AK62" s="272">
        <f t="shared" si="57"/>
        <v>3000000</v>
      </c>
      <c r="AL62" s="272">
        <f t="shared" si="57"/>
        <v>3000000</v>
      </c>
      <c r="AM62" s="272">
        <f t="shared" si="57"/>
        <v>3000000</v>
      </c>
      <c r="AN62" s="272">
        <f t="shared" si="57"/>
        <v>3000000</v>
      </c>
      <c r="AO62" s="1199">
        <f t="shared" si="57"/>
        <v>3000000</v>
      </c>
      <c r="AP62" s="272">
        <f t="shared" si="57"/>
        <v>3000000</v>
      </c>
      <c r="AQ62" s="272">
        <f t="shared" si="57"/>
        <v>0</v>
      </c>
      <c r="AR62" s="272">
        <f t="shared" si="57"/>
        <v>0</v>
      </c>
      <c r="AS62" s="273">
        <f t="shared" ref="AS62" si="58">SUM(AG62:AR62)</f>
        <v>36000000</v>
      </c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99">
        <f>SUM(AT62:BE62)</f>
        <v>0</v>
      </c>
      <c r="BG62" s="344">
        <f>AF62-AS62-BF62</f>
        <v>0</v>
      </c>
      <c r="BH62" s="345">
        <f>S62*D62</f>
        <v>43200000</v>
      </c>
      <c r="BI62" s="346">
        <f>BH62-AS62-BF62</f>
        <v>7200000</v>
      </c>
      <c r="BJ62" s="373">
        <f>SUM(Q62/D62)</f>
        <v>0.83333333333333337</v>
      </c>
      <c r="BK62" s="277"/>
      <c r="BL62" s="277"/>
      <c r="BM62" s="277"/>
      <c r="BN62" s="277"/>
      <c r="BO62" s="277"/>
      <c r="BP62" s="347"/>
      <c r="BQ62" s="347"/>
      <c r="BR62" s="347"/>
      <c r="BS62" s="347"/>
      <c r="BT62" s="347"/>
      <c r="BU62" s="347"/>
      <c r="BV62" s="347"/>
      <c r="BW62" s="347"/>
      <c r="BX62" s="347"/>
      <c r="BY62" s="347"/>
      <c r="BZ62" s="347"/>
      <c r="CA62" s="347"/>
      <c r="CB62" s="347"/>
    </row>
    <row r="63" spans="1:98" s="282" customFormat="1" ht="24.75" customHeight="1" thickBot="1" x14ac:dyDescent="0.25">
      <c r="A63" s="554">
        <v>8</v>
      </c>
      <c r="B63" s="308" t="s">
        <v>4</v>
      </c>
      <c r="C63" s="308"/>
      <c r="D63" s="309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1"/>
      <c r="R63" s="312"/>
      <c r="S63" s="309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9">
        <f>SUM(AF62:AF62)</f>
        <v>36000000</v>
      </c>
      <c r="AG63" s="349">
        <f>SUM(AG62:AG62)</f>
        <v>9000000</v>
      </c>
      <c r="AH63" s="349">
        <f>SUM(AH62:AH62)</f>
        <v>3000000</v>
      </c>
      <c r="AI63" s="349">
        <f t="shared" ref="AI63:AR63" si="59">SUM(AI62:AI62)</f>
        <v>3000000</v>
      </c>
      <c r="AJ63" s="349">
        <f t="shared" si="59"/>
        <v>3000000</v>
      </c>
      <c r="AK63" s="349">
        <f t="shared" si="59"/>
        <v>3000000</v>
      </c>
      <c r="AL63" s="349">
        <f t="shared" si="59"/>
        <v>3000000</v>
      </c>
      <c r="AM63" s="349">
        <f t="shared" si="59"/>
        <v>3000000</v>
      </c>
      <c r="AN63" s="349">
        <f t="shared" si="59"/>
        <v>3000000</v>
      </c>
      <c r="AO63" s="349">
        <f t="shared" si="59"/>
        <v>3000000</v>
      </c>
      <c r="AP63" s="349">
        <f t="shared" si="59"/>
        <v>3000000</v>
      </c>
      <c r="AQ63" s="349">
        <f t="shared" si="59"/>
        <v>0</v>
      </c>
      <c r="AR63" s="349">
        <f t="shared" si="59"/>
        <v>0</v>
      </c>
      <c r="AS63" s="349">
        <f>SUM(AS62:AS62)</f>
        <v>36000000</v>
      </c>
      <c r="AT63" s="349">
        <f>SUM(AT62:AT62)</f>
        <v>0</v>
      </c>
      <c r="AU63" s="349">
        <f t="shared" ref="AU63:BE63" si="60">SUM(AU62:AU62)</f>
        <v>0</v>
      </c>
      <c r="AV63" s="349">
        <f t="shared" si="60"/>
        <v>0</v>
      </c>
      <c r="AW63" s="349">
        <f t="shared" si="60"/>
        <v>0</v>
      </c>
      <c r="AX63" s="349">
        <f t="shared" si="60"/>
        <v>0</v>
      </c>
      <c r="AY63" s="349">
        <f t="shared" si="60"/>
        <v>0</v>
      </c>
      <c r="AZ63" s="349">
        <f t="shared" si="60"/>
        <v>0</v>
      </c>
      <c r="BA63" s="349">
        <f t="shared" si="60"/>
        <v>0</v>
      </c>
      <c r="BB63" s="349">
        <f t="shared" si="60"/>
        <v>0</v>
      </c>
      <c r="BC63" s="349">
        <f t="shared" si="60"/>
        <v>0</v>
      </c>
      <c r="BD63" s="349">
        <f t="shared" si="60"/>
        <v>0</v>
      </c>
      <c r="BE63" s="349">
        <f t="shared" si="60"/>
        <v>0</v>
      </c>
      <c r="BF63" s="349">
        <f>SUM(BF62:BF62)</f>
        <v>0</v>
      </c>
      <c r="BG63" s="350">
        <f>AF63-AS63-BF63</f>
        <v>0</v>
      </c>
      <c r="BH63" s="349">
        <f>SUM(BH62:BH62)</f>
        <v>43200000</v>
      </c>
      <c r="BI63" s="349">
        <f>SUM(BI62:BI62)</f>
        <v>7200000</v>
      </c>
      <c r="BJ63" s="375">
        <v>1</v>
      </c>
      <c r="BK63" s="318"/>
      <c r="BL63" s="318"/>
      <c r="BM63" s="318"/>
      <c r="BN63" s="318"/>
      <c r="BO63" s="318"/>
      <c r="BP63" s="318"/>
      <c r="BQ63" s="318"/>
      <c r="BR63" s="318"/>
      <c r="BS63" s="318"/>
      <c r="BT63" s="318"/>
      <c r="BU63" s="318"/>
      <c r="BV63" s="318"/>
      <c r="BW63" s="318"/>
      <c r="BX63" s="318"/>
      <c r="BY63" s="318"/>
      <c r="BZ63" s="318"/>
      <c r="CA63" s="318"/>
      <c r="CB63" s="318"/>
    </row>
    <row r="64" spans="1:98" s="262" customFormat="1" ht="24.75" customHeight="1" x14ac:dyDescent="0.2">
      <c r="A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AE64" s="280"/>
      <c r="AS64" s="291"/>
      <c r="BF64" s="319">
        <f>SUM(AS63+BF63)</f>
        <v>36000000</v>
      </c>
      <c r="BG64" s="284">
        <f>AF63-AS63-BF63</f>
        <v>0</v>
      </c>
      <c r="BH64" s="320">
        <f>SUM(BI63+AS63+BF63)</f>
        <v>43200000</v>
      </c>
      <c r="BI64" s="285">
        <f>SUM(BG63)</f>
        <v>0</v>
      </c>
      <c r="BJ64" s="371" t="s">
        <v>38</v>
      </c>
      <c r="BK64" s="280"/>
      <c r="BL64" s="260"/>
      <c r="BM64" s="260"/>
      <c r="BN64" s="260"/>
      <c r="BO64" s="260"/>
      <c r="BP64" s="260"/>
      <c r="BQ64" s="260"/>
      <c r="BR64" s="260"/>
      <c r="BS64" s="260"/>
      <c r="BT64" s="260"/>
      <c r="BU64" s="260"/>
      <c r="BV64" s="260"/>
      <c r="BW64" s="260"/>
      <c r="BX64" s="260"/>
      <c r="BY64" s="260"/>
      <c r="BZ64" s="260"/>
      <c r="CA64" s="260"/>
      <c r="CB64" s="260"/>
      <c r="CC64" s="260"/>
    </row>
    <row r="65" spans="1:98" s="262" customFormat="1" ht="24.75" customHeight="1" x14ac:dyDescent="0.2">
      <c r="A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AE65" s="280"/>
      <c r="AS65" s="280"/>
      <c r="AT65" s="388">
        <f>SUM(AG63+AT63)</f>
        <v>9000000</v>
      </c>
      <c r="AU65" s="388">
        <f t="shared" ref="AU65:BE65" si="61">SUM(AH63+AU63)</f>
        <v>3000000</v>
      </c>
      <c r="AV65" s="388">
        <f t="shared" si="61"/>
        <v>3000000</v>
      </c>
      <c r="AW65" s="388">
        <f t="shared" si="61"/>
        <v>3000000</v>
      </c>
      <c r="AX65" s="388">
        <f t="shared" si="61"/>
        <v>3000000</v>
      </c>
      <c r="AY65" s="388">
        <f t="shared" si="61"/>
        <v>3000000</v>
      </c>
      <c r="AZ65" s="388">
        <f t="shared" si="61"/>
        <v>3000000</v>
      </c>
      <c r="BA65" s="388">
        <f t="shared" si="61"/>
        <v>3000000</v>
      </c>
      <c r="BB65" s="388">
        <f t="shared" si="61"/>
        <v>3000000</v>
      </c>
      <c r="BC65" s="388">
        <f t="shared" si="61"/>
        <v>3000000</v>
      </c>
      <c r="BD65" s="388">
        <f t="shared" si="61"/>
        <v>0</v>
      </c>
      <c r="BE65" s="388">
        <f t="shared" si="61"/>
        <v>0</v>
      </c>
      <c r="BF65" s="388">
        <f>SUM(AT65:BE65)</f>
        <v>36000000</v>
      </c>
      <c r="BG65" s="280"/>
      <c r="BH65" s="286"/>
      <c r="BI65" s="287">
        <f>SUM(BI63-BI64)</f>
        <v>7200000</v>
      </c>
      <c r="BJ65" s="371" t="s">
        <v>37</v>
      </c>
      <c r="BK65" s="280"/>
      <c r="BL65" s="260"/>
      <c r="BM65" s="260"/>
      <c r="BN65" s="260"/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</row>
    <row r="66" spans="1:98" s="262" customFormat="1" ht="16.5" customHeight="1" x14ac:dyDescent="0.2">
      <c r="A66" s="1754" t="s">
        <v>8</v>
      </c>
      <c r="B66" s="1755"/>
      <c r="C66" s="244" t="s">
        <v>77</v>
      </c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93"/>
      <c r="AF66" s="245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7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7"/>
      <c r="BG66" s="247"/>
      <c r="BH66" s="243"/>
      <c r="BI66" s="248"/>
      <c r="BJ66" s="372"/>
      <c r="BK66" s="246"/>
      <c r="BL66" s="246"/>
      <c r="BM66" s="246"/>
      <c r="BN66" s="246"/>
      <c r="BO66" s="246"/>
      <c r="BP66" s="293"/>
      <c r="BQ66" s="246"/>
      <c r="BR66" s="246"/>
      <c r="BS66" s="246"/>
      <c r="BT66" s="246"/>
      <c r="BU66" s="246"/>
      <c r="BV66" s="247"/>
      <c r="BW66" s="247"/>
      <c r="BX66" s="247"/>
      <c r="BY66" s="243"/>
      <c r="BZ66" s="248"/>
      <c r="CA66" s="247"/>
      <c r="CB66" s="247"/>
      <c r="CC66" s="260"/>
      <c r="CD66" s="260"/>
      <c r="CE66" s="260"/>
      <c r="CF66" s="260"/>
      <c r="CG66" s="260"/>
      <c r="CH66" s="261"/>
      <c r="CI66" s="260"/>
      <c r="CJ66" s="260"/>
      <c r="CK66" s="260"/>
      <c r="CL66" s="260"/>
      <c r="CM66" s="260"/>
      <c r="CN66" s="260"/>
      <c r="CO66" s="260"/>
      <c r="CP66" s="260"/>
      <c r="CQ66" s="260"/>
      <c r="CR66" s="260"/>
      <c r="CS66" s="260"/>
      <c r="CT66" s="260"/>
    </row>
    <row r="67" spans="1:98" s="264" customFormat="1" ht="48.75" customHeight="1" x14ac:dyDescent="0.2">
      <c r="A67" s="1756" t="s">
        <v>10</v>
      </c>
      <c r="B67" s="1759" t="s">
        <v>11</v>
      </c>
      <c r="C67" s="1759" t="s">
        <v>22</v>
      </c>
      <c r="D67" s="1762" t="s">
        <v>12</v>
      </c>
      <c r="E67" s="1762"/>
      <c r="F67" s="1762"/>
      <c r="G67" s="1762"/>
      <c r="H67" s="1762"/>
      <c r="I67" s="1762"/>
      <c r="J67" s="1762"/>
      <c r="K67" s="1762"/>
      <c r="L67" s="1762"/>
      <c r="M67" s="1762"/>
      <c r="N67" s="1762"/>
      <c r="O67" s="1762"/>
      <c r="P67" s="1762"/>
      <c r="Q67" s="1762"/>
      <c r="R67" s="1759" t="s">
        <v>20</v>
      </c>
      <c r="S67" s="1763" t="s">
        <v>17</v>
      </c>
      <c r="T67" s="1764"/>
      <c r="U67" s="1764"/>
      <c r="V67" s="1764"/>
      <c r="W67" s="1764"/>
      <c r="X67" s="1764"/>
      <c r="Y67" s="1764"/>
      <c r="Z67" s="1764"/>
      <c r="AA67" s="1764"/>
      <c r="AB67" s="1764"/>
      <c r="AC67" s="1764"/>
      <c r="AD67" s="1764"/>
      <c r="AE67" s="1765"/>
      <c r="AF67" s="1766" t="s">
        <v>6</v>
      </c>
      <c r="AG67" s="1766"/>
      <c r="AH67" s="1766"/>
      <c r="AI67" s="1766"/>
      <c r="AJ67" s="1766"/>
      <c r="AK67" s="1766"/>
      <c r="AL67" s="1766"/>
      <c r="AM67" s="1766"/>
      <c r="AN67" s="1766"/>
      <c r="AO67" s="1766"/>
      <c r="AP67" s="1766"/>
      <c r="AQ67" s="1766"/>
      <c r="AR67" s="1766"/>
      <c r="AS67" s="1766"/>
      <c r="AT67" s="1767" t="s">
        <v>41</v>
      </c>
      <c r="AU67" s="1768"/>
      <c r="AV67" s="1768"/>
      <c r="AW67" s="1768"/>
      <c r="AX67" s="1768"/>
      <c r="AY67" s="1768"/>
      <c r="AZ67" s="1768"/>
      <c r="BA67" s="1768"/>
      <c r="BB67" s="1768"/>
      <c r="BC67" s="1768"/>
      <c r="BD67" s="1768"/>
      <c r="BE67" s="1768"/>
      <c r="BF67" s="1769"/>
      <c r="BG67" s="1759" t="s">
        <v>38</v>
      </c>
      <c r="BH67" s="1759" t="s">
        <v>256</v>
      </c>
      <c r="BI67" s="1746" t="s">
        <v>39</v>
      </c>
      <c r="BJ67" s="243"/>
      <c r="BK67" s="245"/>
      <c r="BL67" s="245"/>
      <c r="BM67" s="245"/>
      <c r="BN67" s="245"/>
      <c r="BO67" s="245"/>
      <c r="BP67" s="245"/>
      <c r="BQ67" s="245"/>
      <c r="BR67" s="245"/>
      <c r="BS67" s="245"/>
      <c r="BT67" s="245"/>
      <c r="BU67" s="245"/>
      <c r="BV67" s="245"/>
      <c r="BW67" s="245"/>
      <c r="BX67" s="245"/>
      <c r="BY67" s="245"/>
      <c r="BZ67" s="245"/>
      <c r="CA67" s="263"/>
      <c r="CB67" s="263"/>
    </row>
    <row r="68" spans="1:98" s="264" customFormat="1" ht="48.75" customHeight="1" x14ac:dyDescent="0.2">
      <c r="A68" s="1757"/>
      <c r="B68" s="1760"/>
      <c r="C68" s="1760"/>
      <c r="D68" s="1749" t="s">
        <v>18</v>
      </c>
      <c r="E68" s="1751" t="s">
        <v>19</v>
      </c>
      <c r="F68" s="1752"/>
      <c r="G68" s="1752"/>
      <c r="H68" s="1752"/>
      <c r="I68" s="1752"/>
      <c r="J68" s="1752"/>
      <c r="K68" s="1752"/>
      <c r="L68" s="1752"/>
      <c r="M68" s="1752"/>
      <c r="N68" s="1752"/>
      <c r="O68" s="1752"/>
      <c r="P68" s="1752"/>
      <c r="Q68" s="1752"/>
      <c r="R68" s="1760"/>
      <c r="S68" s="1749" t="s">
        <v>18</v>
      </c>
      <c r="T68" s="1751" t="s">
        <v>19</v>
      </c>
      <c r="U68" s="1752"/>
      <c r="V68" s="1752"/>
      <c r="W68" s="1752"/>
      <c r="X68" s="1752"/>
      <c r="Y68" s="1752"/>
      <c r="Z68" s="1752"/>
      <c r="AA68" s="1752"/>
      <c r="AB68" s="1752"/>
      <c r="AC68" s="1752"/>
      <c r="AD68" s="1752"/>
      <c r="AE68" s="1753"/>
      <c r="AF68" s="1749" t="s">
        <v>18</v>
      </c>
      <c r="AG68" s="1751" t="s">
        <v>19</v>
      </c>
      <c r="AH68" s="1752"/>
      <c r="AI68" s="1752"/>
      <c r="AJ68" s="1752"/>
      <c r="AK68" s="1752"/>
      <c r="AL68" s="1752"/>
      <c r="AM68" s="1752"/>
      <c r="AN68" s="1752"/>
      <c r="AO68" s="1752"/>
      <c r="AP68" s="1752"/>
      <c r="AQ68" s="1752"/>
      <c r="AR68" s="1752"/>
      <c r="AS68" s="1753"/>
      <c r="AT68" s="1770"/>
      <c r="AU68" s="1771"/>
      <c r="AV68" s="1771"/>
      <c r="AW68" s="1771"/>
      <c r="AX68" s="1771"/>
      <c r="AY68" s="1771"/>
      <c r="AZ68" s="1771"/>
      <c r="BA68" s="1771"/>
      <c r="BB68" s="1771"/>
      <c r="BC68" s="1771"/>
      <c r="BD68" s="1771"/>
      <c r="BE68" s="1771"/>
      <c r="BF68" s="1772"/>
      <c r="BG68" s="1760"/>
      <c r="BH68" s="1760"/>
      <c r="BI68" s="1747"/>
      <c r="BJ68" s="243"/>
      <c r="BK68" s="245"/>
      <c r="BL68" s="245"/>
      <c r="BM68" s="245"/>
      <c r="BN68" s="245"/>
      <c r="BO68" s="245"/>
      <c r="BP68" s="245"/>
      <c r="BQ68" s="245"/>
      <c r="BR68" s="245"/>
      <c r="BS68" s="245"/>
      <c r="BT68" s="245"/>
      <c r="BU68" s="245"/>
      <c r="BV68" s="245"/>
      <c r="BW68" s="245"/>
      <c r="BX68" s="245"/>
      <c r="BY68" s="245"/>
      <c r="BZ68" s="245"/>
      <c r="CA68" s="263"/>
      <c r="CB68" s="263"/>
    </row>
    <row r="69" spans="1:98" s="269" customFormat="1" ht="28.5" customHeight="1" x14ac:dyDescent="0.2">
      <c r="A69" s="1758"/>
      <c r="B69" s="1761"/>
      <c r="C69" s="1761"/>
      <c r="D69" s="1750"/>
      <c r="E69" s="265">
        <v>1</v>
      </c>
      <c r="F69" s="265">
        <v>2</v>
      </c>
      <c r="G69" s="265">
        <v>3</v>
      </c>
      <c r="H69" s="265">
        <v>4</v>
      </c>
      <c r="I69" s="265">
        <v>5</v>
      </c>
      <c r="J69" s="265">
        <v>6</v>
      </c>
      <c r="K69" s="265">
        <v>7</v>
      </c>
      <c r="L69" s="265">
        <v>8</v>
      </c>
      <c r="M69" s="265">
        <v>9</v>
      </c>
      <c r="N69" s="265">
        <v>10</v>
      </c>
      <c r="O69" s="265">
        <v>11</v>
      </c>
      <c r="P69" s="265">
        <v>12</v>
      </c>
      <c r="Q69" s="265" t="s">
        <v>21</v>
      </c>
      <c r="R69" s="1761"/>
      <c r="S69" s="1750"/>
      <c r="T69" s="265">
        <v>1</v>
      </c>
      <c r="U69" s="265">
        <v>2</v>
      </c>
      <c r="V69" s="265">
        <v>3</v>
      </c>
      <c r="W69" s="265">
        <v>4</v>
      </c>
      <c r="X69" s="265">
        <v>5</v>
      </c>
      <c r="Y69" s="265">
        <v>6</v>
      </c>
      <c r="Z69" s="265">
        <v>7</v>
      </c>
      <c r="AA69" s="265">
        <v>8</v>
      </c>
      <c r="AB69" s="265">
        <v>9</v>
      </c>
      <c r="AC69" s="265">
        <v>10</v>
      </c>
      <c r="AD69" s="265">
        <v>11</v>
      </c>
      <c r="AE69" s="265">
        <v>12</v>
      </c>
      <c r="AF69" s="1750"/>
      <c r="AG69" s="265">
        <v>1</v>
      </c>
      <c r="AH69" s="265">
        <v>2</v>
      </c>
      <c r="AI69" s="265">
        <v>3</v>
      </c>
      <c r="AJ69" s="265">
        <v>4</v>
      </c>
      <c r="AK69" s="265">
        <v>5</v>
      </c>
      <c r="AL69" s="265">
        <v>6</v>
      </c>
      <c r="AM69" s="265">
        <v>7</v>
      </c>
      <c r="AN69" s="265">
        <v>8</v>
      </c>
      <c r="AO69" s="265">
        <v>9</v>
      </c>
      <c r="AP69" s="265">
        <v>10</v>
      </c>
      <c r="AQ69" s="265">
        <v>11</v>
      </c>
      <c r="AR69" s="265">
        <v>12</v>
      </c>
      <c r="AS69" s="265" t="s">
        <v>13</v>
      </c>
      <c r="AT69" s="266">
        <v>1</v>
      </c>
      <c r="AU69" s="266">
        <v>2</v>
      </c>
      <c r="AV69" s="266">
        <v>3</v>
      </c>
      <c r="AW69" s="266">
        <v>4</v>
      </c>
      <c r="AX69" s="266">
        <v>5</v>
      </c>
      <c r="AY69" s="266">
        <v>6</v>
      </c>
      <c r="AZ69" s="266">
        <v>7</v>
      </c>
      <c r="BA69" s="266">
        <v>8</v>
      </c>
      <c r="BB69" s="266">
        <v>9</v>
      </c>
      <c r="BC69" s="266">
        <v>10</v>
      </c>
      <c r="BD69" s="266">
        <v>11</v>
      </c>
      <c r="BE69" s="266">
        <v>12</v>
      </c>
      <c r="BF69" s="265" t="s">
        <v>13</v>
      </c>
      <c r="BG69" s="1761"/>
      <c r="BH69" s="1761"/>
      <c r="BI69" s="1748"/>
      <c r="BJ69" s="267"/>
      <c r="BK69" s="1653"/>
      <c r="BL69" s="268"/>
      <c r="BM69" s="268"/>
      <c r="BN69" s="268"/>
      <c r="BO69" s="268"/>
      <c r="BP69" s="268"/>
      <c r="BQ69" s="268"/>
      <c r="BR69" s="268"/>
      <c r="BS69" s="268"/>
      <c r="BT69" s="268"/>
      <c r="BU69" s="268"/>
      <c r="BV69" s="268"/>
      <c r="BW69" s="268"/>
      <c r="BX69" s="268"/>
      <c r="BY69" s="268"/>
      <c r="BZ69" s="268"/>
      <c r="CA69" s="268"/>
      <c r="CB69" s="268"/>
    </row>
    <row r="70" spans="1:98" s="267" customFormat="1" ht="24.75" customHeight="1" thickBot="1" x14ac:dyDescent="0.25">
      <c r="A70" s="340"/>
      <c r="B70" s="341" t="s">
        <v>274</v>
      </c>
      <c r="C70" s="281" t="s">
        <v>25</v>
      </c>
      <c r="D70" s="251">
        <v>48</v>
      </c>
      <c r="E70" s="251">
        <v>6</v>
      </c>
      <c r="F70" s="251">
        <v>2</v>
      </c>
      <c r="G70" s="342">
        <v>2</v>
      </c>
      <c r="H70" s="342">
        <v>2</v>
      </c>
      <c r="I70" s="342">
        <v>2</v>
      </c>
      <c r="J70" s="342">
        <v>2</v>
      </c>
      <c r="K70" s="1207">
        <v>2</v>
      </c>
      <c r="L70" s="576">
        <v>2</v>
      </c>
      <c r="M70" s="576">
        <v>2</v>
      </c>
      <c r="N70" s="576">
        <v>2</v>
      </c>
      <c r="O70" s="342"/>
      <c r="P70" s="342"/>
      <c r="Q70" s="343">
        <f>SUM(E70:P70)</f>
        <v>24</v>
      </c>
      <c r="R70" s="252" t="s">
        <v>68</v>
      </c>
      <c r="S70" s="332">
        <v>500000</v>
      </c>
      <c r="T70" s="332">
        <v>500000</v>
      </c>
      <c r="U70" s="332">
        <v>500000</v>
      </c>
      <c r="V70" s="332">
        <v>500000</v>
      </c>
      <c r="W70" s="332">
        <v>500000</v>
      </c>
      <c r="X70" s="332">
        <v>500000</v>
      </c>
      <c r="Y70" s="332">
        <v>500000</v>
      </c>
      <c r="Z70" s="1208">
        <v>500000</v>
      </c>
      <c r="AA70" s="332">
        <v>500000</v>
      </c>
      <c r="AB70" s="1330">
        <v>500000</v>
      </c>
      <c r="AC70" s="332">
        <v>500000</v>
      </c>
      <c r="AD70" s="332"/>
      <c r="AE70" s="332"/>
      <c r="AF70" s="271">
        <f t="shared" ref="AF70" si="62">SUM(Q70*S70)</f>
        <v>12000000</v>
      </c>
      <c r="AG70" s="272">
        <f>T70*E70</f>
        <v>3000000</v>
      </c>
      <c r="AH70" s="272">
        <f>U70*F70</f>
        <v>1000000</v>
      </c>
      <c r="AI70" s="272">
        <f t="shared" ref="AI70:AR70" si="63">V70*G70</f>
        <v>1000000</v>
      </c>
      <c r="AJ70" s="272">
        <f t="shared" si="63"/>
        <v>1000000</v>
      </c>
      <c r="AK70" s="272">
        <f t="shared" si="63"/>
        <v>1000000</v>
      </c>
      <c r="AL70" s="272">
        <f t="shared" si="63"/>
        <v>1000000</v>
      </c>
      <c r="AM70" s="272">
        <f t="shared" si="63"/>
        <v>1000000</v>
      </c>
      <c r="AN70" s="272">
        <f t="shared" si="63"/>
        <v>1000000</v>
      </c>
      <c r="AO70" s="1199">
        <f t="shared" si="63"/>
        <v>1000000</v>
      </c>
      <c r="AP70" s="272">
        <f t="shared" si="63"/>
        <v>1000000</v>
      </c>
      <c r="AQ70" s="272">
        <f t="shared" si="63"/>
        <v>0</v>
      </c>
      <c r="AR70" s="272">
        <f t="shared" si="63"/>
        <v>0</v>
      </c>
      <c r="AS70" s="273">
        <f t="shared" ref="AS70" si="64">SUM(AG70:AR70)</f>
        <v>12000000</v>
      </c>
      <c r="AT70" s="272"/>
      <c r="AU70" s="272"/>
      <c r="AV70" s="272"/>
      <c r="AW70" s="272"/>
      <c r="AX70" s="272"/>
      <c r="AY70" s="272"/>
      <c r="AZ70" s="272"/>
      <c r="BA70" s="272"/>
      <c r="BB70" s="272"/>
      <c r="BC70" s="272"/>
      <c r="BD70" s="272"/>
      <c r="BE70" s="272"/>
      <c r="BF70" s="299">
        <f>SUM(AT70:BE70)</f>
        <v>0</v>
      </c>
      <c r="BG70" s="344">
        <f>AF70-AS70-BF70</f>
        <v>0</v>
      </c>
      <c r="BH70" s="345">
        <f>S70*D70</f>
        <v>24000000</v>
      </c>
      <c r="BI70" s="346">
        <f>BH70-AS70-BF70</f>
        <v>12000000</v>
      </c>
      <c r="BJ70" s="373">
        <f>SUM(Q70/D70)</f>
        <v>0.5</v>
      </c>
      <c r="BK70" s="277"/>
      <c r="BL70" s="277"/>
      <c r="BM70" s="277"/>
      <c r="BN70" s="277"/>
      <c r="BO70" s="277"/>
      <c r="BP70" s="347"/>
      <c r="BQ70" s="347"/>
      <c r="BR70" s="347"/>
      <c r="BS70" s="347"/>
      <c r="BT70" s="347"/>
      <c r="BU70" s="347"/>
      <c r="BV70" s="347"/>
      <c r="BW70" s="347"/>
      <c r="BX70" s="347"/>
      <c r="BY70" s="347"/>
      <c r="BZ70" s="347"/>
      <c r="CA70" s="347"/>
      <c r="CB70" s="347"/>
    </row>
    <row r="71" spans="1:98" s="282" customFormat="1" ht="24.75" customHeight="1" thickBot="1" x14ac:dyDescent="0.25">
      <c r="A71" s="554">
        <v>9</v>
      </c>
      <c r="B71" s="308" t="s">
        <v>4</v>
      </c>
      <c r="C71" s="308"/>
      <c r="D71" s="309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1"/>
      <c r="R71" s="312"/>
      <c r="S71" s="309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9">
        <f>SUM(AF70:AF70)</f>
        <v>12000000</v>
      </c>
      <c r="AG71" s="349">
        <f>SUM(AG70:AG70)</f>
        <v>3000000</v>
      </c>
      <c r="AH71" s="349">
        <f>SUM(AH70:AH70)</f>
        <v>1000000</v>
      </c>
      <c r="AI71" s="349">
        <f t="shared" ref="AI71:AR71" si="65">SUM(AI70:AI70)</f>
        <v>1000000</v>
      </c>
      <c r="AJ71" s="349">
        <f t="shared" si="65"/>
        <v>1000000</v>
      </c>
      <c r="AK71" s="349">
        <f t="shared" si="65"/>
        <v>1000000</v>
      </c>
      <c r="AL71" s="349">
        <f t="shared" si="65"/>
        <v>1000000</v>
      </c>
      <c r="AM71" s="349">
        <f t="shared" si="65"/>
        <v>1000000</v>
      </c>
      <c r="AN71" s="349">
        <f t="shared" si="65"/>
        <v>1000000</v>
      </c>
      <c r="AO71" s="349">
        <f t="shared" si="65"/>
        <v>1000000</v>
      </c>
      <c r="AP71" s="349">
        <f t="shared" si="65"/>
        <v>1000000</v>
      </c>
      <c r="AQ71" s="349">
        <f t="shared" si="65"/>
        <v>0</v>
      </c>
      <c r="AR71" s="349">
        <f t="shared" si="65"/>
        <v>0</v>
      </c>
      <c r="AS71" s="349">
        <f>SUM(AS70:AS70)</f>
        <v>12000000</v>
      </c>
      <c r="AT71" s="349">
        <f>SUM(AT70:AT70)</f>
        <v>0</v>
      </c>
      <c r="AU71" s="349">
        <f t="shared" ref="AU71:BE71" si="66">SUM(AU70:AU70)</f>
        <v>0</v>
      </c>
      <c r="AV71" s="349">
        <f t="shared" si="66"/>
        <v>0</v>
      </c>
      <c r="AW71" s="349">
        <f t="shared" si="66"/>
        <v>0</v>
      </c>
      <c r="AX71" s="349">
        <f t="shared" si="66"/>
        <v>0</v>
      </c>
      <c r="AY71" s="349">
        <f t="shared" si="66"/>
        <v>0</v>
      </c>
      <c r="AZ71" s="349">
        <f t="shared" si="66"/>
        <v>0</v>
      </c>
      <c r="BA71" s="349">
        <f t="shared" si="66"/>
        <v>0</v>
      </c>
      <c r="BB71" s="349">
        <f t="shared" si="66"/>
        <v>0</v>
      </c>
      <c r="BC71" s="349">
        <f t="shared" si="66"/>
        <v>0</v>
      </c>
      <c r="BD71" s="349">
        <f t="shared" si="66"/>
        <v>0</v>
      </c>
      <c r="BE71" s="349">
        <f t="shared" si="66"/>
        <v>0</v>
      </c>
      <c r="BF71" s="349">
        <f>SUM(BF70:BF70)</f>
        <v>0</v>
      </c>
      <c r="BG71" s="350">
        <f>AF71-AS71-BF71</f>
        <v>0</v>
      </c>
      <c r="BH71" s="349">
        <f>SUM(BH70:BH70)</f>
        <v>24000000</v>
      </c>
      <c r="BI71" s="349">
        <f>SUM(BI70:BI70)</f>
        <v>12000000</v>
      </c>
      <c r="BJ71" s="375">
        <v>1</v>
      </c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  <c r="BY71" s="318"/>
      <c r="BZ71" s="318"/>
      <c r="CA71" s="318"/>
      <c r="CB71" s="318"/>
    </row>
    <row r="72" spans="1:98" s="262" customFormat="1" ht="24.75" customHeight="1" x14ac:dyDescent="0.2">
      <c r="A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AE72" s="280"/>
      <c r="AS72" s="291"/>
      <c r="BF72" s="319">
        <f>SUM(AS71+BF71)</f>
        <v>12000000</v>
      </c>
      <c r="BG72" s="284">
        <f>AF71-AS71-BF71</f>
        <v>0</v>
      </c>
      <c r="BH72" s="320">
        <f>SUM(BI71+AS71+BF71)</f>
        <v>24000000</v>
      </c>
      <c r="BI72" s="285">
        <f>SUM(BG71)</f>
        <v>0</v>
      </c>
      <c r="BJ72" s="371" t="s">
        <v>38</v>
      </c>
      <c r="BK72" s="280"/>
      <c r="BL72" s="260"/>
      <c r="BM72" s="260"/>
      <c r="BN72" s="260"/>
      <c r="BO72" s="260"/>
      <c r="BP72" s="260"/>
      <c r="BQ72" s="260"/>
      <c r="BR72" s="260"/>
      <c r="BS72" s="260"/>
      <c r="BT72" s="260"/>
      <c r="BU72" s="260"/>
      <c r="BV72" s="260"/>
      <c r="BW72" s="260"/>
      <c r="BX72" s="260"/>
      <c r="BY72" s="260"/>
      <c r="BZ72" s="260"/>
      <c r="CA72" s="260"/>
      <c r="CB72" s="260"/>
      <c r="CC72" s="260"/>
    </row>
    <row r="73" spans="1:98" s="262" customFormat="1" ht="24.75" customHeight="1" x14ac:dyDescent="0.2">
      <c r="A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AE73" s="280"/>
      <c r="AS73" s="280"/>
      <c r="AT73" s="388">
        <f>SUM(AG71+AT71)</f>
        <v>3000000</v>
      </c>
      <c r="AU73" s="388">
        <f t="shared" ref="AU73:BE73" si="67">SUM(AH71+AU71)</f>
        <v>1000000</v>
      </c>
      <c r="AV73" s="388">
        <f t="shared" si="67"/>
        <v>1000000</v>
      </c>
      <c r="AW73" s="388">
        <f t="shared" si="67"/>
        <v>1000000</v>
      </c>
      <c r="AX73" s="388">
        <f t="shared" si="67"/>
        <v>1000000</v>
      </c>
      <c r="AY73" s="388">
        <f t="shared" si="67"/>
        <v>1000000</v>
      </c>
      <c r="AZ73" s="388">
        <f t="shared" si="67"/>
        <v>1000000</v>
      </c>
      <c r="BA73" s="388">
        <f t="shared" si="67"/>
        <v>1000000</v>
      </c>
      <c r="BB73" s="388">
        <f t="shared" si="67"/>
        <v>1000000</v>
      </c>
      <c r="BC73" s="388">
        <f t="shared" si="67"/>
        <v>1000000</v>
      </c>
      <c r="BD73" s="388">
        <f t="shared" si="67"/>
        <v>0</v>
      </c>
      <c r="BE73" s="388">
        <f t="shared" si="67"/>
        <v>0</v>
      </c>
      <c r="BF73" s="388">
        <f>SUM(AT73:BE73)</f>
        <v>12000000</v>
      </c>
      <c r="BG73" s="280"/>
      <c r="BH73" s="286"/>
      <c r="BI73" s="287">
        <f>SUM(BI71-BI72)</f>
        <v>12000000</v>
      </c>
      <c r="BJ73" s="371" t="s">
        <v>37</v>
      </c>
      <c r="BK73" s="28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</row>
    <row r="74" spans="1:98" s="262" customFormat="1" ht="16.5" customHeight="1" x14ac:dyDescent="0.2">
      <c r="A74" s="1754" t="s">
        <v>8</v>
      </c>
      <c r="B74" s="1755"/>
      <c r="C74" s="244" t="s">
        <v>323</v>
      </c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93"/>
      <c r="AF74" s="245"/>
      <c r="AG74" s="246"/>
      <c r="AH74" s="246"/>
      <c r="AI74" s="246"/>
      <c r="AJ74" s="246"/>
      <c r="AK74" s="246"/>
      <c r="AL74" s="246"/>
      <c r="AM74" s="246"/>
      <c r="AN74" s="246"/>
      <c r="AO74" s="246"/>
      <c r="AP74" s="246"/>
      <c r="AQ74" s="246"/>
      <c r="AR74" s="246"/>
      <c r="AS74" s="247"/>
      <c r="AT74" s="246"/>
      <c r="AU74" s="246"/>
      <c r="AV74" s="246"/>
      <c r="AW74" s="246"/>
      <c r="AX74" s="246"/>
      <c r="AY74" s="246"/>
      <c r="AZ74" s="246"/>
      <c r="BA74" s="246"/>
      <c r="BB74" s="246"/>
      <c r="BC74" s="246"/>
      <c r="BD74" s="246"/>
      <c r="BE74" s="246"/>
      <c r="BF74" s="247"/>
      <c r="BG74" s="247"/>
      <c r="BH74" s="243"/>
      <c r="BI74" s="248"/>
      <c r="BJ74" s="372"/>
      <c r="BK74" s="246"/>
      <c r="BL74" s="246"/>
      <c r="BM74" s="246"/>
      <c r="BN74" s="246"/>
      <c r="BO74" s="246"/>
      <c r="BP74" s="293"/>
      <c r="BQ74" s="246"/>
      <c r="BR74" s="246"/>
      <c r="BS74" s="246"/>
      <c r="BT74" s="246"/>
      <c r="BU74" s="246"/>
      <c r="BV74" s="247"/>
      <c r="BW74" s="247"/>
      <c r="BX74" s="247"/>
      <c r="BY74" s="243"/>
      <c r="BZ74" s="248"/>
      <c r="CA74" s="247"/>
      <c r="CB74" s="247"/>
      <c r="CC74" s="260"/>
      <c r="CD74" s="260"/>
      <c r="CE74" s="260"/>
      <c r="CF74" s="260"/>
      <c r="CG74" s="260"/>
      <c r="CH74" s="261"/>
      <c r="CI74" s="260"/>
      <c r="CJ74" s="260"/>
      <c r="CK74" s="260"/>
      <c r="CL74" s="260"/>
      <c r="CM74" s="260"/>
      <c r="CN74" s="260"/>
      <c r="CO74" s="260"/>
      <c r="CP74" s="260"/>
      <c r="CQ74" s="260"/>
      <c r="CR74" s="260"/>
      <c r="CS74" s="260"/>
      <c r="CT74" s="260"/>
    </row>
    <row r="75" spans="1:98" s="264" customFormat="1" ht="48.75" customHeight="1" x14ac:dyDescent="0.2">
      <c r="A75" s="1756" t="s">
        <v>10</v>
      </c>
      <c r="B75" s="1759" t="s">
        <v>11</v>
      </c>
      <c r="C75" s="1759" t="s">
        <v>22</v>
      </c>
      <c r="D75" s="1762" t="s">
        <v>12</v>
      </c>
      <c r="E75" s="1762"/>
      <c r="F75" s="1762"/>
      <c r="G75" s="1762"/>
      <c r="H75" s="1762"/>
      <c r="I75" s="1762"/>
      <c r="J75" s="1762"/>
      <c r="K75" s="1762"/>
      <c r="L75" s="1762"/>
      <c r="M75" s="1762"/>
      <c r="N75" s="1762"/>
      <c r="O75" s="1762"/>
      <c r="P75" s="1762"/>
      <c r="Q75" s="1762"/>
      <c r="R75" s="1759" t="s">
        <v>20</v>
      </c>
      <c r="S75" s="1763" t="s">
        <v>17</v>
      </c>
      <c r="T75" s="1764"/>
      <c r="U75" s="1764"/>
      <c r="V75" s="1764"/>
      <c r="W75" s="1764"/>
      <c r="X75" s="1764"/>
      <c r="Y75" s="1764"/>
      <c r="Z75" s="1764"/>
      <c r="AA75" s="1764"/>
      <c r="AB75" s="1764"/>
      <c r="AC75" s="1764"/>
      <c r="AD75" s="1764"/>
      <c r="AE75" s="1765"/>
      <c r="AF75" s="1766" t="s">
        <v>6</v>
      </c>
      <c r="AG75" s="1766"/>
      <c r="AH75" s="1766"/>
      <c r="AI75" s="1766"/>
      <c r="AJ75" s="1766"/>
      <c r="AK75" s="1766"/>
      <c r="AL75" s="1766"/>
      <c r="AM75" s="1766"/>
      <c r="AN75" s="1766"/>
      <c r="AO75" s="1766"/>
      <c r="AP75" s="1766"/>
      <c r="AQ75" s="1766"/>
      <c r="AR75" s="1766"/>
      <c r="AS75" s="1766"/>
      <c r="AT75" s="1767" t="s">
        <v>41</v>
      </c>
      <c r="AU75" s="1768"/>
      <c r="AV75" s="1768"/>
      <c r="AW75" s="1768"/>
      <c r="AX75" s="1768"/>
      <c r="AY75" s="1768"/>
      <c r="AZ75" s="1768"/>
      <c r="BA75" s="1768"/>
      <c r="BB75" s="1768"/>
      <c r="BC75" s="1768"/>
      <c r="BD75" s="1768"/>
      <c r="BE75" s="1768"/>
      <c r="BF75" s="1769"/>
      <c r="BG75" s="1759" t="s">
        <v>38</v>
      </c>
      <c r="BH75" s="1759" t="s">
        <v>256</v>
      </c>
      <c r="BI75" s="1746" t="s">
        <v>39</v>
      </c>
      <c r="BJ75" s="243"/>
      <c r="BK75" s="245"/>
      <c r="BL75" s="245"/>
      <c r="BM75" s="245"/>
      <c r="BN75" s="245"/>
      <c r="BO75" s="245"/>
      <c r="BP75" s="245"/>
      <c r="BQ75" s="245"/>
      <c r="BR75" s="245"/>
      <c r="BS75" s="245"/>
      <c r="BT75" s="245"/>
      <c r="BU75" s="245"/>
      <c r="BV75" s="245"/>
      <c r="BW75" s="245"/>
      <c r="BX75" s="245"/>
      <c r="BY75" s="245"/>
      <c r="BZ75" s="245"/>
      <c r="CA75" s="263"/>
      <c r="CB75" s="263"/>
    </row>
    <row r="76" spans="1:98" s="264" customFormat="1" ht="48.75" customHeight="1" x14ac:dyDescent="0.2">
      <c r="A76" s="1757"/>
      <c r="B76" s="1760"/>
      <c r="C76" s="1760"/>
      <c r="D76" s="1749" t="s">
        <v>18</v>
      </c>
      <c r="E76" s="1751" t="s">
        <v>19</v>
      </c>
      <c r="F76" s="1752"/>
      <c r="G76" s="1752"/>
      <c r="H76" s="1752"/>
      <c r="I76" s="1752"/>
      <c r="J76" s="1752"/>
      <c r="K76" s="1752"/>
      <c r="L76" s="1752"/>
      <c r="M76" s="1752"/>
      <c r="N76" s="1752"/>
      <c r="O76" s="1752"/>
      <c r="P76" s="1752"/>
      <c r="Q76" s="1752"/>
      <c r="R76" s="1760"/>
      <c r="S76" s="1749" t="s">
        <v>18</v>
      </c>
      <c r="T76" s="1751" t="s">
        <v>19</v>
      </c>
      <c r="U76" s="1752"/>
      <c r="V76" s="1752"/>
      <c r="W76" s="1752"/>
      <c r="X76" s="1752"/>
      <c r="Y76" s="1752"/>
      <c r="Z76" s="1752"/>
      <c r="AA76" s="1752"/>
      <c r="AB76" s="1752"/>
      <c r="AC76" s="1752"/>
      <c r="AD76" s="1752"/>
      <c r="AE76" s="1753"/>
      <c r="AF76" s="1749" t="s">
        <v>18</v>
      </c>
      <c r="AG76" s="1751" t="s">
        <v>19</v>
      </c>
      <c r="AH76" s="1752"/>
      <c r="AI76" s="1752"/>
      <c r="AJ76" s="1752"/>
      <c r="AK76" s="1752"/>
      <c r="AL76" s="1752"/>
      <c r="AM76" s="1752"/>
      <c r="AN76" s="1752"/>
      <c r="AO76" s="1752"/>
      <c r="AP76" s="1752"/>
      <c r="AQ76" s="1752"/>
      <c r="AR76" s="1752"/>
      <c r="AS76" s="1753"/>
      <c r="AT76" s="1770"/>
      <c r="AU76" s="1771"/>
      <c r="AV76" s="1771"/>
      <c r="AW76" s="1771"/>
      <c r="AX76" s="1771"/>
      <c r="AY76" s="1771"/>
      <c r="AZ76" s="1771"/>
      <c r="BA76" s="1771"/>
      <c r="BB76" s="1771"/>
      <c r="BC76" s="1771"/>
      <c r="BD76" s="1771"/>
      <c r="BE76" s="1771"/>
      <c r="BF76" s="1772"/>
      <c r="BG76" s="1760"/>
      <c r="BH76" s="1760"/>
      <c r="BI76" s="1747"/>
      <c r="BJ76" s="243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63"/>
      <c r="CB76" s="263"/>
    </row>
    <row r="77" spans="1:98" s="269" customFormat="1" ht="28.5" customHeight="1" x14ac:dyDescent="0.2">
      <c r="A77" s="1758"/>
      <c r="B77" s="1761"/>
      <c r="C77" s="1761"/>
      <c r="D77" s="1750"/>
      <c r="E77" s="265">
        <v>1</v>
      </c>
      <c r="F77" s="265">
        <v>2</v>
      </c>
      <c r="G77" s="265">
        <v>3</v>
      </c>
      <c r="H77" s="265">
        <v>4</v>
      </c>
      <c r="I77" s="265">
        <v>5</v>
      </c>
      <c r="J77" s="265">
        <v>6</v>
      </c>
      <c r="K77" s="265">
        <v>7</v>
      </c>
      <c r="L77" s="265">
        <v>8</v>
      </c>
      <c r="M77" s="265">
        <v>9</v>
      </c>
      <c r="N77" s="265">
        <v>10</v>
      </c>
      <c r="O77" s="265">
        <v>11</v>
      </c>
      <c r="P77" s="265">
        <v>12</v>
      </c>
      <c r="Q77" s="265" t="s">
        <v>21</v>
      </c>
      <c r="R77" s="1761"/>
      <c r="S77" s="1750"/>
      <c r="T77" s="265">
        <v>1</v>
      </c>
      <c r="U77" s="265">
        <v>2</v>
      </c>
      <c r="V77" s="265">
        <v>3</v>
      </c>
      <c r="W77" s="265">
        <v>4</v>
      </c>
      <c r="X77" s="265">
        <v>5</v>
      </c>
      <c r="Y77" s="265">
        <v>6</v>
      </c>
      <c r="Z77" s="265">
        <v>7</v>
      </c>
      <c r="AA77" s="265">
        <v>8</v>
      </c>
      <c r="AB77" s="265">
        <v>9</v>
      </c>
      <c r="AC77" s="265">
        <v>10</v>
      </c>
      <c r="AD77" s="265">
        <v>11</v>
      </c>
      <c r="AE77" s="265">
        <v>12</v>
      </c>
      <c r="AF77" s="1750"/>
      <c r="AG77" s="265">
        <v>1</v>
      </c>
      <c r="AH77" s="265">
        <v>2</v>
      </c>
      <c r="AI77" s="265">
        <v>3</v>
      </c>
      <c r="AJ77" s="265">
        <v>4</v>
      </c>
      <c r="AK77" s="265">
        <v>5</v>
      </c>
      <c r="AL77" s="265">
        <v>6</v>
      </c>
      <c r="AM77" s="265">
        <v>7</v>
      </c>
      <c r="AN77" s="265">
        <v>8</v>
      </c>
      <c r="AO77" s="265">
        <v>9</v>
      </c>
      <c r="AP77" s="265">
        <v>10</v>
      </c>
      <c r="AQ77" s="265">
        <v>11</v>
      </c>
      <c r="AR77" s="265">
        <v>12</v>
      </c>
      <c r="AS77" s="265" t="s">
        <v>13</v>
      </c>
      <c r="AT77" s="266">
        <v>1</v>
      </c>
      <c r="AU77" s="266">
        <v>2</v>
      </c>
      <c r="AV77" s="266">
        <v>3</v>
      </c>
      <c r="AW77" s="266">
        <v>4</v>
      </c>
      <c r="AX77" s="266">
        <v>5</v>
      </c>
      <c r="AY77" s="266">
        <v>6</v>
      </c>
      <c r="AZ77" s="266">
        <v>7</v>
      </c>
      <c r="BA77" s="266">
        <v>8</v>
      </c>
      <c r="BB77" s="266">
        <v>9</v>
      </c>
      <c r="BC77" s="266">
        <v>10</v>
      </c>
      <c r="BD77" s="266">
        <v>11</v>
      </c>
      <c r="BE77" s="266">
        <v>12</v>
      </c>
      <c r="BF77" s="265" t="s">
        <v>13</v>
      </c>
      <c r="BG77" s="1761"/>
      <c r="BH77" s="1761"/>
      <c r="BI77" s="1748"/>
      <c r="BJ77" s="267"/>
      <c r="BK77" s="268"/>
      <c r="BL77" s="268"/>
      <c r="BM77" s="268"/>
      <c r="BN77" s="268"/>
      <c r="BO77" s="268"/>
      <c r="BP77" s="268"/>
      <c r="BQ77" s="268"/>
      <c r="BR77" s="268"/>
      <c r="BS77" s="268"/>
      <c r="BT77" s="268"/>
      <c r="BU77" s="268"/>
      <c r="BV77" s="268"/>
      <c r="BW77" s="268"/>
      <c r="BX77" s="268"/>
      <c r="BY77" s="268"/>
      <c r="BZ77" s="268"/>
      <c r="CA77" s="268"/>
      <c r="CB77" s="268"/>
    </row>
    <row r="78" spans="1:98" s="328" customFormat="1" ht="24.75" customHeight="1" thickBot="1" x14ac:dyDescent="0.25">
      <c r="A78" s="340"/>
      <c r="B78" s="351" t="s">
        <v>326</v>
      </c>
      <c r="C78" s="281" t="s">
        <v>25</v>
      </c>
      <c r="D78" s="333">
        <v>1</v>
      </c>
      <c r="E78" s="333">
        <v>1</v>
      </c>
      <c r="F78" s="342"/>
      <c r="G78" s="342"/>
      <c r="H78" s="342"/>
      <c r="I78" s="342"/>
      <c r="J78" s="342"/>
      <c r="K78" s="342"/>
      <c r="L78" s="342"/>
      <c r="M78" s="342"/>
      <c r="N78" s="342"/>
      <c r="O78" s="342"/>
      <c r="P78" s="342"/>
      <c r="Q78" s="343">
        <f>SUM(E78:P78)</f>
        <v>1</v>
      </c>
      <c r="R78" s="334" t="s">
        <v>68</v>
      </c>
      <c r="S78" s="332">
        <v>2900000</v>
      </c>
      <c r="T78" s="332">
        <v>2900000</v>
      </c>
      <c r="U78" s="332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271">
        <f t="shared" ref="AF78" si="68">SUM(Q78*S78)</f>
        <v>2900000</v>
      </c>
      <c r="AG78" s="272">
        <f>T78*E78</f>
        <v>2900000</v>
      </c>
      <c r="AH78" s="272">
        <f>U78*F78</f>
        <v>0</v>
      </c>
      <c r="AI78" s="272">
        <f>V78*G78</f>
        <v>0</v>
      </c>
      <c r="AJ78" s="272">
        <f t="shared" ref="AJ78" si="69">W78*H78</f>
        <v>0</v>
      </c>
      <c r="AK78" s="272">
        <f t="shared" ref="AK78" si="70">X78*I78</f>
        <v>0</v>
      </c>
      <c r="AL78" s="272">
        <f t="shared" ref="AL78" si="71">Y78*J78</f>
        <v>0</v>
      </c>
      <c r="AM78" s="272">
        <f t="shared" ref="AM78" si="72">Z78*K78</f>
        <v>0</v>
      </c>
      <c r="AN78" s="272">
        <f t="shared" ref="AN78" si="73">AA78*L78</f>
        <v>0</v>
      </c>
      <c r="AO78" s="272">
        <f t="shared" ref="AO78" si="74">AB78*M78</f>
        <v>0</v>
      </c>
      <c r="AP78" s="272">
        <f t="shared" ref="AP78" si="75">AC78*N78</f>
        <v>0</v>
      </c>
      <c r="AQ78" s="272">
        <f t="shared" ref="AQ78" si="76">AD78*O78</f>
        <v>0</v>
      </c>
      <c r="AR78" s="272">
        <f t="shared" ref="AR78" si="77">AE78*P78</f>
        <v>0</v>
      </c>
      <c r="AS78" s="273">
        <f t="shared" ref="AS78" si="78">SUM(AG78:AR78)</f>
        <v>2900000</v>
      </c>
      <c r="AT78" s="272"/>
      <c r="AU78" s="272"/>
      <c r="AV78" s="272"/>
      <c r="AW78" s="272"/>
      <c r="AX78" s="272"/>
      <c r="AY78" s="272"/>
      <c r="AZ78" s="272"/>
      <c r="BA78" s="272"/>
      <c r="BB78" s="272"/>
      <c r="BC78" s="272"/>
      <c r="BD78" s="272"/>
      <c r="BE78" s="272"/>
      <c r="BF78" s="299">
        <f>SUM(AT78:BE78)</f>
        <v>0</v>
      </c>
      <c r="BG78" s="344">
        <f>AF78-AS78-BF78</f>
        <v>0</v>
      </c>
      <c r="BH78" s="345">
        <f>S78*D78</f>
        <v>2900000</v>
      </c>
      <c r="BI78" s="346">
        <f>BH78-AS78-BF78</f>
        <v>0</v>
      </c>
      <c r="BJ78" s="373">
        <f>SUM(Q78/D78)</f>
        <v>1</v>
      </c>
      <c r="BK78" s="277"/>
      <c r="BL78" s="277"/>
      <c r="BM78" s="277"/>
      <c r="BN78" s="277"/>
      <c r="BO78" s="277"/>
      <c r="BP78" s="347"/>
      <c r="BQ78" s="347"/>
      <c r="BR78" s="347"/>
      <c r="BS78" s="347"/>
      <c r="BT78" s="347"/>
      <c r="BU78" s="347"/>
      <c r="BV78" s="347"/>
      <c r="BW78" s="347"/>
      <c r="BX78" s="347"/>
      <c r="BY78" s="347"/>
      <c r="BZ78" s="347"/>
      <c r="CA78" s="347"/>
      <c r="CB78" s="347"/>
    </row>
    <row r="79" spans="1:98" s="356" customFormat="1" ht="24.75" customHeight="1" thickBot="1" x14ac:dyDescent="0.25">
      <c r="A79" s="554">
        <v>10</v>
      </c>
      <c r="B79" s="352" t="s">
        <v>4</v>
      </c>
      <c r="C79" s="352"/>
      <c r="D79" s="353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1"/>
      <c r="R79" s="354"/>
      <c r="S79" s="353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49">
        <f>SUM(AF78:AF78)</f>
        <v>2900000</v>
      </c>
      <c r="AG79" s="349">
        <f>SUM(AG78:AG78)</f>
        <v>2900000</v>
      </c>
      <c r="AH79" s="349">
        <f>SUM(AH78:AH78)</f>
        <v>0</v>
      </c>
      <c r="AI79" s="349">
        <f>SUM(AI78:AI78)</f>
        <v>0</v>
      </c>
      <c r="AJ79" s="349">
        <f t="shared" ref="AJ79:AR79" si="79">SUM(AJ78:AJ78)</f>
        <v>0</v>
      </c>
      <c r="AK79" s="349">
        <f t="shared" si="79"/>
        <v>0</v>
      </c>
      <c r="AL79" s="349">
        <f t="shared" si="79"/>
        <v>0</v>
      </c>
      <c r="AM79" s="349">
        <f t="shared" si="79"/>
        <v>0</v>
      </c>
      <c r="AN79" s="349">
        <f t="shared" si="79"/>
        <v>0</v>
      </c>
      <c r="AO79" s="349">
        <f t="shared" si="79"/>
        <v>0</v>
      </c>
      <c r="AP79" s="349">
        <f t="shared" si="79"/>
        <v>0</v>
      </c>
      <c r="AQ79" s="349">
        <f t="shared" si="79"/>
        <v>0</v>
      </c>
      <c r="AR79" s="349">
        <f t="shared" si="79"/>
        <v>0</v>
      </c>
      <c r="AS79" s="349">
        <f>SUM(AS78:AS78)</f>
        <v>2900000</v>
      </c>
      <c r="AT79" s="349">
        <f>SUM(AT78:AT78)</f>
        <v>0</v>
      </c>
      <c r="AU79" s="349">
        <f>SUM(AU78:AU78)</f>
        <v>0</v>
      </c>
      <c r="AV79" s="349">
        <f>SUM(AV78:AV78)</f>
        <v>0</v>
      </c>
      <c r="AW79" s="349"/>
      <c r="AX79" s="349"/>
      <c r="AY79" s="349"/>
      <c r="AZ79" s="349"/>
      <c r="BA79" s="349"/>
      <c r="BB79" s="349"/>
      <c r="BC79" s="349"/>
      <c r="BD79" s="349"/>
      <c r="BE79" s="349"/>
      <c r="BF79" s="349">
        <f>SUM(BF78:BF78)</f>
        <v>0</v>
      </c>
      <c r="BG79" s="350">
        <f>AF79-AS79-BF79</f>
        <v>0</v>
      </c>
      <c r="BH79" s="349">
        <f>SUM(BH78:BH78)</f>
        <v>2900000</v>
      </c>
      <c r="BI79" s="349">
        <f>SUM(BI78:BI78)</f>
        <v>0</v>
      </c>
      <c r="BJ79" s="375">
        <f>SUM(BJ78)</f>
        <v>1</v>
      </c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  <c r="BU79" s="318"/>
      <c r="BV79" s="318"/>
      <c r="BW79" s="318"/>
      <c r="BX79" s="318"/>
      <c r="BY79" s="318"/>
      <c r="BZ79" s="318"/>
      <c r="CA79" s="318"/>
      <c r="CB79" s="318"/>
    </row>
    <row r="80" spans="1:98" s="262" customFormat="1" ht="24.75" customHeight="1" x14ac:dyDescent="0.2">
      <c r="A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AE80" s="280"/>
      <c r="AS80" s="291"/>
      <c r="BF80" s="319">
        <f>SUM(AS79+BF79)</f>
        <v>2900000</v>
      </c>
      <c r="BG80" s="284">
        <f>AF79-AS79-BF79</f>
        <v>0</v>
      </c>
      <c r="BH80" s="320">
        <f>SUM(BI79+AS79+BF79)</f>
        <v>2900000</v>
      </c>
      <c r="BI80" s="285">
        <f>SUM(BG79)</f>
        <v>0</v>
      </c>
      <c r="BJ80" s="371" t="s">
        <v>38</v>
      </c>
      <c r="BK80" s="280"/>
      <c r="BL80" s="260"/>
      <c r="BM80" s="260"/>
      <c r="BN80" s="260"/>
      <c r="BO80" s="260"/>
      <c r="BP80" s="260"/>
      <c r="BQ80" s="260"/>
      <c r="BR80" s="260"/>
      <c r="BS80" s="260"/>
      <c r="BT80" s="260"/>
      <c r="BU80" s="260"/>
      <c r="BV80" s="260"/>
      <c r="BW80" s="260"/>
      <c r="BX80" s="260"/>
      <c r="BY80" s="260"/>
      <c r="BZ80" s="260"/>
      <c r="CA80" s="260"/>
      <c r="CB80" s="260"/>
      <c r="CC80" s="260"/>
    </row>
    <row r="81" spans="1:98" s="262" customFormat="1" ht="24.75" customHeight="1" x14ac:dyDescent="0.2">
      <c r="A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AE81" s="280"/>
      <c r="AS81" s="280"/>
      <c r="AT81" s="388">
        <f>SUM(AG79+AT79)</f>
        <v>2900000</v>
      </c>
      <c r="AU81" s="388">
        <f t="shared" ref="AU81" si="80">SUM(AH79+AU79)</f>
        <v>0</v>
      </c>
      <c r="AV81" s="388">
        <f t="shared" ref="AV81" si="81">SUM(AI79+AV79)</f>
        <v>0</v>
      </c>
      <c r="AW81" s="388">
        <f t="shared" ref="AW81" si="82">SUM(AJ79+AW79)</f>
        <v>0</v>
      </c>
      <c r="AX81" s="388">
        <f t="shared" ref="AX81" si="83">SUM(AK79+AX79)</f>
        <v>0</v>
      </c>
      <c r="AY81" s="388">
        <f t="shared" ref="AY81" si="84">SUM(AL79+AY79)</f>
        <v>0</v>
      </c>
      <c r="AZ81" s="388">
        <f t="shared" ref="AZ81" si="85">SUM(AM79+AZ79)</f>
        <v>0</v>
      </c>
      <c r="BA81" s="388">
        <f t="shared" ref="BA81" si="86">SUM(AN79+BA79)</f>
        <v>0</v>
      </c>
      <c r="BB81" s="388">
        <f t="shared" ref="BB81" si="87">SUM(AO79+BB79)</f>
        <v>0</v>
      </c>
      <c r="BC81" s="388">
        <f t="shared" ref="BC81" si="88">SUM(AP79+BC79)</f>
        <v>0</v>
      </c>
      <c r="BD81" s="388">
        <f t="shared" ref="BD81" si="89">SUM(AQ79+BD79)</f>
        <v>0</v>
      </c>
      <c r="BE81" s="388">
        <f t="shared" ref="BE81" si="90">SUM(AR79+BE79)</f>
        <v>0</v>
      </c>
      <c r="BF81" s="388">
        <f>SUM(AT81:BE81)</f>
        <v>2900000</v>
      </c>
      <c r="BG81" s="280"/>
      <c r="BH81" s="286"/>
      <c r="BI81" s="287">
        <f>SUM(BI79-BI80)</f>
        <v>0</v>
      </c>
      <c r="BJ81" s="371" t="s">
        <v>37</v>
      </c>
      <c r="BK81" s="280"/>
      <c r="BL81" s="260"/>
      <c r="BM81" s="260"/>
      <c r="BN81" s="260"/>
      <c r="BO81" s="260"/>
      <c r="BP81" s="260"/>
      <c r="BQ81" s="260"/>
      <c r="BR81" s="260"/>
      <c r="BS81" s="260"/>
      <c r="BT81" s="260"/>
      <c r="BU81" s="260"/>
      <c r="BV81" s="260"/>
      <c r="BW81" s="260"/>
      <c r="BX81" s="260"/>
      <c r="BY81" s="260"/>
      <c r="BZ81" s="260"/>
      <c r="CA81" s="260"/>
      <c r="CB81" s="260"/>
      <c r="CC81" s="260"/>
    </row>
    <row r="82" spans="1:98" s="262" customFormat="1" ht="16.5" customHeight="1" x14ac:dyDescent="0.2">
      <c r="A82" s="1754" t="s">
        <v>8</v>
      </c>
      <c r="B82" s="1755"/>
      <c r="C82" s="244" t="s">
        <v>323</v>
      </c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93"/>
      <c r="AF82" s="245"/>
      <c r="AG82" s="246"/>
      <c r="AH82" s="246"/>
      <c r="AI82" s="246"/>
      <c r="AJ82" s="246"/>
      <c r="AK82" s="246"/>
      <c r="AL82" s="246"/>
      <c r="AM82" s="246"/>
      <c r="AN82" s="246"/>
      <c r="AO82" s="246"/>
      <c r="AP82" s="246"/>
      <c r="AQ82" s="246"/>
      <c r="AR82" s="246"/>
      <c r="AS82" s="247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7"/>
      <c r="BG82" s="247"/>
      <c r="BH82" s="243"/>
      <c r="BI82" s="248"/>
      <c r="BJ82" s="372"/>
      <c r="BK82" s="246"/>
      <c r="BL82" s="246"/>
      <c r="BM82" s="246"/>
      <c r="BN82" s="246"/>
      <c r="BO82" s="246"/>
      <c r="BP82" s="293"/>
      <c r="BQ82" s="246"/>
      <c r="BR82" s="246"/>
      <c r="BS82" s="246"/>
      <c r="BT82" s="246"/>
      <c r="BU82" s="246"/>
      <c r="BV82" s="247"/>
      <c r="BW82" s="247"/>
      <c r="BX82" s="247"/>
      <c r="BY82" s="243"/>
      <c r="BZ82" s="248"/>
      <c r="CA82" s="247"/>
      <c r="CB82" s="247"/>
      <c r="CC82" s="260"/>
      <c r="CD82" s="260"/>
      <c r="CE82" s="260"/>
      <c r="CF82" s="260"/>
      <c r="CG82" s="260"/>
      <c r="CH82" s="261"/>
      <c r="CI82" s="260"/>
      <c r="CJ82" s="260"/>
      <c r="CK82" s="260"/>
      <c r="CL82" s="260"/>
      <c r="CM82" s="260"/>
      <c r="CN82" s="260"/>
      <c r="CO82" s="260"/>
      <c r="CP82" s="260"/>
      <c r="CQ82" s="260"/>
      <c r="CR82" s="260"/>
      <c r="CS82" s="260"/>
      <c r="CT82" s="260"/>
    </row>
    <row r="83" spans="1:98" s="264" customFormat="1" ht="48.75" customHeight="1" x14ac:dyDescent="0.2">
      <c r="A83" s="1756" t="s">
        <v>10</v>
      </c>
      <c r="B83" s="1759" t="s">
        <v>11</v>
      </c>
      <c r="C83" s="1759" t="s">
        <v>22</v>
      </c>
      <c r="D83" s="1762" t="s">
        <v>12</v>
      </c>
      <c r="E83" s="1762"/>
      <c r="F83" s="1762"/>
      <c r="G83" s="1762"/>
      <c r="H83" s="1762"/>
      <c r="I83" s="1762"/>
      <c r="J83" s="1762"/>
      <c r="K83" s="1762"/>
      <c r="L83" s="1762"/>
      <c r="M83" s="1762"/>
      <c r="N83" s="1762"/>
      <c r="O83" s="1762"/>
      <c r="P83" s="1762"/>
      <c r="Q83" s="1762"/>
      <c r="R83" s="1759" t="s">
        <v>20</v>
      </c>
      <c r="S83" s="1763" t="s">
        <v>17</v>
      </c>
      <c r="T83" s="1764"/>
      <c r="U83" s="1764"/>
      <c r="V83" s="1764"/>
      <c r="W83" s="1764"/>
      <c r="X83" s="1764"/>
      <c r="Y83" s="1764"/>
      <c r="Z83" s="1764"/>
      <c r="AA83" s="1764"/>
      <c r="AB83" s="1764"/>
      <c r="AC83" s="1764"/>
      <c r="AD83" s="1764"/>
      <c r="AE83" s="1765"/>
      <c r="AF83" s="1766" t="s">
        <v>6</v>
      </c>
      <c r="AG83" s="1766"/>
      <c r="AH83" s="1766"/>
      <c r="AI83" s="1766"/>
      <c r="AJ83" s="1766"/>
      <c r="AK83" s="1766"/>
      <c r="AL83" s="1766"/>
      <c r="AM83" s="1766"/>
      <c r="AN83" s="1766"/>
      <c r="AO83" s="1766"/>
      <c r="AP83" s="1766"/>
      <c r="AQ83" s="1766"/>
      <c r="AR83" s="1766"/>
      <c r="AS83" s="1766"/>
      <c r="AT83" s="1767" t="s">
        <v>41</v>
      </c>
      <c r="AU83" s="1768"/>
      <c r="AV83" s="1768"/>
      <c r="AW83" s="1768"/>
      <c r="AX83" s="1768"/>
      <c r="AY83" s="1768"/>
      <c r="AZ83" s="1768"/>
      <c r="BA83" s="1768"/>
      <c r="BB83" s="1768"/>
      <c r="BC83" s="1768"/>
      <c r="BD83" s="1768"/>
      <c r="BE83" s="1768"/>
      <c r="BF83" s="1769"/>
      <c r="BG83" s="1759" t="s">
        <v>38</v>
      </c>
      <c r="BH83" s="1759" t="s">
        <v>256</v>
      </c>
      <c r="BI83" s="1746" t="s">
        <v>39</v>
      </c>
      <c r="BJ83" s="243"/>
      <c r="BK83" s="245"/>
      <c r="BL83" s="245"/>
      <c r="BM83" s="245"/>
      <c r="BN83" s="245"/>
      <c r="BO83" s="245"/>
      <c r="BP83" s="245"/>
      <c r="BQ83" s="245"/>
      <c r="BR83" s="245"/>
      <c r="BS83" s="245"/>
      <c r="BT83" s="245"/>
      <c r="BU83" s="245"/>
      <c r="BV83" s="245"/>
      <c r="BW83" s="245"/>
      <c r="BX83" s="245"/>
      <c r="BY83" s="245"/>
      <c r="BZ83" s="245"/>
      <c r="CA83" s="263"/>
      <c r="CB83" s="263"/>
    </row>
    <row r="84" spans="1:98" s="264" customFormat="1" ht="48.75" customHeight="1" x14ac:dyDescent="0.2">
      <c r="A84" s="1757"/>
      <c r="B84" s="1760"/>
      <c r="C84" s="1760"/>
      <c r="D84" s="1749" t="s">
        <v>18</v>
      </c>
      <c r="E84" s="1751" t="s">
        <v>19</v>
      </c>
      <c r="F84" s="1752"/>
      <c r="G84" s="1752"/>
      <c r="H84" s="1752"/>
      <c r="I84" s="1752"/>
      <c r="J84" s="1752"/>
      <c r="K84" s="1752"/>
      <c r="L84" s="1752"/>
      <c r="M84" s="1752"/>
      <c r="N84" s="1752"/>
      <c r="O84" s="1752"/>
      <c r="P84" s="1752"/>
      <c r="Q84" s="1752"/>
      <c r="R84" s="1760"/>
      <c r="S84" s="1749" t="s">
        <v>18</v>
      </c>
      <c r="T84" s="1751" t="s">
        <v>19</v>
      </c>
      <c r="U84" s="1752"/>
      <c r="V84" s="1752"/>
      <c r="W84" s="1752"/>
      <c r="X84" s="1752"/>
      <c r="Y84" s="1752"/>
      <c r="Z84" s="1752"/>
      <c r="AA84" s="1752"/>
      <c r="AB84" s="1752"/>
      <c r="AC84" s="1752"/>
      <c r="AD84" s="1752"/>
      <c r="AE84" s="1753"/>
      <c r="AF84" s="1749" t="s">
        <v>18</v>
      </c>
      <c r="AG84" s="1751" t="s">
        <v>19</v>
      </c>
      <c r="AH84" s="1752"/>
      <c r="AI84" s="1752"/>
      <c r="AJ84" s="1752"/>
      <c r="AK84" s="1752"/>
      <c r="AL84" s="1752"/>
      <c r="AM84" s="1752"/>
      <c r="AN84" s="1752"/>
      <c r="AO84" s="1752"/>
      <c r="AP84" s="1752"/>
      <c r="AQ84" s="1752"/>
      <c r="AR84" s="1752"/>
      <c r="AS84" s="1753"/>
      <c r="AT84" s="1770"/>
      <c r="AU84" s="1771"/>
      <c r="AV84" s="1771"/>
      <c r="AW84" s="1771"/>
      <c r="AX84" s="1771"/>
      <c r="AY84" s="1771"/>
      <c r="AZ84" s="1771"/>
      <c r="BA84" s="1771"/>
      <c r="BB84" s="1771"/>
      <c r="BC84" s="1771"/>
      <c r="BD84" s="1771"/>
      <c r="BE84" s="1771"/>
      <c r="BF84" s="1772"/>
      <c r="BG84" s="1760"/>
      <c r="BH84" s="1760"/>
      <c r="BI84" s="1747"/>
      <c r="BJ84" s="243"/>
      <c r="BK84" s="245"/>
      <c r="BL84" s="245"/>
      <c r="BM84" s="245"/>
      <c r="BN84" s="245"/>
      <c r="BO84" s="245"/>
      <c r="BP84" s="245"/>
      <c r="BQ84" s="245"/>
      <c r="BR84" s="245"/>
      <c r="BS84" s="245"/>
      <c r="BT84" s="245"/>
      <c r="BU84" s="245"/>
      <c r="BV84" s="245"/>
      <c r="BW84" s="245"/>
      <c r="BX84" s="245"/>
      <c r="BY84" s="245"/>
      <c r="BZ84" s="245"/>
      <c r="CA84" s="263"/>
      <c r="CB84" s="263"/>
    </row>
    <row r="85" spans="1:98" s="269" customFormat="1" ht="28.5" customHeight="1" x14ac:dyDescent="0.2">
      <c r="A85" s="1758"/>
      <c r="B85" s="1761"/>
      <c r="C85" s="1761"/>
      <c r="D85" s="1750"/>
      <c r="E85" s="265">
        <v>1</v>
      </c>
      <c r="F85" s="265">
        <v>2</v>
      </c>
      <c r="G85" s="265">
        <v>3</v>
      </c>
      <c r="H85" s="265">
        <v>4</v>
      </c>
      <c r="I85" s="265">
        <v>5</v>
      </c>
      <c r="J85" s="265">
        <v>6</v>
      </c>
      <c r="K85" s="265">
        <v>7</v>
      </c>
      <c r="L85" s="265">
        <v>8</v>
      </c>
      <c r="M85" s="265">
        <v>9</v>
      </c>
      <c r="N85" s="265">
        <v>10</v>
      </c>
      <c r="O85" s="265">
        <v>11</v>
      </c>
      <c r="P85" s="265">
        <v>12</v>
      </c>
      <c r="Q85" s="265" t="s">
        <v>21</v>
      </c>
      <c r="R85" s="1761"/>
      <c r="S85" s="1750"/>
      <c r="T85" s="265">
        <v>1</v>
      </c>
      <c r="U85" s="265">
        <v>2</v>
      </c>
      <c r="V85" s="265">
        <v>3</v>
      </c>
      <c r="W85" s="265">
        <v>4</v>
      </c>
      <c r="X85" s="265">
        <v>5</v>
      </c>
      <c r="Y85" s="265">
        <v>6</v>
      </c>
      <c r="Z85" s="265">
        <v>7</v>
      </c>
      <c r="AA85" s="265">
        <v>8</v>
      </c>
      <c r="AB85" s="265">
        <v>9</v>
      </c>
      <c r="AC85" s="265">
        <v>10</v>
      </c>
      <c r="AD85" s="265">
        <v>11</v>
      </c>
      <c r="AE85" s="265">
        <v>12</v>
      </c>
      <c r="AF85" s="1750"/>
      <c r="AG85" s="265">
        <v>1</v>
      </c>
      <c r="AH85" s="265">
        <v>2</v>
      </c>
      <c r="AI85" s="265">
        <v>3</v>
      </c>
      <c r="AJ85" s="265">
        <v>4</v>
      </c>
      <c r="AK85" s="265">
        <v>5</v>
      </c>
      <c r="AL85" s="265">
        <v>6</v>
      </c>
      <c r="AM85" s="265">
        <v>7</v>
      </c>
      <c r="AN85" s="265">
        <v>8</v>
      </c>
      <c r="AO85" s="265">
        <v>9</v>
      </c>
      <c r="AP85" s="265">
        <v>10</v>
      </c>
      <c r="AQ85" s="265">
        <v>11</v>
      </c>
      <c r="AR85" s="265">
        <v>12</v>
      </c>
      <c r="AS85" s="265" t="s">
        <v>13</v>
      </c>
      <c r="AT85" s="266">
        <v>1</v>
      </c>
      <c r="AU85" s="266">
        <v>2</v>
      </c>
      <c r="AV85" s="266">
        <v>3</v>
      </c>
      <c r="AW85" s="266">
        <v>4</v>
      </c>
      <c r="AX85" s="266">
        <v>5</v>
      </c>
      <c r="AY85" s="266">
        <v>6</v>
      </c>
      <c r="AZ85" s="266">
        <v>7</v>
      </c>
      <c r="BA85" s="266">
        <v>8</v>
      </c>
      <c r="BB85" s="266">
        <v>9</v>
      </c>
      <c r="BC85" s="266">
        <v>10</v>
      </c>
      <c r="BD85" s="266">
        <v>11</v>
      </c>
      <c r="BE85" s="266">
        <v>12</v>
      </c>
      <c r="BF85" s="265" t="s">
        <v>13</v>
      </c>
      <c r="BG85" s="1761"/>
      <c r="BH85" s="1761"/>
      <c r="BI85" s="1748"/>
      <c r="BJ85" s="267"/>
      <c r="BK85" s="268"/>
      <c r="BL85" s="268"/>
      <c r="BM85" s="268"/>
      <c r="BN85" s="268"/>
      <c r="BO85" s="268"/>
      <c r="BP85" s="268"/>
      <c r="BQ85" s="268"/>
      <c r="BR85" s="268"/>
      <c r="BS85" s="268"/>
      <c r="BT85" s="268"/>
      <c r="BU85" s="268"/>
      <c r="BV85" s="268"/>
      <c r="BW85" s="268"/>
      <c r="BX85" s="268"/>
      <c r="BY85" s="268"/>
      <c r="BZ85" s="268"/>
      <c r="CA85" s="268"/>
      <c r="CB85" s="268"/>
    </row>
    <row r="86" spans="1:98" s="328" customFormat="1" ht="24.75" customHeight="1" thickBot="1" x14ac:dyDescent="0.25">
      <c r="A86" s="340"/>
      <c r="B86" s="351" t="s">
        <v>327</v>
      </c>
      <c r="C86" s="281" t="s">
        <v>25</v>
      </c>
      <c r="D86" s="333">
        <v>6</v>
      </c>
      <c r="E86" s="333">
        <v>5</v>
      </c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3">
        <f>SUM(E86:P86)</f>
        <v>5</v>
      </c>
      <c r="R86" s="334" t="s">
        <v>68</v>
      </c>
      <c r="S86" s="332">
        <v>2300000</v>
      </c>
      <c r="T86" s="332">
        <v>2300000</v>
      </c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271">
        <f t="shared" ref="AF86" si="91">SUM(Q86*S86)</f>
        <v>11500000</v>
      </c>
      <c r="AG86" s="272">
        <f>T86*E86</f>
        <v>11500000</v>
      </c>
      <c r="AH86" s="272">
        <f>U86*F86</f>
        <v>0</v>
      </c>
      <c r="AI86" s="272">
        <f>V86*G86</f>
        <v>0</v>
      </c>
      <c r="AJ86" s="272">
        <f t="shared" ref="AJ86" si="92">W86*H86</f>
        <v>0</v>
      </c>
      <c r="AK86" s="272">
        <f t="shared" ref="AK86" si="93">X86*I86</f>
        <v>0</v>
      </c>
      <c r="AL86" s="272">
        <f t="shared" ref="AL86" si="94">Y86*J86</f>
        <v>0</v>
      </c>
      <c r="AM86" s="272">
        <f t="shared" ref="AM86" si="95">Z86*K86</f>
        <v>0</v>
      </c>
      <c r="AN86" s="272">
        <f t="shared" ref="AN86" si="96">AA86*L86</f>
        <v>0</v>
      </c>
      <c r="AO86" s="272">
        <f t="shared" ref="AO86" si="97">AB86*M86</f>
        <v>0</v>
      </c>
      <c r="AP86" s="272">
        <f t="shared" ref="AP86" si="98">AC86*N86</f>
        <v>0</v>
      </c>
      <c r="AQ86" s="272">
        <f t="shared" ref="AQ86" si="99">AD86*O86</f>
        <v>0</v>
      </c>
      <c r="AR86" s="272">
        <f t="shared" ref="AR86" si="100">AE86*P86</f>
        <v>0</v>
      </c>
      <c r="AS86" s="273">
        <f t="shared" ref="AS86" si="101">SUM(AG86:AR86)</f>
        <v>11500000</v>
      </c>
      <c r="AT86" s="272"/>
      <c r="AU86" s="272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99">
        <f>SUM(AT86:BE86)</f>
        <v>0</v>
      </c>
      <c r="BG86" s="344">
        <f>AF86-AS86-BF86</f>
        <v>0</v>
      </c>
      <c r="BH86" s="345">
        <f>S86*D86</f>
        <v>13800000</v>
      </c>
      <c r="BI86" s="346">
        <f>BH86-AS86-BF86</f>
        <v>2300000</v>
      </c>
      <c r="BJ86" s="373">
        <f>SUM(Q86/D86)</f>
        <v>0.83333333333333337</v>
      </c>
      <c r="BK86" s="277"/>
      <c r="BL86" s="277"/>
      <c r="BM86" s="277"/>
      <c r="BN86" s="277"/>
      <c r="BO86" s="277"/>
      <c r="BP86" s="347"/>
      <c r="BQ86" s="347"/>
      <c r="BR86" s="347"/>
      <c r="BS86" s="347"/>
      <c r="BT86" s="347"/>
      <c r="BU86" s="347"/>
      <c r="BV86" s="347"/>
      <c r="BW86" s="347"/>
      <c r="BX86" s="347"/>
      <c r="BY86" s="347"/>
      <c r="BZ86" s="347"/>
      <c r="CA86" s="347"/>
      <c r="CB86" s="347"/>
    </row>
    <row r="87" spans="1:98" s="356" customFormat="1" ht="24.75" customHeight="1" thickBot="1" x14ac:dyDescent="0.25">
      <c r="A87" s="554">
        <v>11</v>
      </c>
      <c r="B87" s="352" t="s">
        <v>4</v>
      </c>
      <c r="C87" s="352"/>
      <c r="D87" s="353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1"/>
      <c r="R87" s="354"/>
      <c r="S87" s="353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49">
        <f>SUM(AF86:AF86)</f>
        <v>11500000</v>
      </c>
      <c r="AG87" s="349">
        <f>SUM(AG86:AG86)</f>
        <v>11500000</v>
      </c>
      <c r="AH87" s="349">
        <f>SUM(AH86:AH86)</f>
        <v>0</v>
      </c>
      <c r="AI87" s="349">
        <f>SUM(AI86:AI86)</f>
        <v>0</v>
      </c>
      <c r="AJ87" s="349">
        <f t="shared" ref="AJ87:AR87" si="102">SUM(AJ86:AJ86)</f>
        <v>0</v>
      </c>
      <c r="AK87" s="349">
        <f t="shared" si="102"/>
        <v>0</v>
      </c>
      <c r="AL87" s="349">
        <f t="shared" si="102"/>
        <v>0</v>
      </c>
      <c r="AM87" s="349">
        <f t="shared" si="102"/>
        <v>0</v>
      </c>
      <c r="AN87" s="349">
        <f t="shared" si="102"/>
        <v>0</v>
      </c>
      <c r="AO87" s="349">
        <f t="shared" si="102"/>
        <v>0</v>
      </c>
      <c r="AP87" s="349">
        <f t="shared" si="102"/>
        <v>0</v>
      </c>
      <c r="AQ87" s="349">
        <f t="shared" si="102"/>
        <v>0</v>
      </c>
      <c r="AR87" s="349">
        <f t="shared" si="102"/>
        <v>0</v>
      </c>
      <c r="AS87" s="349">
        <f>SUM(AS86:AS86)</f>
        <v>11500000</v>
      </c>
      <c r="AT87" s="349">
        <f>SUM(AT86:AT86)</f>
        <v>0</v>
      </c>
      <c r="AU87" s="349">
        <f>SUM(AU86:AU86)</f>
        <v>0</v>
      </c>
      <c r="AV87" s="349">
        <f>SUM(AV86:AV86)</f>
        <v>0</v>
      </c>
      <c r="AW87" s="349"/>
      <c r="AX87" s="349"/>
      <c r="AY87" s="349"/>
      <c r="AZ87" s="349"/>
      <c r="BA87" s="349"/>
      <c r="BB87" s="349"/>
      <c r="BC87" s="349"/>
      <c r="BD87" s="349"/>
      <c r="BE87" s="349"/>
      <c r="BF87" s="349">
        <f>SUM(BF86:BF86)</f>
        <v>0</v>
      </c>
      <c r="BG87" s="350">
        <f>AF87-AS87-BF87</f>
        <v>0</v>
      </c>
      <c r="BH87" s="349">
        <f>SUM(BH86:BH86)</f>
        <v>13800000</v>
      </c>
      <c r="BI87" s="349">
        <f>SUM(BI86:BI86)</f>
        <v>2300000</v>
      </c>
      <c r="BJ87" s="375">
        <v>1</v>
      </c>
      <c r="BK87" s="318"/>
      <c r="BL87" s="318"/>
      <c r="BM87" s="318"/>
      <c r="BN87" s="318"/>
      <c r="BO87" s="318"/>
      <c r="BP87" s="318"/>
      <c r="BQ87" s="318"/>
      <c r="BR87" s="318"/>
      <c r="BS87" s="318"/>
      <c r="BT87" s="318"/>
      <c r="BU87" s="318"/>
      <c r="BV87" s="318"/>
      <c r="BW87" s="318"/>
      <c r="BX87" s="318"/>
      <c r="BY87" s="318"/>
      <c r="BZ87" s="318"/>
      <c r="CA87" s="318"/>
      <c r="CB87" s="318"/>
    </row>
    <row r="88" spans="1:98" s="262" customFormat="1" ht="24.75" customHeight="1" x14ac:dyDescent="0.2">
      <c r="A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AE88" s="280"/>
      <c r="AS88" s="291"/>
      <c r="BF88" s="319">
        <f>SUM(AS87+BF87)</f>
        <v>11500000</v>
      </c>
      <c r="BG88" s="284">
        <f>AF87-AS87-BF87</f>
        <v>0</v>
      </c>
      <c r="BH88" s="320">
        <f>SUM(BI87+AS87+BF87)</f>
        <v>13800000</v>
      </c>
      <c r="BI88" s="285">
        <f>SUM(BG87)</f>
        <v>0</v>
      </c>
      <c r="BJ88" s="371" t="s">
        <v>38</v>
      </c>
      <c r="BK88" s="280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</row>
    <row r="89" spans="1:98" s="262" customFormat="1" ht="24.75" customHeight="1" x14ac:dyDescent="0.2">
      <c r="A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AE89" s="280"/>
      <c r="AS89" s="280"/>
      <c r="AT89" s="388">
        <f>SUM(AG87+AT87)</f>
        <v>11500000</v>
      </c>
      <c r="AU89" s="388">
        <f t="shared" ref="AU89" si="103">SUM(AH87+AU87)</f>
        <v>0</v>
      </c>
      <c r="AV89" s="388">
        <f t="shared" ref="AV89" si="104">SUM(AI87+AV87)</f>
        <v>0</v>
      </c>
      <c r="AW89" s="388">
        <f t="shared" ref="AW89" si="105">SUM(AJ87+AW87)</f>
        <v>0</v>
      </c>
      <c r="AX89" s="388">
        <f t="shared" ref="AX89" si="106">SUM(AK87+AX87)</f>
        <v>0</v>
      </c>
      <c r="AY89" s="388">
        <f t="shared" ref="AY89" si="107">SUM(AL87+AY87)</f>
        <v>0</v>
      </c>
      <c r="AZ89" s="388">
        <f t="shared" ref="AZ89" si="108">SUM(AM87+AZ87)</f>
        <v>0</v>
      </c>
      <c r="BA89" s="388">
        <f t="shared" ref="BA89" si="109">SUM(AN87+BA87)</f>
        <v>0</v>
      </c>
      <c r="BB89" s="388">
        <f t="shared" ref="BB89" si="110">SUM(AO87+BB87)</f>
        <v>0</v>
      </c>
      <c r="BC89" s="388">
        <f t="shared" ref="BC89" si="111">SUM(AP87+BC87)</f>
        <v>0</v>
      </c>
      <c r="BD89" s="388">
        <f t="shared" ref="BD89" si="112">SUM(AQ87+BD87)</f>
        <v>0</v>
      </c>
      <c r="BE89" s="388">
        <f t="shared" ref="BE89" si="113">SUM(AR87+BE87)</f>
        <v>0</v>
      </c>
      <c r="BF89" s="388">
        <f>SUM(AT89:BE89)</f>
        <v>11500000</v>
      </c>
      <c r="BG89" s="280"/>
      <c r="BH89" s="286"/>
      <c r="BI89" s="287">
        <f>SUM(BI87-BI88)</f>
        <v>2300000</v>
      </c>
      <c r="BJ89" s="371" t="s">
        <v>37</v>
      </c>
      <c r="BK89" s="28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</row>
    <row r="90" spans="1:98" s="262" customFormat="1" ht="16.5" customHeight="1" x14ac:dyDescent="0.2">
      <c r="A90" s="1754" t="s">
        <v>8</v>
      </c>
      <c r="B90" s="1755"/>
      <c r="C90" s="244" t="s">
        <v>323</v>
      </c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93"/>
      <c r="AF90" s="245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  <c r="AR90" s="246"/>
      <c r="AS90" s="247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7"/>
      <c r="BG90" s="247"/>
      <c r="BH90" s="243"/>
      <c r="BI90" s="248"/>
      <c r="BJ90" s="372"/>
      <c r="BK90" s="246"/>
      <c r="BL90" s="246"/>
      <c r="BM90" s="246"/>
      <c r="BN90" s="246"/>
      <c r="BO90" s="246"/>
      <c r="BP90" s="293"/>
      <c r="BQ90" s="246"/>
      <c r="BR90" s="246"/>
      <c r="BS90" s="246"/>
      <c r="BT90" s="246"/>
      <c r="BU90" s="246"/>
      <c r="BV90" s="247"/>
      <c r="BW90" s="247"/>
      <c r="BX90" s="247"/>
      <c r="BY90" s="243"/>
      <c r="BZ90" s="248"/>
      <c r="CA90" s="247"/>
      <c r="CB90" s="247"/>
      <c r="CC90" s="260"/>
      <c r="CD90" s="260"/>
      <c r="CE90" s="260"/>
      <c r="CF90" s="260"/>
      <c r="CG90" s="260"/>
      <c r="CH90" s="261"/>
      <c r="CI90" s="260"/>
      <c r="CJ90" s="260"/>
      <c r="CK90" s="260"/>
      <c r="CL90" s="260"/>
      <c r="CM90" s="260"/>
      <c r="CN90" s="260"/>
      <c r="CO90" s="260"/>
      <c r="CP90" s="260"/>
      <c r="CQ90" s="260"/>
      <c r="CR90" s="260"/>
      <c r="CS90" s="260"/>
      <c r="CT90" s="260"/>
    </row>
    <row r="91" spans="1:98" s="264" customFormat="1" ht="48.75" customHeight="1" x14ac:dyDescent="0.2">
      <c r="A91" s="1756" t="s">
        <v>10</v>
      </c>
      <c r="B91" s="1759" t="s">
        <v>11</v>
      </c>
      <c r="C91" s="1759" t="s">
        <v>22</v>
      </c>
      <c r="D91" s="1762" t="s">
        <v>12</v>
      </c>
      <c r="E91" s="1762"/>
      <c r="F91" s="1762"/>
      <c r="G91" s="1762"/>
      <c r="H91" s="1762"/>
      <c r="I91" s="1762"/>
      <c r="J91" s="1762"/>
      <c r="K91" s="1762"/>
      <c r="L91" s="1762"/>
      <c r="M91" s="1762"/>
      <c r="N91" s="1762"/>
      <c r="O91" s="1762"/>
      <c r="P91" s="1762"/>
      <c r="Q91" s="1762"/>
      <c r="R91" s="1759" t="s">
        <v>20</v>
      </c>
      <c r="S91" s="1763" t="s">
        <v>17</v>
      </c>
      <c r="T91" s="1764"/>
      <c r="U91" s="1764"/>
      <c r="V91" s="1764"/>
      <c r="W91" s="1764"/>
      <c r="X91" s="1764"/>
      <c r="Y91" s="1764"/>
      <c r="Z91" s="1764"/>
      <c r="AA91" s="1764"/>
      <c r="AB91" s="1764"/>
      <c r="AC91" s="1764"/>
      <c r="AD91" s="1764"/>
      <c r="AE91" s="1765"/>
      <c r="AF91" s="1766" t="s">
        <v>6</v>
      </c>
      <c r="AG91" s="1766"/>
      <c r="AH91" s="1766"/>
      <c r="AI91" s="1766"/>
      <c r="AJ91" s="1766"/>
      <c r="AK91" s="1766"/>
      <c r="AL91" s="1766"/>
      <c r="AM91" s="1766"/>
      <c r="AN91" s="1766"/>
      <c r="AO91" s="1766"/>
      <c r="AP91" s="1766"/>
      <c r="AQ91" s="1766"/>
      <c r="AR91" s="1766"/>
      <c r="AS91" s="1766"/>
      <c r="AT91" s="1767" t="s">
        <v>41</v>
      </c>
      <c r="AU91" s="1768"/>
      <c r="AV91" s="1768"/>
      <c r="AW91" s="1768"/>
      <c r="AX91" s="1768"/>
      <c r="AY91" s="1768"/>
      <c r="AZ91" s="1768"/>
      <c r="BA91" s="1768"/>
      <c r="BB91" s="1768"/>
      <c r="BC91" s="1768"/>
      <c r="BD91" s="1768"/>
      <c r="BE91" s="1768"/>
      <c r="BF91" s="1769"/>
      <c r="BG91" s="1759" t="s">
        <v>38</v>
      </c>
      <c r="BH91" s="1759" t="s">
        <v>256</v>
      </c>
      <c r="BI91" s="1746" t="s">
        <v>39</v>
      </c>
      <c r="BJ91" s="243"/>
      <c r="BK91" s="245"/>
      <c r="BL91" s="245"/>
      <c r="BM91" s="245"/>
      <c r="BN91" s="245"/>
      <c r="BO91" s="245"/>
      <c r="BP91" s="245"/>
      <c r="BQ91" s="245"/>
      <c r="BR91" s="245"/>
      <c r="BS91" s="245"/>
      <c r="BT91" s="245"/>
      <c r="BU91" s="245"/>
      <c r="BV91" s="245"/>
      <c r="BW91" s="245"/>
      <c r="BX91" s="245"/>
      <c r="BY91" s="245"/>
      <c r="BZ91" s="245"/>
      <c r="CA91" s="263"/>
      <c r="CB91" s="263"/>
    </row>
    <row r="92" spans="1:98" s="264" customFormat="1" ht="48.75" customHeight="1" x14ac:dyDescent="0.2">
      <c r="A92" s="1757"/>
      <c r="B92" s="1760"/>
      <c r="C92" s="1760"/>
      <c r="D92" s="1749" t="s">
        <v>18</v>
      </c>
      <c r="E92" s="1751" t="s">
        <v>19</v>
      </c>
      <c r="F92" s="1752"/>
      <c r="G92" s="1752"/>
      <c r="H92" s="1752"/>
      <c r="I92" s="1752"/>
      <c r="J92" s="1752"/>
      <c r="K92" s="1752"/>
      <c r="L92" s="1752"/>
      <c r="M92" s="1752"/>
      <c r="N92" s="1752"/>
      <c r="O92" s="1752"/>
      <c r="P92" s="1752"/>
      <c r="Q92" s="1752"/>
      <c r="R92" s="1760"/>
      <c r="S92" s="1749" t="s">
        <v>18</v>
      </c>
      <c r="T92" s="1751" t="s">
        <v>19</v>
      </c>
      <c r="U92" s="1752"/>
      <c r="V92" s="1752"/>
      <c r="W92" s="1752"/>
      <c r="X92" s="1752"/>
      <c r="Y92" s="1752"/>
      <c r="Z92" s="1752"/>
      <c r="AA92" s="1752"/>
      <c r="AB92" s="1752"/>
      <c r="AC92" s="1752"/>
      <c r="AD92" s="1752"/>
      <c r="AE92" s="1753"/>
      <c r="AF92" s="1749" t="s">
        <v>18</v>
      </c>
      <c r="AG92" s="1751" t="s">
        <v>19</v>
      </c>
      <c r="AH92" s="1752"/>
      <c r="AI92" s="1752"/>
      <c r="AJ92" s="1752"/>
      <c r="AK92" s="1752"/>
      <c r="AL92" s="1752"/>
      <c r="AM92" s="1752"/>
      <c r="AN92" s="1752"/>
      <c r="AO92" s="1752"/>
      <c r="AP92" s="1752"/>
      <c r="AQ92" s="1752"/>
      <c r="AR92" s="1752"/>
      <c r="AS92" s="1753"/>
      <c r="AT92" s="1770"/>
      <c r="AU92" s="1771"/>
      <c r="AV92" s="1771"/>
      <c r="AW92" s="1771"/>
      <c r="AX92" s="1771"/>
      <c r="AY92" s="1771"/>
      <c r="AZ92" s="1771"/>
      <c r="BA92" s="1771"/>
      <c r="BB92" s="1771"/>
      <c r="BC92" s="1771"/>
      <c r="BD92" s="1771"/>
      <c r="BE92" s="1771"/>
      <c r="BF92" s="1772"/>
      <c r="BG92" s="1760"/>
      <c r="BH92" s="1760"/>
      <c r="BI92" s="1747"/>
      <c r="BJ92" s="243"/>
      <c r="BK92" s="1654"/>
      <c r="BL92" s="245"/>
      <c r="BM92" s="245"/>
      <c r="BN92" s="245"/>
      <c r="BO92" s="245"/>
      <c r="BP92" s="245"/>
      <c r="BQ92" s="245"/>
      <c r="BR92" s="245"/>
      <c r="BS92" s="245"/>
      <c r="BT92" s="245"/>
      <c r="BU92" s="245"/>
      <c r="BV92" s="245"/>
      <c r="BW92" s="245"/>
      <c r="BX92" s="245"/>
      <c r="BY92" s="245"/>
      <c r="BZ92" s="245"/>
      <c r="CA92" s="263"/>
      <c r="CB92" s="263"/>
    </row>
    <row r="93" spans="1:98" s="269" customFormat="1" ht="28.5" customHeight="1" x14ac:dyDescent="0.2">
      <c r="A93" s="1758"/>
      <c r="B93" s="1761"/>
      <c r="C93" s="1761"/>
      <c r="D93" s="1750"/>
      <c r="E93" s="265">
        <v>1</v>
      </c>
      <c r="F93" s="265">
        <v>2</v>
      </c>
      <c r="G93" s="265">
        <v>3</v>
      </c>
      <c r="H93" s="265">
        <v>4</v>
      </c>
      <c r="I93" s="265">
        <v>5</v>
      </c>
      <c r="J93" s="265">
        <v>6</v>
      </c>
      <c r="K93" s="265">
        <v>7</v>
      </c>
      <c r="L93" s="265">
        <v>8</v>
      </c>
      <c r="M93" s="265">
        <v>9</v>
      </c>
      <c r="N93" s="265">
        <v>10</v>
      </c>
      <c r="O93" s="265">
        <v>11</v>
      </c>
      <c r="P93" s="265">
        <v>12</v>
      </c>
      <c r="Q93" s="265" t="s">
        <v>21</v>
      </c>
      <c r="R93" s="1761"/>
      <c r="S93" s="1750"/>
      <c r="T93" s="265">
        <v>1</v>
      </c>
      <c r="U93" s="265">
        <v>2</v>
      </c>
      <c r="V93" s="265">
        <v>3</v>
      </c>
      <c r="W93" s="265">
        <v>4</v>
      </c>
      <c r="X93" s="265">
        <v>5</v>
      </c>
      <c r="Y93" s="265">
        <v>6</v>
      </c>
      <c r="Z93" s="265">
        <v>7</v>
      </c>
      <c r="AA93" s="265">
        <v>8</v>
      </c>
      <c r="AB93" s="265">
        <v>9</v>
      </c>
      <c r="AC93" s="265">
        <v>10</v>
      </c>
      <c r="AD93" s="265">
        <v>11</v>
      </c>
      <c r="AE93" s="265">
        <v>12</v>
      </c>
      <c r="AF93" s="1750"/>
      <c r="AG93" s="265">
        <v>1</v>
      </c>
      <c r="AH93" s="265">
        <v>2</v>
      </c>
      <c r="AI93" s="265">
        <v>3</v>
      </c>
      <c r="AJ93" s="265">
        <v>4</v>
      </c>
      <c r="AK93" s="265">
        <v>5</v>
      </c>
      <c r="AL93" s="265">
        <v>6</v>
      </c>
      <c r="AM93" s="265">
        <v>7</v>
      </c>
      <c r="AN93" s="265">
        <v>8</v>
      </c>
      <c r="AO93" s="265">
        <v>9</v>
      </c>
      <c r="AP93" s="265">
        <v>10</v>
      </c>
      <c r="AQ93" s="265">
        <v>11</v>
      </c>
      <c r="AR93" s="265">
        <v>12</v>
      </c>
      <c r="AS93" s="265" t="s">
        <v>13</v>
      </c>
      <c r="AT93" s="266">
        <v>1</v>
      </c>
      <c r="AU93" s="266">
        <v>2</v>
      </c>
      <c r="AV93" s="266">
        <v>3</v>
      </c>
      <c r="AW93" s="266">
        <v>4</v>
      </c>
      <c r="AX93" s="266">
        <v>5</v>
      </c>
      <c r="AY93" s="266">
        <v>6</v>
      </c>
      <c r="AZ93" s="266">
        <v>7</v>
      </c>
      <c r="BA93" s="266">
        <v>8</v>
      </c>
      <c r="BB93" s="266">
        <v>9</v>
      </c>
      <c r="BC93" s="266">
        <v>10</v>
      </c>
      <c r="BD93" s="266">
        <v>11</v>
      </c>
      <c r="BE93" s="266">
        <v>12</v>
      </c>
      <c r="BF93" s="265" t="s">
        <v>13</v>
      </c>
      <c r="BG93" s="1761"/>
      <c r="BH93" s="1761"/>
      <c r="BI93" s="1748"/>
      <c r="BJ93" s="267"/>
      <c r="BK93" s="268"/>
      <c r="BL93" s="268"/>
      <c r="BM93" s="268"/>
      <c r="BN93" s="268"/>
      <c r="BO93" s="268"/>
      <c r="BP93" s="268"/>
      <c r="BQ93" s="268"/>
      <c r="BR93" s="268"/>
      <c r="BS93" s="268"/>
      <c r="BT93" s="268"/>
      <c r="BU93" s="268"/>
      <c r="BV93" s="268"/>
      <c r="BW93" s="268"/>
      <c r="BX93" s="268"/>
      <c r="BY93" s="268"/>
      <c r="BZ93" s="268"/>
      <c r="CA93" s="268"/>
      <c r="CB93" s="268"/>
    </row>
    <row r="94" spans="1:98" s="328" customFormat="1" ht="24.75" customHeight="1" thickBot="1" x14ac:dyDescent="0.25">
      <c r="A94" s="340"/>
      <c r="B94" s="351" t="s">
        <v>329</v>
      </c>
      <c r="C94" s="281" t="s">
        <v>25</v>
      </c>
      <c r="D94" s="333">
        <v>4</v>
      </c>
      <c r="E94" s="333">
        <v>2</v>
      </c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840">
        <f>SUM(E94:P94)</f>
        <v>2</v>
      </c>
      <c r="R94" s="334" t="s">
        <v>68</v>
      </c>
      <c r="S94" s="332">
        <v>2135000</v>
      </c>
      <c r="T94" s="332">
        <v>2135000</v>
      </c>
      <c r="U94" s="332"/>
      <c r="V94" s="332"/>
      <c r="W94" s="332"/>
      <c r="X94" s="332"/>
      <c r="Y94" s="332"/>
      <c r="Z94" s="332"/>
      <c r="AA94" s="332"/>
      <c r="AB94" s="332"/>
      <c r="AC94" s="332"/>
      <c r="AD94" s="332"/>
      <c r="AE94" s="332"/>
      <c r="AF94" s="271">
        <f t="shared" ref="AF94" si="114">SUM(Q94*S94)</f>
        <v>4270000</v>
      </c>
      <c r="AG94" s="272">
        <f>T94*E94</f>
        <v>4270000</v>
      </c>
      <c r="AH94" s="272">
        <f>U94*F94</f>
        <v>0</v>
      </c>
      <c r="AI94" s="272">
        <f>V94*G94</f>
        <v>0</v>
      </c>
      <c r="AJ94" s="272">
        <f t="shared" ref="AJ94" si="115">W94*H94</f>
        <v>0</v>
      </c>
      <c r="AK94" s="272">
        <f t="shared" ref="AK94" si="116">X94*I94</f>
        <v>0</v>
      </c>
      <c r="AL94" s="272">
        <f t="shared" ref="AL94" si="117">Y94*J94</f>
        <v>0</v>
      </c>
      <c r="AM94" s="272">
        <f t="shared" ref="AM94" si="118">Z94*K94</f>
        <v>0</v>
      </c>
      <c r="AN94" s="272">
        <f t="shared" ref="AN94" si="119">AA94*L94</f>
        <v>0</v>
      </c>
      <c r="AO94" s="272">
        <f t="shared" ref="AO94" si="120">AB94*M94</f>
        <v>0</v>
      </c>
      <c r="AP94" s="272">
        <f t="shared" ref="AP94" si="121">AC94*N94</f>
        <v>0</v>
      </c>
      <c r="AQ94" s="272">
        <f t="shared" ref="AQ94" si="122">AD94*O94</f>
        <v>0</v>
      </c>
      <c r="AR94" s="272">
        <f t="shared" ref="AR94" si="123">AE94*P94</f>
        <v>0</v>
      </c>
      <c r="AS94" s="273">
        <f t="shared" ref="AS94" si="124">SUM(AG94:AR94)</f>
        <v>4270000</v>
      </c>
      <c r="AT94" s="272"/>
      <c r="AU94" s="272"/>
      <c r="AV94" s="272"/>
      <c r="AW94" s="272"/>
      <c r="AX94" s="272"/>
      <c r="AY94" s="272"/>
      <c r="AZ94" s="272"/>
      <c r="BA94" s="272"/>
      <c r="BB94" s="272"/>
      <c r="BC94" s="272"/>
      <c r="BD94" s="272"/>
      <c r="BE94" s="272"/>
      <c r="BF94" s="299">
        <f>SUM(AT94:BE94)</f>
        <v>0</v>
      </c>
      <c r="BG94" s="344">
        <f>AF94-AS94-BF94</f>
        <v>0</v>
      </c>
      <c r="BH94" s="345">
        <f>S94*D94</f>
        <v>8540000</v>
      </c>
      <c r="BI94" s="346">
        <f>BH94-AS94-BF94</f>
        <v>4270000</v>
      </c>
      <c r="BJ94" s="373">
        <f>SUM(Q94/D94)</f>
        <v>0.5</v>
      </c>
      <c r="BK94" s="277"/>
      <c r="BL94" s="277"/>
      <c r="BM94" s="277"/>
      <c r="BN94" s="277"/>
      <c r="BO94" s="277"/>
      <c r="BP94" s="347"/>
      <c r="BQ94" s="347"/>
      <c r="BR94" s="347"/>
      <c r="BS94" s="347"/>
      <c r="BT94" s="347"/>
      <c r="BU94" s="347"/>
      <c r="BV94" s="347"/>
      <c r="BW94" s="347"/>
      <c r="BX94" s="347"/>
      <c r="BY94" s="347"/>
      <c r="BZ94" s="347"/>
      <c r="CA94" s="347"/>
      <c r="CB94" s="347"/>
    </row>
    <row r="95" spans="1:98" s="356" customFormat="1" ht="24.75" customHeight="1" thickBot="1" x14ac:dyDescent="0.25">
      <c r="A95" s="554">
        <v>12</v>
      </c>
      <c r="B95" s="352" t="s">
        <v>4</v>
      </c>
      <c r="C95" s="352"/>
      <c r="D95" s="353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1"/>
      <c r="R95" s="354"/>
      <c r="S95" s="353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49">
        <f>SUM(AF94:AF94)</f>
        <v>4270000</v>
      </c>
      <c r="AG95" s="349">
        <f>SUM(AG94:AG94)</f>
        <v>4270000</v>
      </c>
      <c r="AH95" s="349">
        <f>SUM(AH94:AH94)</f>
        <v>0</v>
      </c>
      <c r="AI95" s="349">
        <f>SUM(AI94:AI94)</f>
        <v>0</v>
      </c>
      <c r="AJ95" s="349">
        <f t="shared" ref="AJ95:AR95" si="125">SUM(AJ94:AJ94)</f>
        <v>0</v>
      </c>
      <c r="AK95" s="349">
        <f t="shared" si="125"/>
        <v>0</v>
      </c>
      <c r="AL95" s="349">
        <f t="shared" si="125"/>
        <v>0</v>
      </c>
      <c r="AM95" s="349">
        <f t="shared" si="125"/>
        <v>0</v>
      </c>
      <c r="AN95" s="349">
        <f t="shared" si="125"/>
        <v>0</v>
      </c>
      <c r="AO95" s="349">
        <f t="shared" si="125"/>
        <v>0</v>
      </c>
      <c r="AP95" s="349">
        <f t="shared" si="125"/>
        <v>0</v>
      </c>
      <c r="AQ95" s="349">
        <f t="shared" si="125"/>
        <v>0</v>
      </c>
      <c r="AR95" s="349">
        <f t="shared" si="125"/>
        <v>0</v>
      </c>
      <c r="AS95" s="349">
        <f>SUM(AS94:AS94)</f>
        <v>4270000</v>
      </c>
      <c r="AT95" s="349">
        <f>SUM(AT94:AT94)</f>
        <v>0</v>
      </c>
      <c r="AU95" s="349">
        <f>SUM(AU94:AU94)</f>
        <v>0</v>
      </c>
      <c r="AV95" s="349">
        <f>SUM(AV94:AV94)</f>
        <v>0</v>
      </c>
      <c r="AW95" s="349"/>
      <c r="AX95" s="349"/>
      <c r="AY95" s="349"/>
      <c r="AZ95" s="349"/>
      <c r="BA95" s="349"/>
      <c r="BB95" s="349"/>
      <c r="BC95" s="349"/>
      <c r="BD95" s="349"/>
      <c r="BE95" s="349"/>
      <c r="BF95" s="349">
        <f>SUM(BF94:BF94)</f>
        <v>0</v>
      </c>
      <c r="BG95" s="350">
        <f>AF95-AS95-BF95</f>
        <v>0</v>
      </c>
      <c r="BH95" s="349">
        <f>SUM(BH94:BH94)</f>
        <v>8540000</v>
      </c>
      <c r="BI95" s="349">
        <f>SUM(BI94:BI94)</f>
        <v>4270000</v>
      </c>
      <c r="BJ95" s="375">
        <v>1</v>
      </c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  <c r="BU95" s="318"/>
      <c r="BV95" s="318"/>
      <c r="BW95" s="318"/>
      <c r="BX95" s="318"/>
      <c r="BY95" s="318"/>
      <c r="BZ95" s="318"/>
      <c r="CA95" s="318"/>
      <c r="CB95" s="318"/>
    </row>
    <row r="96" spans="1:98" s="262" customFormat="1" ht="24.75" customHeight="1" x14ac:dyDescent="0.2">
      <c r="A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AE96" s="280"/>
      <c r="AS96" s="291"/>
      <c r="BF96" s="319">
        <f>SUM(AS95+BF95)</f>
        <v>4270000</v>
      </c>
      <c r="BG96" s="284">
        <f>AF95-AS95-BF95</f>
        <v>0</v>
      </c>
      <c r="BH96" s="320">
        <f>SUM(BI95+AS95+BF95)</f>
        <v>8540000</v>
      </c>
      <c r="BI96" s="285">
        <f>SUM(BG95)</f>
        <v>0</v>
      </c>
      <c r="BJ96" s="371" t="s">
        <v>38</v>
      </c>
      <c r="BK96" s="28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</row>
    <row r="97" spans="1:98" s="262" customFormat="1" ht="24.75" customHeight="1" x14ac:dyDescent="0.2">
      <c r="A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AE97" s="280"/>
      <c r="AS97" s="280"/>
      <c r="AT97" s="388">
        <f>SUM(AG95+AT95)</f>
        <v>4270000</v>
      </c>
      <c r="AU97" s="388">
        <f t="shared" ref="AU97" si="126">SUM(AH95+AU95)</f>
        <v>0</v>
      </c>
      <c r="AV97" s="388">
        <f t="shared" ref="AV97" si="127">SUM(AI95+AV95)</f>
        <v>0</v>
      </c>
      <c r="AW97" s="388">
        <f t="shared" ref="AW97" si="128">SUM(AJ95+AW95)</f>
        <v>0</v>
      </c>
      <c r="AX97" s="388">
        <f t="shared" ref="AX97" si="129">SUM(AK95+AX95)</f>
        <v>0</v>
      </c>
      <c r="AY97" s="388">
        <f t="shared" ref="AY97" si="130">SUM(AL95+AY95)</f>
        <v>0</v>
      </c>
      <c r="AZ97" s="388">
        <f t="shared" ref="AZ97" si="131">SUM(AM95+AZ95)</f>
        <v>0</v>
      </c>
      <c r="BA97" s="388">
        <f t="shared" ref="BA97" si="132">SUM(AN95+BA95)</f>
        <v>0</v>
      </c>
      <c r="BB97" s="388">
        <f t="shared" ref="BB97" si="133">SUM(AO95+BB95)</f>
        <v>0</v>
      </c>
      <c r="BC97" s="388">
        <f t="shared" ref="BC97" si="134">SUM(AP95+BC95)</f>
        <v>0</v>
      </c>
      <c r="BD97" s="388">
        <f t="shared" ref="BD97" si="135">SUM(AQ95+BD95)</f>
        <v>0</v>
      </c>
      <c r="BE97" s="388">
        <f t="shared" ref="BE97" si="136">SUM(AR95+BE95)</f>
        <v>0</v>
      </c>
      <c r="BF97" s="388">
        <f>SUM(AT97:BE97)</f>
        <v>4270000</v>
      </c>
      <c r="BG97" s="280"/>
      <c r="BH97" s="286"/>
      <c r="BI97" s="287">
        <f>SUM(BI95-BI96)</f>
        <v>4270000</v>
      </c>
      <c r="BJ97" s="371" t="s">
        <v>37</v>
      </c>
      <c r="BK97" s="28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</row>
    <row r="98" spans="1:98" s="262" customFormat="1" ht="16.5" customHeight="1" x14ac:dyDescent="0.2">
      <c r="A98" s="1754" t="s">
        <v>8</v>
      </c>
      <c r="B98" s="1755"/>
      <c r="C98" s="244" t="s">
        <v>331</v>
      </c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93"/>
      <c r="AF98" s="245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7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7"/>
      <c r="BG98" s="247"/>
      <c r="BH98" s="243"/>
      <c r="BI98" s="248"/>
      <c r="BJ98" s="372"/>
      <c r="BK98" s="246"/>
      <c r="BL98" s="246"/>
      <c r="BM98" s="246"/>
      <c r="BN98" s="246"/>
      <c r="BO98" s="246"/>
      <c r="BP98" s="293"/>
      <c r="BQ98" s="246"/>
      <c r="BR98" s="246"/>
      <c r="BS98" s="246"/>
      <c r="BT98" s="246"/>
      <c r="BU98" s="246"/>
      <c r="BV98" s="247"/>
      <c r="BW98" s="247"/>
      <c r="BX98" s="247"/>
      <c r="BY98" s="243"/>
      <c r="BZ98" s="248"/>
      <c r="CA98" s="247"/>
      <c r="CB98" s="247"/>
      <c r="CC98" s="260"/>
      <c r="CD98" s="260"/>
      <c r="CE98" s="260"/>
      <c r="CF98" s="260"/>
      <c r="CG98" s="260"/>
      <c r="CH98" s="261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</row>
    <row r="99" spans="1:98" s="264" customFormat="1" ht="48.75" customHeight="1" x14ac:dyDescent="0.2">
      <c r="A99" s="1756" t="s">
        <v>10</v>
      </c>
      <c r="B99" s="1759" t="s">
        <v>11</v>
      </c>
      <c r="C99" s="1759" t="s">
        <v>22</v>
      </c>
      <c r="D99" s="1762" t="s">
        <v>12</v>
      </c>
      <c r="E99" s="1762"/>
      <c r="F99" s="1762"/>
      <c r="G99" s="1762"/>
      <c r="H99" s="1762"/>
      <c r="I99" s="1762"/>
      <c r="J99" s="1762"/>
      <c r="K99" s="1762"/>
      <c r="L99" s="1762"/>
      <c r="M99" s="1762"/>
      <c r="N99" s="1762"/>
      <c r="O99" s="1762"/>
      <c r="P99" s="1762"/>
      <c r="Q99" s="1762"/>
      <c r="R99" s="1759" t="s">
        <v>20</v>
      </c>
      <c r="S99" s="1763" t="s">
        <v>17</v>
      </c>
      <c r="T99" s="1764"/>
      <c r="U99" s="1764"/>
      <c r="V99" s="1764"/>
      <c r="W99" s="1764"/>
      <c r="X99" s="1764"/>
      <c r="Y99" s="1764"/>
      <c r="Z99" s="1764"/>
      <c r="AA99" s="1764"/>
      <c r="AB99" s="1764"/>
      <c r="AC99" s="1764"/>
      <c r="AD99" s="1764"/>
      <c r="AE99" s="1765"/>
      <c r="AF99" s="1766" t="s">
        <v>6</v>
      </c>
      <c r="AG99" s="1766"/>
      <c r="AH99" s="1766"/>
      <c r="AI99" s="1766"/>
      <c r="AJ99" s="1766"/>
      <c r="AK99" s="1766"/>
      <c r="AL99" s="1766"/>
      <c r="AM99" s="1766"/>
      <c r="AN99" s="1766"/>
      <c r="AO99" s="1766"/>
      <c r="AP99" s="1766"/>
      <c r="AQ99" s="1766"/>
      <c r="AR99" s="1766"/>
      <c r="AS99" s="1766"/>
      <c r="AT99" s="1767" t="s">
        <v>41</v>
      </c>
      <c r="AU99" s="1768"/>
      <c r="AV99" s="1768"/>
      <c r="AW99" s="1768"/>
      <c r="AX99" s="1768"/>
      <c r="AY99" s="1768"/>
      <c r="AZ99" s="1768"/>
      <c r="BA99" s="1768"/>
      <c r="BB99" s="1768"/>
      <c r="BC99" s="1768"/>
      <c r="BD99" s="1768"/>
      <c r="BE99" s="1768"/>
      <c r="BF99" s="1769"/>
      <c r="BG99" s="1759" t="s">
        <v>38</v>
      </c>
      <c r="BH99" s="1759" t="s">
        <v>256</v>
      </c>
      <c r="BI99" s="1746" t="s">
        <v>39</v>
      </c>
      <c r="BJ99" s="243"/>
      <c r="BK99" s="245"/>
      <c r="BL99" s="245"/>
      <c r="BM99" s="245"/>
      <c r="BN99" s="245"/>
      <c r="BO99" s="245"/>
      <c r="BP99" s="245"/>
      <c r="BQ99" s="245"/>
      <c r="BR99" s="245"/>
      <c r="BS99" s="245"/>
      <c r="BT99" s="245"/>
      <c r="BU99" s="245"/>
      <c r="BV99" s="245"/>
      <c r="BW99" s="245"/>
      <c r="BX99" s="245"/>
      <c r="BY99" s="245"/>
      <c r="BZ99" s="245"/>
      <c r="CA99" s="263"/>
      <c r="CB99" s="263"/>
    </row>
    <row r="100" spans="1:98" s="264" customFormat="1" ht="48.75" customHeight="1" x14ac:dyDescent="0.2">
      <c r="A100" s="1757"/>
      <c r="B100" s="1760"/>
      <c r="C100" s="1760"/>
      <c r="D100" s="1749" t="s">
        <v>18</v>
      </c>
      <c r="E100" s="1751" t="s">
        <v>19</v>
      </c>
      <c r="F100" s="1752"/>
      <c r="G100" s="1752"/>
      <c r="H100" s="1752"/>
      <c r="I100" s="1752"/>
      <c r="J100" s="1752"/>
      <c r="K100" s="1752"/>
      <c r="L100" s="1752"/>
      <c r="M100" s="1752"/>
      <c r="N100" s="1752"/>
      <c r="O100" s="1752"/>
      <c r="P100" s="1752"/>
      <c r="Q100" s="1752"/>
      <c r="R100" s="1760"/>
      <c r="S100" s="1749" t="s">
        <v>18</v>
      </c>
      <c r="T100" s="1751" t="s">
        <v>19</v>
      </c>
      <c r="U100" s="1752"/>
      <c r="V100" s="1752"/>
      <c r="W100" s="1752"/>
      <c r="X100" s="1752"/>
      <c r="Y100" s="1752"/>
      <c r="Z100" s="1752"/>
      <c r="AA100" s="1752"/>
      <c r="AB100" s="1752"/>
      <c r="AC100" s="1752"/>
      <c r="AD100" s="1752"/>
      <c r="AE100" s="1753"/>
      <c r="AF100" s="1749" t="s">
        <v>18</v>
      </c>
      <c r="AG100" s="1751" t="s">
        <v>19</v>
      </c>
      <c r="AH100" s="1752"/>
      <c r="AI100" s="1752"/>
      <c r="AJ100" s="1752"/>
      <c r="AK100" s="1752"/>
      <c r="AL100" s="1752"/>
      <c r="AM100" s="1752"/>
      <c r="AN100" s="1752"/>
      <c r="AO100" s="1752"/>
      <c r="AP100" s="1752"/>
      <c r="AQ100" s="1752"/>
      <c r="AR100" s="1752"/>
      <c r="AS100" s="1753"/>
      <c r="AT100" s="1770"/>
      <c r="AU100" s="1771"/>
      <c r="AV100" s="1771"/>
      <c r="AW100" s="1771"/>
      <c r="AX100" s="1771"/>
      <c r="AY100" s="1771"/>
      <c r="AZ100" s="1771"/>
      <c r="BA100" s="1771"/>
      <c r="BB100" s="1771"/>
      <c r="BC100" s="1771"/>
      <c r="BD100" s="1771"/>
      <c r="BE100" s="1771"/>
      <c r="BF100" s="1772"/>
      <c r="BG100" s="1760"/>
      <c r="BH100" s="1760"/>
      <c r="BI100" s="1747"/>
      <c r="BJ100" s="243"/>
      <c r="BK100" s="245"/>
      <c r="BL100" s="245"/>
      <c r="BM100" s="245"/>
      <c r="BN100" s="245"/>
      <c r="BO100" s="245"/>
      <c r="BP100" s="245"/>
      <c r="BQ100" s="245"/>
      <c r="BR100" s="245"/>
      <c r="BS100" s="245"/>
      <c r="BT100" s="245"/>
      <c r="BU100" s="245"/>
      <c r="BV100" s="245"/>
      <c r="BW100" s="245"/>
      <c r="BX100" s="245"/>
      <c r="BY100" s="245"/>
      <c r="BZ100" s="245"/>
      <c r="CA100" s="263"/>
      <c r="CB100" s="263"/>
    </row>
    <row r="101" spans="1:98" s="269" customFormat="1" ht="28.5" customHeight="1" x14ac:dyDescent="0.2">
      <c r="A101" s="1758"/>
      <c r="B101" s="1761"/>
      <c r="C101" s="1761"/>
      <c r="D101" s="1750"/>
      <c r="E101" s="265">
        <v>1</v>
      </c>
      <c r="F101" s="265">
        <v>2</v>
      </c>
      <c r="G101" s="265">
        <v>3</v>
      </c>
      <c r="H101" s="265">
        <v>4</v>
      </c>
      <c r="I101" s="265">
        <v>5</v>
      </c>
      <c r="J101" s="265">
        <v>6</v>
      </c>
      <c r="K101" s="265">
        <v>7</v>
      </c>
      <c r="L101" s="265">
        <v>8</v>
      </c>
      <c r="M101" s="265">
        <v>9</v>
      </c>
      <c r="N101" s="265">
        <v>10</v>
      </c>
      <c r="O101" s="265">
        <v>11</v>
      </c>
      <c r="P101" s="265">
        <v>12</v>
      </c>
      <c r="Q101" s="265" t="s">
        <v>21</v>
      </c>
      <c r="R101" s="1761"/>
      <c r="S101" s="1750"/>
      <c r="T101" s="265">
        <v>1</v>
      </c>
      <c r="U101" s="265">
        <v>2</v>
      </c>
      <c r="V101" s="265">
        <v>3</v>
      </c>
      <c r="W101" s="265">
        <v>4</v>
      </c>
      <c r="X101" s="265">
        <v>5</v>
      </c>
      <c r="Y101" s="265">
        <v>6</v>
      </c>
      <c r="Z101" s="265">
        <v>7</v>
      </c>
      <c r="AA101" s="265">
        <v>8</v>
      </c>
      <c r="AB101" s="265">
        <v>9</v>
      </c>
      <c r="AC101" s="265">
        <v>10</v>
      </c>
      <c r="AD101" s="265">
        <v>11</v>
      </c>
      <c r="AE101" s="265">
        <v>12</v>
      </c>
      <c r="AF101" s="1750"/>
      <c r="AG101" s="265">
        <v>1</v>
      </c>
      <c r="AH101" s="265">
        <v>2</v>
      </c>
      <c r="AI101" s="265">
        <v>3</v>
      </c>
      <c r="AJ101" s="265">
        <v>4</v>
      </c>
      <c r="AK101" s="265">
        <v>5</v>
      </c>
      <c r="AL101" s="265">
        <v>6</v>
      </c>
      <c r="AM101" s="265">
        <v>7</v>
      </c>
      <c r="AN101" s="265">
        <v>8</v>
      </c>
      <c r="AO101" s="265">
        <v>9</v>
      </c>
      <c r="AP101" s="265">
        <v>10</v>
      </c>
      <c r="AQ101" s="265">
        <v>11</v>
      </c>
      <c r="AR101" s="265">
        <v>12</v>
      </c>
      <c r="AS101" s="265" t="s">
        <v>13</v>
      </c>
      <c r="AT101" s="266">
        <v>1</v>
      </c>
      <c r="AU101" s="266">
        <v>2</v>
      </c>
      <c r="AV101" s="266">
        <v>3</v>
      </c>
      <c r="AW101" s="266">
        <v>4</v>
      </c>
      <c r="AX101" s="266">
        <v>5</v>
      </c>
      <c r="AY101" s="266">
        <v>6</v>
      </c>
      <c r="AZ101" s="266">
        <v>7</v>
      </c>
      <c r="BA101" s="266">
        <v>8</v>
      </c>
      <c r="BB101" s="266">
        <v>9</v>
      </c>
      <c r="BC101" s="266">
        <v>10</v>
      </c>
      <c r="BD101" s="266">
        <v>11</v>
      </c>
      <c r="BE101" s="266">
        <v>12</v>
      </c>
      <c r="BF101" s="265" t="s">
        <v>13</v>
      </c>
      <c r="BG101" s="1761"/>
      <c r="BH101" s="1761"/>
      <c r="BI101" s="1748"/>
      <c r="BJ101" s="267"/>
      <c r="BK101" s="268"/>
      <c r="BL101" s="268"/>
      <c r="BM101" s="268"/>
      <c r="BN101" s="268"/>
      <c r="BO101" s="268"/>
      <c r="BP101" s="268"/>
      <c r="BQ101" s="268"/>
      <c r="BR101" s="268"/>
      <c r="BS101" s="268"/>
      <c r="BT101" s="268"/>
      <c r="BU101" s="268"/>
      <c r="BV101" s="268"/>
      <c r="BW101" s="268"/>
      <c r="BX101" s="268"/>
      <c r="BY101" s="268"/>
      <c r="BZ101" s="268"/>
      <c r="CA101" s="268"/>
      <c r="CB101" s="268"/>
    </row>
    <row r="102" spans="1:98" s="269" customFormat="1" ht="20.25" customHeight="1" thickBot="1" x14ac:dyDescent="0.25">
      <c r="A102" s="340"/>
      <c r="B102" s="341" t="s">
        <v>332</v>
      </c>
      <c r="C102" s="281" t="s">
        <v>25</v>
      </c>
      <c r="D102" s="251">
        <v>12</v>
      </c>
      <c r="E102" s="251">
        <v>3</v>
      </c>
      <c r="F102" s="251">
        <v>1</v>
      </c>
      <c r="G102" s="342">
        <v>1</v>
      </c>
      <c r="H102" s="342">
        <v>1</v>
      </c>
      <c r="I102" s="342">
        <v>1</v>
      </c>
      <c r="J102" s="342">
        <v>1</v>
      </c>
      <c r="K102" s="1207">
        <v>1</v>
      </c>
      <c r="L102" s="576">
        <v>1</v>
      </c>
      <c r="M102" s="576">
        <v>1</v>
      </c>
      <c r="N102" s="576">
        <v>1</v>
      </c>
      <c r="O102" s="342"/>
      <c r="P102" s="342"/>
      <c r="Q102" s="840">
        <f>SUM(E102:P102)</f>
        <v>12</v>
      </c>
      <c r="R102" s="252" t="s">
        <v>68</v>
      </c>
      <c r="S102" s="332">
        <v>1800000</v>
      </c>
      <c r="T102" s="332">
        <v>1800000</v>
      </c>
      <c r="U102" s="332">
        <v>1800000</v>
      </c>
      <c r="V102" s="332">
        <v>1800000</v>
      </c>
      <c r="W102" s="332">
        <v>1800000</v>
      </c>
      <c r="X102" s="332">
        <v>1800000</v>
      </c>
      <c r="Y102" s="332">
        <v>1800000</v>
      </c>
      <c r="Z102" s="1208">
        <v>1800000</v>
      </c>
      <c r="AA102" s="332">
        <v>1800000</v>
      </c>
      <c r="AB102" s="1330">
        <v>1800000</v>
      </c>
      <c r="AC102" s="332">
        <v>1800000</v>
      </c>
      <c r="AD102" s="332"/>
      <c r="AE102" s="332"/>
      <c r="AF102" s="271">
        <f t="shared" ref="AF102" si="137">SUM(Q102*S102)</f>
        <v>21600000</v>
      </c>
      <c r="AG102" s="272">
        <f>T102*E102</f>
        <v>5400000</v>
      </c>
      <c r="AH102" s="272">
        <f>U102*F102</f>
        <v>1800000</v>
      </c>
      <c r="AI102" s="272">
        <f t="shared" ref="AI102:AR102" si="138">V102*G102</f>
        <v>1800000</v>
      </c>
      <c r="AJ102" s="272">
        <f t="shared" si="138"/>
        <v>1800000</v>
      </c>
      <c r="AK102" s="272">
        <f t="shared" si="138"/>
        <v>1800000</v>
      </c>
      <c r="AL102" s="272">
        <f t="shared" si="138"/>
        <v>1800000</v>
      </c>
      <c r="AM102" s="272">
        <f t="shared" si="138"/>
        <v>1800000</v>
      </c>
      <c r="AN102" s="272">
        <f t="shared" si="138"/>
        <v>1800000</v>
      </c>
      <c r="AO102" s="1199">
        <f t="shared" si="138"/>
        <v>1800000</v>
      </c>
      <c r="AP102" s="272">
        <f t="shared" si="138"/>
        <v>1800000</v>
      </c>
      <c r="AQ102" s="272">
        <f t="shared" si="138"/>
        <v>0</v>
      </c>
      <c r="AR102" s="272">
        <f t="shared" si="138"/>
        <v>0</v>
      </c>
      <c r="AS102" s="273">
        <f t="shared" ref="AS102" si="139">SUM(AG102:AR102)</f>
        <v>21600000</v>
      </c>
      <c r="AT102" s="272"/>
      <c r="AU102" s="272"/>
      <c r="AV102" s="272"/>
      <c r="AW102" s="272"/>
      <c r="AX102" s="272"/>
      <c r="AY102" s="272"/>
      <c r="AZ102" s="272"/>
      <c r="BA102" s="272"/>
      <c r="BB102" s="272"/>
      <c r="BC102" s="272"/>
      <c r="BD102" s="272"/>
      <c r="BE102" s="272"/>
      <c r="BF102" s="299">
        <f>SUM(AT102:BE102)</f>
        <v>0</v>
      </c>
      <c r="BG102" s="344">
        <f>AF102-AS102-BF102</f>
        <v>0</v>
      </c>
      <c r="BH102" s="345">
        <f>S102*D102</f>
        <v>21600000</v>
      </c>
      <c r="BI102" s="346">
        <f>BH102-AS102-BF102</f>
        <v>0</v>
      </c>
      <c r="BJ102" s="373">
        <f>SUM(Q102/D102)</f>
        <v>1</v>
      </c>
    </row>
    <row r="103" spans="1:98" s="269" customFormat="1" ht="20.25" customHeight="1" thickBot="1" x14ac:dyDescent="0.25">
      <c r="A103" s="554">
        <v>13</v>
      </c>
      <c r="B103" s="308" t="s">
        <v>4</v>
      </c>
      <c r="C103" s="308"/>
      <c r="D103" s="309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1"/>
      <c r="R103" s="312"/>
      <c r="S103" s="309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9">
        <f>SUM(AF102:AF102)</f>
        <v>21600000</v>
      </c>
      <c r="AG103" s="349">
        <f>SUM(AG102:AG102)</f>
        <v>5400000</v>
      </c>
      <c r="AH103" s="349">
        <f>SUM(AH102:AH102)</f>
        <v>1800000</v>
      </c>
      <c r="AI103" s="349">
        <f t="shared" ref="AI103:AR103" si="140">SUM(AI102:AI102)</f>
        <v>1800000</v>
      </c>
      <c r="AJ103" s="349">
        <f t="shared" si="140"/>
        <v>1800000</v>
      </c>
      <c r="AK103" s="349">
        <f t="shared" si="140"/>
        <v>1800000</v>
      </c>
      <c r="AL103" s="349">
        <f t="shared" si="140"/>
        <v>1800000</v>
      </c>
      <c r="AM103" s="349">
        <f t="shared" si="140"/>
        <v>1800000</v>
      </c>
      <c r="AN103" s="349">
        <f t="shared" si="140"/>
        <v>1800000</v>
      </c>
      <c r="AO103" s="349">
        <f t="shared" si="140"/>
        <v>1800000</v>
      </c>
      <c r="AP103" s="349">
        <f t="shared" si="140"/>
        <v>1800000</v>
      </c>
      <c r="AQ103" s="349">
        <f t="shared" si="140"/>
        <v>0</v>
      </c>
      <c r="AR103" s="349">
        <f t="shared" si="140"/>
        <v>0</v>
      </c>
      <c r="AS103" s="349">
        <f>SUM(AS102:AS102)</f>
        <v>21600000</v>
      </c>
      <c r="AT103" s="349">
        <f>SUM(AT102:AT102)</f>
        <v>0</v>
      </c>
      <c r="AU103" s="349">
        <f t="shared" ref="AU103:BE103" si="141">SUM(AU102:AU102)</f>
        <v>0</v>
      </c>
      <c r="AV103" s="349">
        <f t="shared" si="141"/>
        <v>0</v>
      </c>
      <c r="AW103" s="349">
        <f t="shared" si="141"/>
        <v>0</v>
      </c>
      <c r="AX103" s="349">
        <f t="shared" si="141"/>
        <v>0</v>
      </c>
      <c r="AY103" s="349">
        <f t="shared" si="141"/>
        <v>0</v>
      </c>
      <c r="AZ103" s="349">
        <f t="shared" si="141"/>
        <v>0</v>
      </c>
      <c r="BA103" s="349">
        <f t="shared" si="141"/>
        <v>0</v>
      </c>
      <c r="BB103" s="349">
        <f t="shared" si="141"/>
        <v>0</v>
      </c>
      <c r="BC103" s="349">
        <f t="shared" si="141"/>
        <v>0</v>
      </c>
      <c r="BD103" s="349">
        <f t="shared" si="141"/>
        <v>0</v>
      </c>
      <c r="BE103" s="349">
        <f t="shared" si="141"/>
        <v>0</v>
      </c>
      <c r="BF103" s="349">
        <f>SUM(BF102:BF102)</f>
        <v>0</v>
      </c>
      <c r="BG103" s="350">
        <f>AF103-AS103-BF103</f>
        <v>0</v>
      </c>
      <c r="BH103" s="349">
        <f>SUM(BH102:BH102)</f>
        <v>21600000</v>
      </c>
      <c r="BI103" s="349">
        <f>SUM(BI102:BI102)</f>
        <v>0</v>
      </c>
      <c r="BJ103" s="375">
        <f>SUM(BJ102)</f>
        <v>1</v>
      </c>
    </row>
    <row r="104" spans="1:98" s="262" customFormat="1" ht="24.75" customHeight="1" x14ac:dyDescent="0.2">
      <c r="A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AE104" s="280"/>
      <c r="AS104" s="291"/>
      <c r="BF104" s="319">
        <f>SUM(AS103+BF103)</f>
        <v>21600000</v>
      </c>
      <c r="BG104" s="284">
        <f>AF103-AS103-BF103</f>
        <v>0</v>
      </c>
      <c r="BH104" s="320">
        <f>SUM(BI103+AS103+BF103)</f>
        <v>21600000</v>
      </c>
      <c r="BI104" s="285">
        <f>SUM(BG103)</f>
        <v>0</v>
      </c>
      <c r="BJ104" s="371" t="s">
        <v>38</v>
      </c>
      <c r="BK104" s="28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</row>
    <row r="105" spans="1:98" s="262" customFormat="1" ht="24.75" customHeight="1" x14ac:dyDescent="0.2">
      <c r="A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AE105" s="280"/>
      <c r="AS105" s="280"/>
      <c r="AT105" s="388">
        <f>SUM(AG103+AT103)</f>
        <v>5400000</v>
      </c>
      <c r="AU105" s="388">
        <f t="shared" ref="AU105:BE105" si="142">SUM(AH103+AU103)</f>
        <v>1800000</v>
      </c>
      <c r="AV105" s="388">
        <f t="shared" si="142"/>
        <v>1800000</v>
      </c>
      <c r="AW105" s="388">
        <f t="shared" si="142"/>
        <v>1800000</v>
      </c>
      <c r="AX105" s="388">
        <f t="shared" si="142"/>
        <v>1800000</v>
      </c>
      <c r="AY105" s="388">
        <f t="shared" si="142"/>
        <v>1800000</v>
      </c>
      <c r="AZ105" s="388">
        <f t="shared" si="142"/>
        <v>1800000</v>
      </c>
      <c r="BA105" s="388">
        <f t="shared" si="142"/>
        <v>1800000</v>
      </c>
      <c r="BB105" s="388">
        <f t="shared" si="142"/>
        <v>1800000</v>
      </c>
      <c r="BC105" s="388">
        <f t="shared" si="142"/>
        <v>1800000</v>
      </c>
      <c r="BD105" s="388">
        <f t="shared" si="142"/>
        <v>0</v>
      </c>
      <c r="BE105" s="388">
        <f t="shared" si="142"/>
        <v>0</v>
      </c>
      <c r="BF105" s="388">
        <f>SUM(AT105:BE105)</f>
        <v>21600000</v>
      </c>
      <c r="BG105" s="280"/>
      <c r="BH105" s="286"/>
      <c r="BI105" s="287">
        <f>SUM(BI103-BI104)</f>
        <v>0</v>
      </c>
      <c r="BJ105" s="371" t="s">
        <v>37</v>
      </c>
      <c r="BK105" s="28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</row>
    <row r="106" spans="1:98" s="269" customFormat="1" ht="15" x14ac:dyDescent="0.2">
      <c r="A106" s="1754" t="s">
        <v>8</v>
      </c>
      <c r="B106" s="1755"/>
      <c r="C106" s="244" t="s">
        <v>335</v>
      </c>
      <c r="R106" s="288"/>
      <c r="S106" s="267"/>
      <c r="BJ106" s="371"/>
    </row>
    <row r="107" spans="1:98" s="264" customFormat="1" ht="48.75" customHeight="1" x14ac:dyDescent="0.2">
      <c r="A107" s="1756" t="s">
        <v>10</v>
      </c>
      <c r="B107" s="1759" t="s">
        <v>11</v>
      </c>
      <c r="C107" s="1759" t="s">
        <v>22</v>
      </c>
      <c r="D107" s="1762" t="s">
        <v>12</v>
      </c>
      <c r="E107" s="1762"/>
      <c r="F107" s="1762"/>
      <c r="G107" s="1762"/>
      <c r="H107" s="1762"/>
      <c r="I107" s="1762"/>
      <c r="J107" s="1762"/>
      <c r="K107" s="1762"/>
      <c r="L107" s="1762"/>
      <c r="M107" s="1762"/>
      <c r="N107" s="1762"/>
      <c r="O107" s="1762"/>
      <c r="P107" s="1762"/>
      <c r="Q107" s="1762"/>
      <c r="R107" s="1759" t="s">
        <v>20</v>
      </c>
      <c r="S107" s="1763" t="s">
        <v>17</v>
      </c>
      <c r="T107" s="1764"/>
      <c r="U107" s="1764"/>
      <c r="V107" s="1764"/>
      <c r="W107" s="1764"/>
      <c r="X107" s="1764"/>
      <c r="Y107" s="1764"/>
      <c r="Z107" s="1764"/>
      <c r="AA107" s="1764"/>
      <c r="AB107" s="1764"/>
      <c r="AC107" s="1764"/>
      <c r="AD107" s="1764"/>
      <c r="AE107" s="1765"/>
      <c r="AF107" s="1766" t="s">
        <v>6</v>
      </c>
      <c r="AG107" s="1766"/>
      <c r="AH107" s="1766"/>
      <c r="AI107" s="1766"/>
      <c r="AJ107" s="1766"/>
      <c r="AK107" s="1766"/>
      <c r="AL107" s="1766"/>
      <c r="AM107" s="1766"/>
      <c r="AN107" s="1766"/>
      <c r="AO107" s="1766"/>
      <c r="AP107" s="1766"/>
      <c r="AQ107" s="1766"/>
      <c r="AR107" s="1766"/>
      <c r="AS107" s="1766"/>
      <c r="AT107" s="1767" t="s">
        <v>41</v>
      </c>
      <c r="AU107" s="1768"/>
      <c r="AV107" s="1768"/>
      <c r="AW107" s="1768"/>
      <c r="AX107" s="1768"/>
      <c r="AY107" s="1768"/>
      <c r="AZ107" s="1768"/>
      <c r="BA107" s="1768"/>
      <c r="BB107" s="1768"/>
      <c r="BC107" s="1768"/>
      <c r="BD107" s="1768"/>
      <c r="BE107" s="1768"/>
      <c r="BF107" s="1769"/>
      <c r="BG107" s="1759" t="s">
        <v>38</v>
      </c>
      <c r="BH107" s="1759" t="s">
        <v>256</v>
      </c>
      <c r="BI107" s="1746" t="s">
        <v>39</v>
      </c>
      <c r="BJ107" s="243"/>
      <c r="BK107" s="245"/>
      <c r="BL107" s="245"/>
      <c r="BM107" s="245"/>
      <c r="BN107" s="245"/>
      <c r="BO107" s="245"/>
      <c r="BP107" s="245"/>
      <c r="BQ107" s="245"/>
      <c r="BR107" s="245"/>
      <c r="BS107" s="245"/>
      <c r="BT107" s="245"/>
      <c r="BU107" s="245"/>
      <c r="BV107" s="245"/>
      <c r="BW107" s="245"/>
      <c r="BX107" s="245"/>
      <c r="BY107" s="245"/>
      <c r="BZ107" s="245"/>
      <c r="CA107" s="263"/>
      <c r="CB107" s="263"/>
    </row>
    <row r="108" spans="1:98" s="264" customFormat="1" ht="48.75" customHeight="1" x14ac:dyDescent="0.2">
      <c r="A108" s="1757"/>
      <c r="B108" s="1760"/>
      <c r="C108" s="1760"/>
      <c r="D108" s="1749" t="s">
        <v>18</v>
      </c>
      <c r="E108" s="1751" t="s">
        <v>19</v>
      </c>
      <c r="F108" s="1752"/>
      <c r="G108" s="1752"/>
      <c r="H108" s="1752"/>
      <c r="I108" s="1752"/>
      <c r="J108" s="1752"/>
      <c r="K108" s="1752"/>
      <c r="L108" s="1752"/>
      <c r="M108" s="1752"/>
      <c r="N108" s="1752"/>
      <c r="O108" s="1752"/>
      <c r="P108" s="1752"/>
      <c r="Q108" s="1752"/>
      <c r="R108" s="1760"/>
      <c r="S108" s="1749" t="s">
        <v>18</v>
      </c>
      <c r="T108" s="1751" t="s">
        <v>19</v>
      </c>
      <c r="U108" s="1752"/>
      <c r="V108" s="1752"/>
      <c r="W108" s="1752"/>
      <c r="X108" s="1752"/>
      <c r="Y108" s="1752"/>
      <c r="Z108" s="1752"/>
      <c r="AA108" s="1752"/>
      <c r="AB108" s="1752"/>
      <c r="AC108" s="1752"/>
      <c r="AD108" s="1752"/>
      <c r="AE108" s="1753"/>
      <c r="AF108" s="1749" t="s">
        <v>18</v>
      </c>
      <c r="AG108" s="1751" t="s">
        <v>19</v>
      </c>
      <c r="AH108" s="1752"/>
      <c r="AI108" s="1752"/>
      <c r="AJ108" s="1752"/>
      <c r="AK108" s="1752"/>
      <c r="AL108" s="1752"/>
      <c r="AM108" s="1752"/>
      <c r="AN108" s="1752"/>
      <c r="AO108" s="1752"/>
      <c r="AP108" s="1752"/>
      <c r="AQ108" s="1752"/>
      <c r="AR108" s="1752"/>
      <c r="AS108" s="1753"/>
      <c r="AT108" s="1770"/>
      <c r="AU108" s="1771"/>
      <c r="AV108" s="1771"/>
      <c r="AW108" s="1771"/>
      <c r="AX108" s="1771"/>
      <c r="AY108" s="1771"/>
      <c r="AZ108" s="1771"/>
      <c r="BA108" s="1771"/>
      <c r="BB108" s="1771"/>
      <c r="BC108" s="1771"/>
      <c r="BD108" s="1771"/>
      <c r="BE108" s="1771"/>
      <c r="BF108" s="1772"/>
      <c r="BG108" s="1760"/>
      <c r="BH108" s="1760"/>
      <c r="BI108" s="1747"/>
      <c r="BJ108" s="243"/>
      <c r="BK108" s="245"/>
      <c r="BL108" s="245"/>
      <c r="BM108" s="245"/>
      <c r="BN108" s="245"/>
      <c r="BO108" s="245"/>
      <c r="BP108" s="245"/>
      <c r="BQ108" s="245"/>
      <c r="BR108" s="245"/>
      <c r="BS108" s="245"/>
      <c r="BT108" s="245"/>
      <c r="BU108" s="245"/>
      <c r="BV108" s="245"/>
      <c r="BW108" s="245"/>
      <c r="BX108" s="245"/>
      <c r="BY108" s="245"/>
      <c r="BZ108" s="245"/>
      <c r="CA108" s="263"/>
      <c r="CB108" s="263"/>
    </row>
    <row r="109" spans="1:98" s="269" customFormat="1" ht="28.5" customHeight="1" thickBot="1" x14ac:dyDescent="0.25">
      <c r="A109" s="1758"/>
      <c r="B109" s="1761"/>
      <c r="C109" s="1761"/>
      <c r="D109" s="1750"/>
      <c r="E109" s="265">
        <v>1</v>
      </c>
      <c r="F109" s="265">
        <v>2</v>
      </c>
      <c r="G109" s="265">
        <v>3</v>
      </c>
      <c r="H109" s="265">
        <v>4</v>
      </c>
      <c r="I109" s="265">
        <v>5</v>
      </c>
      <c r="J109" s="265">
        <v>6</v>
      </c>
      <c r="K109" s="265">
        <v>7</v>
      </c>
      <c r="L109" s="265">
        <v>8</v>
      </c>
      <c r="M109" s="265">
        <v>9</v>
      </c>
      <c r="N109" s="265">
        <v>10</v>
      </c>
      <c r="O109" s="265">
        <v>11</v>
      </c>
      <c r="P109" s="265">
        <v>12</v>
      </c>
      <c r="Q109" s="265" t="s">
        <v>21</v>
      </c>
      <c r="R109" s="1761"/>
      <c r="S109" s="1750"/>
      <c r="T109" s="265">
        <v>1</v>
      </c>
      <c r="U109" s="265">
        <v>2</v>
      </c>
      <c r="V109" s="265">
        <v>3</v>
      </c>
      <c r="W109" s="265">
        <v>4</v>
      </c>
      <c r="X109" s="265">
        <v>5</v>
      </c>
      <c r="Y109" s="265">
        <v>6</v>
      </c>
      <c r="Z109" s="265">
        <v>7</v>
      </c>
      <c r="AA109" s="265">
        <v>8</v>
      </c>
      <c r="AB109" s="265">
        <v>9</v>
      </c>
      <c r="AC109" s="265">
        <v>10</v>
      </c>
      <c r="AD109" s="265">
        <v>11</v>
      </c>
      <c r="AE109" s="265">
        <v>12</v>
      </c>
      <c r="AF109" s="1750"/>
      <c r="AG109" s="265">
        <v>1</v>
      </c>
      <c r="AH109" s="265">
        <v>2</v>
      </c>
      <c r="AI109" s="265">
        <v>3</v>
      </c>
      <c r="AJ109" s="265">
        <v>4</v>
      </c>
      <c r="AK109" s="265">
        <v>5</v>
      </c>
      <c r="AL109" s="265">
        <v>6</v>
      </c>
      <c r="AM109" s="265">
        <v>7</v>
      </c>
      <c r="AN109" s="265">
        <v>8</v>
      </c>
      <c r="AO109" s="265">
        <v>9</v>
      </c>
      <c r="AP109" s="265">
        <v>10</v>
      </c>
      <c r="AQ109" s="265">
        <v>11</v>
      </c>
      <c r="AR109" s="265">
        <v>12</v>
      </c>
      <c r="AS109" s="265" t="s">
        <v>13</v>
      </c>
      <c r="AT109" s="266">
        <v>1</v>
      </c>
      <c r="AU109" s="266">
        <v>2</v>
      </c>
      <c r="AV109" s="266">
        <v>3</v>
      </c>
      <c r="AW109" s="266">
        <v>4</v>
      </c>
      <c r="AX109" s="266">
        <v>5</v>
      </c>
      <c r="AY109" s="266">
        <v>6</v>
      </c>
      <c r="AZ109" s="266">
        <v>7</v>
      </c>
      <c r="BA109" s="266">
        <v>8</v>
      </c>
      <c r="BB109" s="266">
        <v>9</v>
      </c>
      <c r="BC109" s="266">
        <v>10</v>
      </c>
      <c r="BD109" s="266">
        <v>11</v>
      </c>
      <c r="BE109" s="266">
        <v>12</v>
      </c>
      <c r="BF109" s="265" t="s">
        <v>13</v>
      </c>
      <c r="BG109" s="1761"/>
      <c r="BH109" s="1761"/>
      <c r="BI109" s="1748"/>
      <c r="BJ109" s="267"/>
      <c r="BK109" s="268"/>
      <c r="BL109" s="268"/>
      <c r="BM109" s="268"/>
      <c r="BN109" s="268"/>
      <c r="BO109" s="268"/>
      <c r="BP109" s="268"/>
      <c r="BQ109" s="268"/>
      <c r="BR109" s="268"/>
      <c r="BS109" s="268"/>
      <c r="BT109" s="268"/>
      <c r="BU109" s="268"/>
      <c r="BV109" s="268"/>
      <c r="BW109" s="268"/>
      <c r="BX109" s="268"/>
      <c r="BY109" s="268"/>
      <c r="BZ109" s="268"/>
      <c r="CA109" s="268"/>
      <c r="CB109" s="268"/>
    </row>
    <row r="110" spans="1:98" s="269" customFormat="1" ht="29.25" customHeight="1" thickBot="1" x14ac:dyDescent="0.25">
      <c r="A110" s="554"/>
      <c r="B110" s="341" t="s">
        <v>334</v>
      </c>
      <c r="C110" s="281" t="s">
        <v>25</v>
      </c>
      <c r="D110" s="251">
        <v>12</v>
      </c>
      <c r="E110" s="251">
        <v>3</v>
      </c>
      <c r="F110" s="251">
        <v>1</v>
      </c>
      <c r="G110" s="342">
        <v>1</v>
      </c>
      <c r="H110" s="342">
        <v>1</v>
      </c>
      <c r="I110" s="342">
        <v>1</v>
      </c>
      <c r="J110" s="342">
        <v>1</v>
      </c>
      <c r="K110" s="1207">
        <v>1</v>
      </c>
      <c r="L110" s="576">
        <v>1</v>
      </c>
      <c r="M110" s="576">
        <v>1</v>
      </c>
      <c r="N110" s="576">
        <v>1</v>
      </c>
      <c r="O110" s="342"/>
      <c r="P110" s="342"/>
      <c r="Q110" s="343">
        <f>SUM(E110:P110)</f>
        <v>12</v>
      </c>
      <c r="R110" s="252" t="s">
        <v>68</v>
      </c>
      <c r="S110" s="332">
        <v>1550000</v>
      </c>
      <c r="T110" s="332">
        <v>1550000</v>
      </c>
      <c r="U110" s="332">
        <v>1550000</v>
      </c>
      <c r="V110" s="332">
        <v>1550000</v>
      </c>
      <c r="W110" s="332">
        <v>1550000</v>
      </c>
      <c r="X110" s="332">
        <v>1550000</v>
      </c>
      <c r="Y110" s="332">
        <v>1550000</v>
      </c>
      <c r="Z110" s="1208">
        <v>1550000</v>
      </c>
      <c r="AA110" s="332">
        <v>1550000</v>
      </c>
      <c r="AB110" s="1330">
        <v>1550000</v>
      </c>
      <c r="AC110" s="332">
        <v>1550000</v>
      </c>
      <c r="AD110" s="332"/>
      <c r="AE110" s="332"/>
      <c r="AF110" s="271">
        <f t="shared" ref="AF110" si="143">SUM(Q110*S110)</f>
        <v>18600000</v>
      </c>
      <c r="AG110" s="272">
        <f>T110*E110</f>
        <v>4650000</v>
      </c>
      <c r="AH110" s="272">
        <f t="shared" ref="AH110:AR110" si="144">U110*F110</f>
        <v>1550000</v>
      </c>
      <c r="AI110" s="272">
        <f t="shared" si="144"/>
        <v>1550000</v>
      </c>
      <c r="AJ110" s="272">
        <f t="shared" si="144"/>
        <v>1550000</v>
      </c>
      <c r="AK110" s="272">
        <f t="shared" si="144"/>
        <v>1550000</v>
      </c>
      <c r="AL110" s="272">
        <f t="shared" si="144"/>
        <v>1550000</v>
      </c>
      <c r="AM110" s="272">
        <f t="shared" si="144"/>
        <v>1550000</v>
      </c>
      <c r="AN110" s="272">
        <f t="shared" si="144"/>
        <v>1550000</v>
      </c>
      <c r="AO110" s="1199">
        <f t="shared" si="144"/>
        <v>1550000</v>
      </c>
      <c r="AP110" s="272">
        <f t="shared" si="144"/>
        <v>1550000</v>
      </c>
      <c r="AQ110" s="272">
        <f t="shared" si="144"/>
        <v>0</v>
      </c>
      <c r="AR110" s="272">
        <f t="shared" si="144"/>
        <v>0</v>
      </c>
      <c r="AS110" s="273">
        <f t="shared" ref="AS110" si="145">SUM(AG110:AR110)</f>
        <v>18600000</v>
      </c>
      <c r="AT110" s="272"/>
      <c r="AU110" s="272"/>
      <c r="AV110" s="272"/>
      <c r="AW110" s="272"/>
      <c r="AX110" s="272"/>
      <c r="AY110" s="272"/>
      <c r="AZ110" s="272"/>
      <c r="BA110" s="272"/>
      <c r="BB110" s="272"/>
      <c r="BC110" s="272"/>
      <c r="BD110" s="272"/>
      <c r="BE110" s="272"/>
      <c r="BF110" s="299">
        <f>SUM(AT110:BE110)</f>
        <v>0</v>
      </c>
      <c r="BG110" s="344">
        <f>AF110-AS110-BF110</f>
        <v>0</v>
      </c>
      <c r="BH110" s="345">
        <f>S110*D110</f>
        <v>18600000</v>
      </c>
      <c r="BI110" s="346">
        <f>BH110-AS110-BF110</f>
        <v>0</v>
      </c>
      <c r="BJ110" s="373">
        <f>SUM(Q110/D110)</f>
        <v>1</v>
      </c>
    </row>
    <row r="111" spans="1:98" s="269" customFormat="1" ht="33" customHeight="1" thickBot="1" x14ac:dyDescent="0.25">
      <c r="A111" s="554">
        <v>14</v>
      </c>
      <c r="B111" s="308" t="s">
        <v>4</v>
      </c>
      <c r="C111" s="308"/>
      <c r="D111" s="309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1"/>
      <c r="R111" s="312"/>
      <c r="S111" s="309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49">
        <f>SUM(AF110:AF110)</f>
        <v>18600000</v>
      </c>
      <c r="AG111" s="349">
        <f>SUM(AG110:AG110)</f>
        <v>4650000</v>
      </c>
      <c r="AH111" s="349">
        <f t="shared" ref="AH111:AR111" si="146">SUM(AH110:AH110)</f>
        <v>1550000</v>
      </c>
      <c r="AI111" s="349">
        <f t="shared" si="146"/>
        <v>1550000</v>
      </c>
      <c r="AJ111" s="349">
        <f t="shared" si="146"/>
        <v>1550000</v>
      </c>
      <c r="AK111" s="349">
        <f t="shared" si="146"/>
        <v>1550000</v>
      </c>
      <c r="AL111" s="349">
        <f t="shared" si="146"/>
        <v>1550000</v>
      </c>
      <c r="AM111" s="349">
        <f t="shared" si="146"/>
        <v>1550000</v>
      </c>
      <c r="AN111" s="349">
        <f t="shared" si="146"/>
        <v>1550000</v>
      </c>
      <c r="AO111" s="349">
        <f t="shared" si="146"/>
        <v>1550000</v>
      </c>
      <c r="AP111" s="349">
        <f t="shared" si="146"/>
        <v>1550000</v>
      </c>
      <c r="AQ111" s="349">
        <f t="shared" si="146"/>
        <v>0</v>
      </c>
      <c r="AR111" s="349">
        <f t="shared" si="146"/>
        <v>0</v>
      </c>
      <c r="AS111" s="349">
        <f>SUM(AS110:AS110)</f>
        <v>18600000</v>
      </c>
      <c r="AT111" s="349">
        <f>SUM(AT110:AT110)</f>
        <v>0</v>
      </c>
      <c r="AU111" s="349">
        <f t="shared" ref="AU111:BE111" si="147">SUM(AU110:AU110)</f>
        <v>0</v>
      </c>
      <c r="AV111" s="349">
        <f t="shared" si="147"/>
        <v>0</v>
      </c>
      <c r="AW111" s="349">
        <f t="shared" si="147"/>
        <v>0</v>
      </c>
      <c r="AX111" s="349">
        <f t="shared" si="147"/>
        <v>0</v>
      </c>
      <c r="AY111" s="349">
        <f t="shared" si="147"/>
        <v>0</v>
      </c>
      <c r="AZ111" s="349">
        <f t="shared" si="147"/>
        <v>0</v>
      </c>
      <c r="BA111" s="349">
        <f t="shared" si="147"/>
        <v>0</v>
      </c>
      <c r="BB111" s="349">
        <f t="shared" si="147"/>
        <v>0</v>
      </c>
      <c r="BC111" s="349">
        <f t="shared" si="147"/>
        <v>0</v>
      </c>
      <c r="BD111" s="349">
        <f t="shared" si="147"/>
        <v>0</v>
      </c>
      <c r="BE111" s="349">
        <f t="shared" si="147"/>
        <v>0</v>
      </c>
      <c r="BF111" s="349">
        <f>SUM(BF110:BF110)</f>
        <v>0</v>
      </c>
      <c r="BG111" s="350">
        <f>AF111-AS111-BF111</f>
        <v>0</v>
      </c>
      <c r="BH111" s="349">
        <f>SUM(BH110:BH110)</f>
        <v>18600000</v>
      </c>
      <c r="BI111" s="349">
        <f>SUM(BI110:BI110)</f>
        <v>0</v>
      </c>
      <c r="BJ111" s="375">
        <f>SUM(BJ110)</f>
        <v>1</v>
      </c>
    </row>
    <row r="112" spans="1:98" s="262" customFormat="1" ht="24.75" customHeight="1" x14ac:dyDescent="0.2">
      <c r="A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AE112" s="280"/>
      <c r="AS112" s="291"/>
      <c r="BF112" s="319">
        <f>SUM(AS111+BF111)</f>
        <v>18600000</v>
      </c>
      <c r="BG112" s="284">
        <f>AF111-AS111-BF111</f>
        <v>0</v>
      </c>
      <c r="BH112" s="320">
        <f>SUM(BI111+AS111+BF111)</f>
        <v>18600000</v>
      </c>
      <c r="BI112" s="285">
        <f>SUM(BG111)</f>
        <v>0</v>
      </c>
      <c r="BJ112" s="371" t="s">
        <v>38</v>
      </c>
      <c r="BK112" s="280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  <c r="CC112" s="260"/>
    </row>
    <row r="113" spans="1:81" s="262" customFormat="1" ht="24.75" customHeight="1" x14ac:dyDescent="0.2">
      <c r="A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AE113" s="280"/>
      <c r="AS113" s="280"/>
      <c r="AT113" s="388">
        <f>SUM(AG111+AT111)</f>
        <v>4650000</v>
      </c>
      <c r="AU113" s="388">
        <f t="shared" ref="AU113:BE113" si="148">SUM(AH111+AU111)</f>
        <v>1550000</v>
      </c>
      <c r="AV113" s="388">
        <f t="shared" si="148"/>
        <v>1550000</v>
      </c>
      <c r="AW113" s="388">
        <f t="shared" si="148"/>
        <v>1550000</v>
      </c>
      <c r="AX113" s="388">
        <f t="shared" si="148"/>
        <v>1550000</v>
      </c>
      <c r="AY113" s="388">
        <f t="shared" si="148"/>
        <v>1550000</v>
      </c>
      <c r="AZ113" s="388">
        <f t="shared" si="148"/>
        <v>1550000</v>
      </c>
      <c r="BA113" s="388">
        <f t="shared" si="148"/>
        <v>1550000</v>
      </c>
      <c r="BB113" s="388">
        <f t="shared" si="148"/>
        <v>1550000</v>
      </c>
      <c r="BC113" s="388">
        <f t="shared" si="148"/>
        <v>1550000</v>
      </c>
      <c r="BD113" s="388">
        <f t="shared" si="148"/>
        <v>0</v>
      </c>
      <c r="BE113" s="388">
        <f t="shared" si="148"/>
        <v>0</v>
      </c>
      <c r="BF113" s="388">
        <f>SUM(AT113:BE113)</f>
        <v>18600000</v>
      </c>
      <c r="BG113" s="280"/>
      <c r="BH113" s="286"/>
      <c r="BI113" s="287">
        <f>SUM(BI111-BI112)</f>
        <v>0</v>
      </c>
      <c r="BJ113" s="371" t="s">
        <v>37</v>
      </c>
      <c r="BK113" s="280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  <c r="CC113" s="260"/>
    </row>
    <row r="114" spans="1:81" s="269" customFormat="1" ht="15" x14ac:dyDescent="0.2">
      <c r="A114" s="1754" t="s">
        <v>8</v>
      </c>
      <c r="B114" s="1755"/>
      <c r="C114" s="244" t="s">
        <v>337</v>
      </c>
      <c r="R114" s="288"/>
      <c r="S114" s="267"/>
      <c r="BJ114" s="371"/>
    </row>
    <row r="115" spans="1:81" s="264" customFormat="1" ht="48.75" customHeight="1" x14ac:dyDescent="0.2">
      <c r="A115" s="1756" t="s">
        <v>10</v>
      </c>
      <c r="B115" s="1759" t="s">
        <v>11</v>
      </c>
      <c r="C115" s="1759" t="s">
        <v>22</v>
      </c>
      <c r="D115" s="1762" t="s">
        <v>12</v>
      </c>
      <c r="E115" s="1762"/>
      <c r="F115" s="1762"/>
      <c r="G115" s="1762"/>
      <c r="H115" s="1762"/>
      <c r="I115" s="1762"/>
      <c r="J115" s="1762"/>
      <c r="K115" s="1762"/>
      <c r="L115" s="1762"/>
      <c r="M115" s="1762"/>
      <c r="N115" s="1762"/>
      <c r="O115" s="1762"/>
      <c r="P115" s="1762"/>
      <c r="Q115" s="1762"/>
      <c r="R115" s="1759" t="s">
        <v>20</v>
      </c>
      <c r="S115" s="1763" t="s">
        <v>17</v>
      </c>
      <c r="T115" s="1764"/>
      <c r="U115" s="1764"/>
      <c r="V115" s="1764"/>
      <c r="W115" s="1764"/>
      <c r="X115" s="1764"/>
      <c r="Y115" s="1764"/>
      <c r="Z115" s="1764"/>
      <c r="AA115" s="1764"/>
      <c r="AB115" s="1764"/>
      <c r="AC115" s="1764"/>
      <c r="AD115" s="1764"/>
      <c r="AE115" s="1765"/>
      <c r="AF115" s="1766" t="s">
        <v>6</v>
      </c>
      <c r="AG115" s="1766"/>
      <c r="AH115" s="1766"/>
      <c r="AI115" s="1766"/>
      <c r="AJ115" s="1766"/>
      <c r="AK115" s="1766"/>
      <c r="AL115" s="1766"/>
      <c r="AM115" s="1766"/>
      <c r="AN115" s="1766"/>
      <c r="AO115" s="1766"/>
      <c r="AP115" s="1766"/>
      <c r="AQ115" s="1766"/>
      <c r="AR115" s="1766"/>
      <c r="AS115" s="1766"/>
      <c r="AT115" s="1767" t="s">
        <v>41</v>
      </c>
      <c r="AU115" s="1768"/>
      <c r="AV115" s="1768"/>
      <c r="AW115" s="1768"/>
      <c r="AX115" s="1768"/>
      <c r="AY115" s="1768"/>
      <c r="AZ115" s="1768"/>
      <c r="BA115" s="1768"/>
      <c r="BB115" s="1768"/>
      <c r="BC115" s="1768"/>
      <c r="BD115" s="1768"/>
      <c r="BE115" s="1768"/>
      <c r="BF115" s="1769"/>
      <c r="BG115" s="1759" t="s">
        <v>38</v>
      </c>
      <c r="BH115" s="1759" t="s">
        <v>256</v>
      </c>
      <c r="BI115" s="1746" t="s">
        <v>39</v>
      </c>
      <c r="BJ115" s="243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63"/>
      <c r="CB115" s="263"/>
    </row>
    <row r="116" spans="1:81" s="264" customFormat="1" ht="48.75" customHeight="1" x14ac:dyDescent="0.2">
      <c r="A116" s="1757"/>
      <c r="B116" s="1760"/>
      <c r="C116" s="1760"/>
      <c r="D116" s="1749" t="s">
        <v>18</v>
      </c>
      <c r="E116" s="1751" t="s">
        <v>19</v>
      </c>
      <c r="F116" s="1752"/>
      <c r="G116" s="1752"/>
      <c r="H116" s="1752"/>
      <c r="I116" s="1752"/>
      <c r="J116" s="1752"/>
      <c r="K116" s="1752"/>
      <c r="L116" s="1752"/>
      <c r="M116" s="1752"/>
      <c r="N116" s="1752"/>
      <c r="O116" s="1752"/>
      <c r="P116" s="1752"/>
      <c r="Q116" s="1752"/>
      <c r="R116" s="1760"/>
      <c r="S116" s="1749" t="s">
        <v>18</v>
      </c>
      <c r="T116" s="1751" t="s">
        <v>19</v>
      </c>
      <c r="U116" s="1752"/>
      <c r="V116" s="1752"/>
      <c r="W116" s="1752"/>
      <c r="X116" s="1752"/>
      <c r="Y116" s="1752"/>
      <c r="Z116" s="1752"/>
      <c r="AA116" s="1752"/>
      <c r="AB116" s="1752"/>
      <c r="AC116" s="1752"/>
      <c r="AD116" s="1752"/>
      <c r="AE116" s="1753"/>
      <c r="AF116" s="1749" t="s">
        <v>18</v>
      </c>
      <c r="AG116" s="1751" t="s">
        <v>19</v>
      </c>
      <c r="AH116" s="1752"/>
      <c r="AI116" s="1752"/>
      <c r="AJ116" s="1752"/>
      <c r="AK116" s="1752"/>
      <c r="AL116" s="1752"/>
      <c r="AM116" s="1752"/>
      <c r="AN116" s="1752"/>
      <c r="AO116" s="1752"/>
      <c r="AP116" s="1752"/>
      <c r="AQ116" s="1752"/>
      <c r="AR116" s="1752"/>
      <c r="AS116" s="1753"/>
      <c r="AT116" s="1770"/>
      <c r="AU116" s="1771"/>
      <c r="AV116" s="1771"/>
      <c r="AW116" s="1771"/>
      <c r="AX116" s="1771"/>
      <c r="AY116" s="1771"/>
      <c r="AZ116" s="1771"/>
      <c r="BA116" s="1771"/>
      <c r="BB116" s="1771"/>
      <c r="BC116" s="1771"/>
      <c r="BD116" s="1771"/>
      <c r="BE116" s="1771"/>
      <c r="BF116" s="1772"/>
      <c r="BG116" s="1760"/>
      <c r="BH116" s="1760"/>
      <c r="BI116" s="1747"/>
      <c r="BJ116" s="243"/>
      <c r="BK116" s="245"/>
      <c r="BL116" s="245"/>
      <c r="BM116" s="245"/>
      <c r="BN116" s="245"/>
      <c r="BO116" s="245"/>
      <c r="BP116" s="245"/>
      <c r="BQ116" s="245"/>
      <c r="BR116" s="245"/>
      <c r="BS116" s="245"/>
      <c r="BT116" s="245"/>
      <c r="BU116" s="245"/>
      <c r="BV116" s="245"/>
      <c r="BW116" s="245"/>
      <c r="BX116" s="245"/>
      <c r="BY116" s="245"/>
      <c r="BZ116" s="245"/>
      <c r="CA116" s="263"/>
      <c r="CB116" s="263"/>
    </row>
    <row r="117" spans="1:81" s="269" customFormat="1" ht="28.5" customHeight="1" x14ac:dyDescent="0.2">
      <c r="A117" s="1758"/>
      <c r="B117" s="1761"/>
      <c r="C117" s="1761"/>
      <c r="D117" s="1750"/>
      <c r="E117" s="265">
        <v>1</v>
      </c>
      <c r="F117" s="265">
        <v>2</v>
      </c>
      <c r="G117" s="265">
        <v>3</v>
      </c>
      <c r="H117" s="265">
        <v>4</v>
      </c>
      <c r="I117" s="265">
        <v>5</v>
      </c>
      <c r="J117" s="265">
        <v>6</v>
      </c>
      <c r="K117" s="265">
        <v>7</v>
      </c>
      <c r="L117" s="265">
        <v>8</v>
      </c>
      <c r="M117" s="265">
        <v>9</v>
      </c>
      <c r="N117" s="265">
        <v>10</v>
      </c>
      <c r="O117" s="265">
        <v>11</v>
      </c>
      <c r="P117" s="265">
        <v>12</v>
      </c>
      <c r="Q117" s="265" t="s">
        <v>21</v>
      </c>
      <c r="R117" s="1761"/>
      <c r="S117" s="1750"/>
      <c r="T117" s="265">
        <v>1</v>
      </c>
      <c r="U117" s="265">
        <v>2</v>
      </c>
      <c r="V117" s="265">
        <v>3</v>
      </c>
      <c r="W117" s="265">
        <v>4</v>
      </c>
      <c r="X117" s="265">
        <v>5</v>
      </c>
      <c r="Y117" s="265">
        <v>6</v>
      </c>
      <c r="Z117" s="265">
        <v>7</v>
      </c>
      <c r="AA117" s="265">
        <v>8</v>
      </c>
      <c r="AB117" s="265">
        <v>9</v>
      </c>
      <c r="AC117" s="265">
        <v>10</v>
      </c>
      <c r="AD117" s="265">
        <v>11</v>
      </c>
      <c r="AE117" s="265">
        <v>12</v>
      </c>
      <c r="AF117" s="1750"/>
      <c r="AG117" s="265">
        <v>1</v>
      </c>
      <c r="AH117" s="265">
        <v>2</v>
      </c>
      <c r="AI117" s="265">
        <v>3</v>
      </c>
      <c r="AJ117" s="265">
        <v>4</v>
      </c>
      <c r="AK117" s="265">
        <v>5</v>
      </c>
      <c r="AL117" s="265">
        <v>6</v>
      </c>
      <c r="AM117" s="265">
        <v>7</v>
      </c>
      <c r="AN117" s="265">
        <v>8</v>
      </c>
      <c r="AO117" s="265">
        <v>9</v>
      </c>
      <c r="AP117" s="265">
        <v>10</v>
      </c>
      <c r="AQ117" s="265">
        <v>11</v>
      </c>
      <c r="AR117" s="265">
        <v>12</v>
      </c>
      <c r="AS117" s="265" t="s">
        <v>13</v>
      </c>
      <c r="AT117" s="266">
        <v>1</v>
      </c>
      <c r="AU117" s="266">
        <v>2</v>
      </c>
      <c r="AV117" s="266">
        <v>3</v>
      </c>
      <c r="AW117" s="266">
        <v>4</v>
      </c>
      <c r="AX117" s="266">
        <v>5</v>
      </c>
      <c r="AY117" s="266">
        <v>6</v>
      </c>
      <c r="AZ117" s="266">
        <v>7</v>
      </c>
      <c r="BA117" s="266">
        <v>8</v>
      </c>
      <c r="BB117" s="266">
        <v>9</v>
      </c>
      <c r="BC117" s="266">
        <v>10</v>
      </c>
      <c r="BD117" s="266">
        <v>11</v>
      </c>
      <c r="BE117" s="266">
        <v>12</v>
      </c>
      <c r="BF117" s="265" t="s">
        <v>13</v>
      </c>
      <c r="BG117" s="1761"/>
      <c r="BH117" s="1761"/>
      <c r="BI117" s="1748"/>
      <c r="BJ117" s="267"/>
      <c r="BK117" s="268"/>
      <c r="BL117" s="268"/>
      <c r="BM117" s="268"/>
      <c r="BN117" s="268"/>
      <c r="BO117" s="268"/>
      <c r="BP117" s="268"/>
      <c r="BQ117" s="268"/>
      <c r="BR117" s="268"/>
      <c r="BS117" s="268"/>
      <c r="BT117" s="268"/>
      <c r="BU117" s="268"/>
      <c r="BV117" s="268"/>
      <c r="BW117" s="268"/>
      <c r="BX117" s="268"/>
      <c r="BY117" s="268"/>
      <c r="BZ117" s="268"/>
      <c r="CA117" s="268"/>
      <c r="CB117" s="268"/>
    </row>
    <row r="118" spans="1:81" s="269" customFormat="1" ht="30" customHeight="1" thickBot="1" x14ac:dyDescent="0.25">
      <c r="A118" s="340"/>
      <c r="B118" s="341" t="s">
        <v>338</v>
      </c>
      <c r="C118" s="281" t="s">
        <v>25</v>
      </c>
      <c r="D118" s="251">
        <v>12</v>
      </c>
      <c r="E118" s="251">
        <v>3</v>
      </c>
      <c r="F118" s="251">
        <v>1</v>
      </c>
      <c r="G118" s="342">
        <v>1</v>
      </c>
      <c r="H118" s="342">
        <v>1</v>
      </c>
      <c r="I118" s="342">
        <v>1</v>
      </c>
      <c r="J118" s="342">
        <v>1</v>
      </c>
      <c r="K118" s="1207">
        <v>1</v>
      </c>
      <c r="L118" s="576">
        <v>1</v>
      </c>
      <c r="M118" s="576">
        <v>1</v>
      </c>
      <c r="N118" s="576">
        <v>1</v>
      </c>
      <c r="O118" s="342"/>
      <c r="P118" s="342"/>
      <c r="Q118" s="343">
        <f>SUM(E118:P118)</f>
        <v>12</v>
      </c>
      <c r="R118" s="252" t="s">
        <v>68</v>
      </c>
      <c r="S118" s="332">
        <v>1400000</v>
      </c>
      <c r="T118" s="332">
        <v>1400000</v>
      </c>
      <c r="U118" s="332">
        <v>1400000</v>
      </c>
      <c r="V118" s="332">
        <v>1400000</v>
      </c>
      <c r="W118" s="332">
        <v>1400000</v>
      </c>
      <c r="X118" s="332">
        <v>1400000</v>
      </c>
      <c r="Y118" s="332">
        <v>1400000</v>
      </c>
      <c r="Z118" s="1208">
        <v>1400000</v>
      </c>
      <c r="AA118" s="1330">
        <v>1400000</v>
      </c>
      <c r="AB118" s="1330">
        <v>1400000</v>
      </c>
      <c r="AC118" s="332">
        <v>1400000</v>
      </c>
      <c r="AD118" s="332"/>
      <c r="AE118" s="332"/>
      <c r="AF118" s="271">
        <f t="shared" ref="AF118" si="149">SUM(Q118*S118)</f>
        <v>16800000</v>
      </c>
      <c r="AG118" s="272">
        <f>T118*E118</f>
        <v>4200000</v>
      </c>
      <c r="AH118" s="272">
        <f>U118*F118</f>
        <v>1400000</v>
      </c>
      <c r="AI118" s="272">
        <f t="shared" ref="AI118:AR118" si="150">V118*G118</f>
        <v>1400000</v>
      </c>
      <c r="AJ118" s="272">
        <f t="shared" si="150"/>
        <v>1400000</v>
      </c>
      <c r="AK118" s="272">
        <f t="shared" si="150"/>
        <v>1400000</v>
      </c>
      <c r="AL118" s="272">
        <f t="shared" si="150"/>
        <v>1400000</v>
      </c>
      <c r="AM118" s="272">
        <f t="shared" si="150"/>
        <v>1400000</v>
      </c>
      <c r="AN118" s="272">
        <f t="shared" si="150"/>
        <v>1400000</v>
      </c>
      <c r="AO118" s="1199">
        <f t="shared" si="150"/>
        <v>1400000</v>
      </c>
      <c r="AP118" s="272">
        <f t="shared" si="150"/>
        <v>1400000</v>
      </c>
      <c r="AQ118" s="272">
        <f t="shared" si="150"/>
        <v>0</v>
      </c>
      <c r="AR118" s="272">
        <f t="shared" si="150"/>
        <v>0</v>
      </c>
      <c r="AS118" s="273">
        <f t="shared" ref="AS118" si="151">SUM(AG118:AR118)</f>
        <v>16800000</v>
      </c>
      <c r="AT118" s="272"/>
      <c r="AU118" s="272"/>
      <c r="AV118" s="272"/>
      <c r="AW118" s="272"/>
      <c r="AX118" s="272"/>
      <c r="AY118" s="272"/>
      <c r="AZ118" s="272"/>
      <c r="BA118" s="272"/>
      <c r="BB118" s="272"/>
      <c r="BC118" s="272"/>
      <c r="BD118" s="272"/>
      <c r="BE118" s="272"/>
      <c r="BF118" s="299">
        <f>SUM(AT118:BE118)</f>
        <v>0</v>
      </c>
      <c r="BG118" s="344">
        <f>AF118-AS118-BF118</f>
        <v>0</v>
      </c>
      <c r="BH118" s="345">
        <f>S118*D118</f>
        <v>16800000</v>
      </c>
      <c r="BI118" s="346">
        <f>BH118-AS118-BF118</f>
        <v>0</v>
      </c>
      <c r="BJ118" s="373">
        <f>SUM(Q118/D118)</f>
        <v>1</v>
      </c>
    </row>
    <row r="119" spans="1:81" s="269" customFormat="1" ht="39" customHeight="1" thickBot="1" x14ac:dyDescent="0.25">
      <c r="A119" s="554">
        <v>15</v>
      </c>
      <c r="B119" s="308" t="s">
        <v>4</v>
      </c>
      <c r="C119" s="308"/>
      <c r="D119" s="309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1"/>
      <c r="R119" s="312"/>
      <c r="S119" s="309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9">
        <f>SUM(AF118:AF118)</f>
        <v>16800000</v>
      </c>
      <c r="AG119" s="349">
        <f>SUM(AG118:AG118)</f>
        <v>4200000</v>
      </c>
      <c r="AH119" s="349">
        <f>SUM(AH118:AH118)</f>
        <v>1400000</v>
      </c>
      <c r="AI119" s="349">
        <f t="shared" ref="AI119:AR119" si="152">SUM(AI118:AI118)</f>
        <v>1400000</v>
      </c>
      <c r="AJ119" s="349">
        <f t="shared" si="152"/>
        <v>1400000</v>
      </c>
      <c r="AK119" s="349">
        <f t="shared" si="152"/>
        <v>1400000</v>
      </c>
      <c r="AL119" s="349">
        <f t="shared" si="152"/>
        <v>1400000</v>
      </c>
      <c r="AM119" s="349">
        <f t="shared" si="152"/>
        <v>1400000</v>
      </c>
      <c r="AN119" s="349">
        <f t="shared" si="152"/>
        <v>1400000</v>
      </c>
      <c r="AO119" s="349">
        <f t="shared" si="152"/>
        <v>1400000</v>
      </c>
      <c r="AP119" s="349">
        <f t="shared" si="152"/>
        <v>1400000</v>
      </c>
      <c r="AQ119" s="349">
        <f t="shared" si="152"/>
        <v>0</v>
      </c>
      <c r="AR119" s="349">
        <f t="shared" si="152"/>
        <v>0</v>
      </c>
      <c r="AS119" s="349">
        <f>SUM(AS118:AS118)</f>
        <v>16800000</v>
      </c>
      <c r="AT119" s="349">
        <f>SUM(AT118:AT118)</f>
        <v>0</v>
      </c>
      <c r="AU119" s="349">
        <f t="shared" ref="AU119:BE119" si="153">SUM(AU118:AU118)</f>
        <v>0</v>
      </c>
      <c r="AV119" s="349">
        <f t="shared" si="153"/>
        <v>0</v>
      </c>
      <c r="AW119" s="349">
        <f t="shared" si="153"/>
        <v>0</v>
      </c>
      <c r="AX119" s="349">
        <f t="shared" si="153"/>
        <v>0</v>
      </c>
      <c r="AY119" s="349">
        <f t="shared" si="153"/>
        <v>0</v>
      </c>
      <c r="AZ119" s="349">
        <f t="shared" si="153"/>
        <v>0</v>
      </c>
      <c r="BA119" s="349">
        <f t="shared" si="153"/>
        <v>0</v>
      </c>
      <c r="BB119" s="349">
        <f t="shared" si="153"/>
        <v>0</v>
      </c>
      <c r="BC119" s="349">
        <f t="shared" si="153"/>
        <v>0</v>
      </c>
      <c r="BD119" s="349">
        <f t="shared" si="153"/>
        <v>0</v>
      </c>
      <c r="BE119" s="349">
        <f t="shared" si="153"/>
        <v>0</v>
      </c>
      <c r="BF119" s="349">
        <f>SUM(BF118:BF118)</f>
        <v>0</v>
      </c>
      <c r="BG119" s="350">
        <f>AF119-AS119-BF119</f>
        <v>0</v>
      </c>
      <c r="BH119" s="349">
        <f>SUM(BH118:BH118)</f>
        <v>16800000</v>
      </c>
      <c r="BI119" s="349">
        <f>SUM(BI118:BI118)</f>
        <v>0</v>
      </c>
      <c r="BJ119" s="375">
        <f>SUM(BJ118)</f>
        <v>1</v>
      </c>
    </row>
    <row r="120" spans="1:81" s="262" customFormat="1" ht="24.75" customHeight="1" x14ac:dyDescent="0.2">
      <c r="A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AE120" s="280"/>
      <c r="AS120" s="291"/>
      <c r="BF120" s="319">
        <f>SUM(AS119+BF119)</f>
        <v>16800000</v>
      </c>
      <c r="BG120" s="284">
        <f>AF119-AS119-BF119</f>
        <v>0</v>
      </c>
      <c r="BH120" s="320">
        <f>SUM(BI119+AS119+BF119)</f>
        <v>16800000</v>
      </c>
      <c r="BI120" s="285">
        <f>SUM(BG119)</f>
        <v>0</v>
      </c>
      <c r="BJ120" s="371" t="s">
        <v>38</v>
      </c>
      <c r="BK120" s="28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</row>
    <row r="121" spans="1:81" s="262" customFormat="1" ht="24.75" customHeight="1" x14ac:dyDescent="0.2">
      <c r="A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AE121" s="280"/>
      <c r="AS121" s="280"/>
      <c r="AT121" s="388">
        <f>SUM(AG119+AT119)</f>
        <v>4200000</v>
      </c>
      <c r="AU121" s="388">
        <f t="shared" ref="AU121:BE121" si="154">SUM(AH119+AU119)</f>
        <v>1400000</v>
      </c>
      <c r="AV121" s="388">
        <f t="shared" si="154"/>
        <v>1400000</v>
      </c>
      <c r="AW121" s="388">
        <f t="shared" si="154"/>
        <v>1400000</v>
      </c>
      <c r="AX121" s="388">
        <f t="shared" si="154"/>
        <v>1400000</v>
      </c>
      <c r="AY121" s="388">
        <f t="shared" si="154"/>
        <v>1400000</v>
      </c>
      <c r="AZ121" s="388">
        <f t="shared" si="154"/>
        <v>1400000</v>
      </c>
      <c r="BA121" s="388">
        <f t="shared" si="154"/>
        <v>1400000</v>
      </c>
      <c r="BB121" s="388">
        <f t="shared" si="154"/>
        <v>1400000</v>
      </c>
      <c r="BC121" s="388">
        <f t="shared" si="154"/>
        <v>1400000</v>
      </c>
      <c r="BD121" s="388">
        <f t="shared" si="154"/>
        <v>0</v>
      </c>
      <c r="BE121" s="388">
        <f t="shared" si="154"/>
        <v>0</v>
      </c>
      <c r="BF121" s="388">
        <f>SUM(AT121:BE121)</f>
        <v>16800000</v>
      </c>
      <c r="BG121" s="280"/>
      <c r="BH121" s="286"/>
      <c r="BI121" s="287">
        <f>SUM(BI119-BI120)</f>
        <v>0</v>
      </c>
      <c r="BJ121" s="371" t="s">
        <v>37</v>
      </c>
      <c r="BK121" s="28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</row>
    <row r="122" spans="1:81" s="269" customFormat="1" ht="15" x14ac:dyDescent="0.2">
      <c r="A122" s="1754" t="s">
        <v>8</v>
      </c>
      <c r="B122" s="1755"/>
      <c r="C122" s="244" t="s">
        <v>340</v>
      </c>
      <c r="R122" s="288"/>
      <c r="S122" s="267"/>
      <c r="BJ122" s="371"/>
    </row>
    <row r="123" spans="1:81" s="264" customFormat="1" ht="48.75" customHeight="1" x14ac:dyDescent="0.2">
      <c r="A123" s="1756" t="s">
        <v>10</v>
      </c>
      <c r="B123" s="1759" t="s">
        <v>11</v>
      </c>
      <c r="C123" s="1759" t="s">
        <v>22</v>
      </c>
      <c r="D123" s="1762" t="s">
        <v>12</v>
      </c>
      <c r="E123" s="1762"/>
      <c r="F123" s="1762"/>
      <c r="G123" s="1762"/>
      <c r="H123" s="1762"/>
      <c r="I123" s="1762"/>
      <c r="J123" s="1762"/>
      <c r="K123" s="1762"/>
      <c r="L123" s="1762"/>
      <c r="M123" s="1762"/>
      <c r="N123" s="1762"/>
      <c r="O123" s="1762"/>
      <c r="P123" s="1762"/>
      <c r="Q123" s="1762"/>
      <c r="R123" s="1759" t="s">
        <v>20</v>
      </c>
      <c r="S123" s="1763" t="s">
        <v>17</v>
      </c>
      <c r="T123" s="1764"/>
      <c r="U123" s="1764"/>
      <c r="V123" s="1764"/>
      <c r="W123" s="1764"/>
      <c r="X123" s="1764"/>
      <c r="Y123" s="1764"/>
      <c r="Z123" s="1764"/>
      <c r="AA123" s="1764"/>
      <c r="AB123" s="1764"/>
      <c r="AC123" s="1764"/>
      <c r="AD123" s="1764"/>
      <c r="AE123" s="1765"/>
      <c r="AF123" s="1766" t="s">
        <v>6</v>
      </c>
      <c r="AG123" s="1766"/>
      <c r="AH123" s="1766"/>
      <c r="AI123" s="1766"/>
      <c r="AJ123" s="1766"/>
      <c r="AK123" s="1766"/>
      <c r="AL123" s="1766"/>
      <c r="AM123" s="1766"/>
      <c r="AN123" s="1766"/>
      <c r="AO123" s="1766"/>
      <c r="AP123" s="1766"/>
      <c r="AQ123" s="1766"/>
      <c r="AR123" s="1766"/>
      <c r="AS123" s="1766"/>
      <c r="AT123" s="1767" t="s">
        <v>41</v>
      </c>
      <c r="AU123" s="1768"/>
      <c r="AV123" s="1768"/>
      <c r="AW123" s="1768"/>
      <c r="AX123" s="1768"/>
      <c r="AY123" s="1768"/>
      <c r="AZ123" s="1768"/>
      <c r="BA123" s="1768"/>
      <c r="BB123" s="1768"/>
      <c r="BC123" s="1768"/>
      <c r="BD123" s="1768"/>
      <c r="BE123" s="1768"/>
      <c r="BF123" s="1769"/>
      <c r="BG123" s="1759" t="s">
        <v>38</v>
      </c>
      <c r="BH123" s="1759" t="s">
        <v>256</v>
      </c>
      <c r="BI123" s="1746" t="s">
        <v>39</v>
      </c>
      <c r="BJ123" s="243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63"/>
      <c r="CB123" s="263"/>
    </row>
    <row r="124" spans="1:81" s="264" customFormat="1" ht="48.75" customHeight="1" x14ac:dyDescent="0.2">
      <c r="A124" s="1757"/>
      <c r="B124" s="1760"/>
      <c r="C124" s="1760"/>
      <c r="D124" s="1749" t="s">
        <v>18</v>
      </c>
      <c r="E124" s="1751" t="s">
        <v>19</v>
      </c>
      <c r="F124" s="1752"/>
      <c r="G124" s="1752"/>
      <c r="H124" s="1752"/>
      <c r="I124" s="1752"/>
      <c r="J124" s="1752"/>
      <c r="K124" s="1752"/>
      <c r="L124" s="1752"/>
      <c r="M124" s="1752"/>
      <c r="N124" s="1752"/>
      <c r="O124" s="1752"/>
      <c r="P124" s="1752"/>
      <c r="Q124" s="1752"/>
      <c r="R124" s="1760"/>
      <c r="S124" s="1749" t="s">
        <v>18</v>
      </c>
      <c r="T124" s="1751" t="s">
        <v>19</v>
      </c>
      <c r="U124" s="1752"/>
      <c r="V124" s="1752"/>
      <c r="W124" s="1752"/>
      <c r="X124" s="1752"/>
      <c r="Y124" s="1752"/>
      <c r="Z124" s="1752"/>
      <c r="AA124" s="1752"/>
      <c r="AB124" s="1752"/>
      <c r="AC124" s="1752"/>
      <c r="AD124" s="1752"/>
      <c r="AE124" s="1753"/>
      <c r="AF124" s="1749" t="s">
        <v>18</v>
      </c>
      <c r="AG124" s="1751" t="s">
        <v>19</v>
      </c>
      <c r="AH124" s="1752"/>
      <c r="AI124" s="1752"/>
      <c r="AJ124" s="1752"/>
      <c r="AK124" s="1752"/>
      <c r="AL124" s="1752"/>
      <c r="AM124" s="1752"/>
      <c r="AN124" s="1752"/>
      <c r="AO124" s="1752"/>
      <c r="AP124" s="1752"/>
      <c r="AQ124" s="1752"/>
      <c r="AR124" s="1752"/>
      <c r="AS124" s="1753"/>
      <c r="AT124" s="1770"/>
      <c r="AU124" s="1771"/>
      <c r="AV124" s="1771"/>
      <c r="AW124" s="1771"/>
      <c r="AX124" s="1771"/>
      <c r="AY124" s="1771"/>
      <c r="AZ124" s="1771"/>
      <c r="BA124" s="1771"/>
      <c r="BB124" s="1771"/>
      <c r="BC124" s="1771"/>
      <c r="BD124" s="1771"/>
      <c r="BE124" s="1771"/>
      <c r="BF124" s="1772"/>
      <c r="BG124" s="1760"/>
      <c r="BH124" s="1760"/>
      <c r="BI124" s="1747"/>
      <c r="BJ124" s="243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63"/>
      <c r="CB124" s="263"/>
    </row>
    <row r="125" spans="1:81" s="269" customFormat="1" ht="28.5" customHeight="1" x14ac:dyDescent="0.2">
      <c r="A125" s="1758"/>
      <c r="B125" s="1761"/>
      <c r="C125" s="1761"/>
      <c r="D125" s="1750"/>
      <c r="E125" s="265">
        <v>1</v>
      </c>
      <c r="F125" s="265">
        <v>2</v>
      </c>
      <c r="G125" s="265">
        <v>3</v>
      </c>
      <c r="H125" s="265">
        <v>4</v>
      </c>
      <c r="I125" s="265">
        <v>5</v>
      </c>
      <c r="J125" s="265">
        <v>6</v>
      </c>
      <c r="K125" s="265">
        <v>7</v>
      </c>
      <c r="L125" s="265">
        <v>8</v>
      </c>
      <c r="M125" s="265">
        <v>9</v>
      </c>
      <c r="N125" s="265">
        <v>10</v>
      </c>
      <c r="O125" s="265">
        <v>11</v>
      </c>
      <c r="P125" s="265">
        <v>12</v>
      </c>
      <c r="Q125" s="265" t="s">
        <v>21</v>
      </c>
      <c r="R125" s="1761"/>
      <c r="S125" s="1750"/>
      <c r="T125" s="265">
        <v>1</v>
      </c>
      <c r="U125" s="265">
        <v>2</v>
      </c>
      <c r="V125" s="265">
        <v>3</v>
      </c>
      <c r="W125" s="265">
        <v>4</v>
      </c>
      <c r="X125" s="265">
        <v>5</v>
      </c>
      <c r="Y125" s="265">
        <v>6</v>
      </c>
      <c r="Z125" s="265">
        <v>7</v>
      </c>
      <c r="AA125" s="265">
        <v>8</v>
      </c>
      <c r="AB125" s="265">
        <v>9</v>
      </c>
      <c r="AC125" s="265">
        <v>10</v>
      </c>
      <c r="AD125" s="265">
        <v>11</v>
      </c>
      <c r="AE125" s="265">
        <v>12</v>
      </c>
      <c r="AF125" s="1750"/>
      <c r="AG125" s="265">
        <v>1</v>
      </c>
      <c r="AH125" s="265">
        <v>2</v>
      </c>
      <c r="AI125" s="265">
        <v>3</v>
      </c>
      <c r="AJ125" s="265">
        <v>4</v>
      </c>
      <c r="AK125" s="265">
        <v>5</v>
      </c>
      <c r="AL125" s="265">
        <v>6</v>
      </c>
      <c r="AM125" s="265">
        <v>7</v>
      </c>
      <c r="AN125" s="265">
        <v>8</v>
      </c>
      <c r="AO125" s="265">
        <v>9</v>
      </c>
      <c r="AP125" s="265">
        <v>10</v>
      </c>
      <c r="AQ125" s="265">
        <v>11</v>
      </c>
      <c r="AR125" s="265">
        <v>12</v>
      </c>
      <c r="AS125" s="265" t="s">
        <v>13</v>
      </c>
      <c r="AT125" s="266">
        <v>1</v>
      </c>
      <c r="AU125" s="266">
        <v>2</v>
      </c>
      <c r="AV125" s="266">
        <v>3</v>
      </c>
      <c r="AW125" s="266">
        <v>4</v>
      </c>
      <c r="AX125" s="266">
        <v>5</v>
      </c>
      <c r="AY125" s="266">
        <v>6</v>
      </c>
      <c r="AZ125" s="266">
        <v>7</v>
      </c>
      <c r="BA125" s="266">
        <v>8</v>
      </c>
      <c r="BB125" s="266">
        <v>9</v>
      </c>
      <c r="BC125" s="266">
        <v>10</v>
      </c>
      <c r="BD125" s="266">
        <v>11</v>
      </c>
      <c r="BE125" s="266">
        <v>12</v>
      </c>
      <c r="BF125" s="265" t="s">
        <v>13</v>
      </c>
      <c r="BG125" s="1761"/>
      <c r="BH125" s="1761"/>
      <c r="BI125" s="1748"/>
      <c r="BJ125" s="267"/>
      <c r="BK125" s="268"/>
      <c r="BL125" s="268"/>
      <c r="BM125" s="268"/>
      <c r="BN125" s="268"/>
      <c r="BO125" s="268"/>
      <c r="BP125" s="268"/>
      <c r="BQ125" s="268"/>
      <c r="BR125" s="268"/>
      <c r="BS125" s="268"/>
      <c r="BT125" s="268"/>
      <c r="BU125" s="268"/>
      <c r="BV125" s="268"/>
      <c r="BW125" s="268"/>
      <c r="BX125" s="268"/>
      <c r="BY125" s="268"/>
      <c r="BZ125" s="268"/>
      <c r="CA125" s="268"/>
      <c r="CB125" s="268"/>
    </row>
    <row r="126" spans="1:81" s="269" customFormat="1" ht="30" customHeight="1" thickBot="1" x14ac:dyDescent="0.25">
      <c r="A126" s="340"/>
      <c r="B126" s="341" t="s">
        <v>86</v>
      </c>
      <c r="C126" s="281" t="s">
        <v>25</v>
      </c>
      <c r="D126" s="251">
        <v>72</v>
      </c>
      <c r="E126" s="251">
        <v>18</v>
      </c>
      <c r="F126" s="251">
        <v>6</v>
      </c>
      <c r="G126" s="342">
        <v>6</v>
      </c>
      <c r="H126" s="342">
        <v>6</v>
      </c>
      <c r="I126" s="342">
        <v>6</v>
      </c>
      <c r="J126" s="342">
        <v>6</v>
      </c>
      <c r="K126" s="1207">
        <v>6</v>
      </c>
      <c r="L126" s="576">
        <v>6</v>
      </c>
      <c r="M126" s="576">
        <v>6</v>
      </c>
      <c r="N126" s="576">
        <v>6</v>
      </c>
      <c r="O126" s="342"/>
      <c r="P126" s="342"/>
      <c r="Q126" s="343">
        <f>SUM(E126:P126)</f>
        <v>72</v>
      </c>
      <c r="R126" s="252" t="s">
        <v>68</v>
      </c>
      <c r="S126" s="332">
        <v>1300000</v>
      </c>
      <c r="T126" s="332">
        <v>1300000</v>
      </c>
      <c r="U126" s="332">
        <v>1300000</v>
      </c>
      <c r="V126" s="332">
        <v>1300000</v>
      </c>
      <c r="W126" s="332">
        <v>1300000</v>
      </c>
      <c r="X126" s="332">
        <v>1300000</v>
      </c>
      <c r="Y126" s="332">
        <v>1300000</v>
      </c>
      <c r="Z126" s="1208">
        <v>1300000</v>
      </c>
      <c r="AA126" s="332">
        <v>1300000</v>
      </c>
      <c r="AB126" s="1330">
        <v>1300000</v>
      </c>
      <c r="AC126" s="332">
        <v>1300000</v>
      </c>
      <c r="AD126" s="332"/>
      <c r="AE126" s="332"/>
      <c r="AF126" s="271">
        <f t="shared" ref="AF126" si="155">SUM(Q126*S126)</f>
        <v>93600000</v>
      </c>
      <c r="AG126" s="272">
        <f>T126*E126</f>
        <v>23400000</v>
      </c>
      <c r="AH126" s="272">
        <f>U126*F126</f>
        <v>7800000</v>
      </c>
      <c r="AI126" s="272">
        <f t="shared" ref="AI126:AR126" si="156">V126*G126</f>
        <v>7800000</v>
      </c>
      <c r="AJ126" s="272">
        <f t="shared" si="156"/>
        <v>7800000</v>
      </c>
      <c r="AK126" s="272">
        <f t="shared" si="156"/>
        <v>7800000</v>
      </c>
      <c r="AL126" s="272">
        <f t="shared" si="156"/>
        <v>7800000</v>
      </c>
      <c r="AM126" s="272">
        <f t="shared" si="156"/>
        <v>7800000</v>
      </c>
      <c r="AN126" s="272">
        <f t="shared" si="156"/>
        <v>7800000</v>
      </c>
      <c r="AO126" s="272">
        <f t="shared" si="156"/>
        <v>7800000</v>
      </c>
      <c r="AP126" s="272">
        <f t="shared" si="156"/>
        <v>7800000</v>
      </c>
      <c r="AQ126" s="272">
        <f t="shared" si="156"/>
        <v>0</v>
      </c>
      <c r="AR126" s="272">
        <f t="shared" si="156"/>
        <v>0</v>
      </c>
      <c r="AS126" s="273">
        <f t="shared" ref="AS126" si="157">SUM(AG126:AR126)</f>
        <v>93600000</v>
      </c>
      <c r="AT126" s="272"/>
      <c r="AU126" s="272"/>
      <c r="AV126" s="272"/>
      <c r="AW126" s="272"/>
      <c r="AX126" s="272"/>
      <c r="AY126" s="272"/>
      <c r="AZ126" s="272"/>
      <c r="BA126" s="272"/>
      <c r="BB126" s="272"/>
      <c r="BC126" s="272"/>
      <c r="BD126" s="272"/>
      <c r="BE126" s="272"/>
      <c r="BF126" s="299">
        <f>SUM(AT126:BE126)</f>
        <v>0</v>
      </c>
      <c r="BG126" s="344">
        <f>AF126-AS126-BF126</f>
        <v>0</v>
      </c>
      <c r="BH126" s="345">
        <f>S126*D126</f>
        <v>93600000</v>
      </c>
      <c r="BI126" s="346">
        <f>BH126-AS126-BF126</f>
        <v>0</v>
      </c>
      <c r="BJ126" s="373">
        <f>SUM(Q126/D126)</f>
        <v>1</v>
      </c>
    </row>
    <row r="127" spans="1:81" s="269" customFormat="1" ht="30.75" customHeight="1" thickBot="1" x14ac:dyDescent="0.25">
      <c r="A127" s="554">
        <v>16</v>
      </c>
      <c r="B127" s="308" t="s">
        <v>4</v>
      </c>
      <c r="C127" s="308"/>
      <c r="D127" s="309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1"/>
      <c r="R127" s="312"/>
      <c r="S127" s="309"/>
      <c r="T127" s="348"/>
      <c r="U127" s="348"/>
      <c r="V127" s="348"/>
      <c r="W127" s="348"/>
      <c r="X127" s="348"/>
      <c r="Y127" s="348"/>
      <c r="Z127" s="348"/>
      <c r="AA127" s="348"/>
      <c r="AB127" s="1411"/>
      <c r="AC127" s="348"/>
      <c r="AD127" s="348"/>
      <c r="AE127" s="348"/>
      <c r="AF127" s="349">
        <f>SUM(AF126:AF126)</f>
        <v>93600000</v>
      </c>
      <c r="AG127" s="349">
        <f>SUM(AG126:AG126)</f>
        <v>23400000</v>
      </c>
      <c r="AH127" s="349">
        <f>SUM(AH126:AH126)</f>
        <v>7800000</v>
      </c>
      <c r="AI127" s="349">
        <f t="shared" ref="AI127:AR127" si="158">SUM(AI126:AI126)</f>
        <v>7800000</v>
      </c>
      <c r="AJ127" s="349">
        <f t="shared" si="158"/>
        <v>7800000</v>
      </c>
      <c r="AK127" s="349">
        <f t="shared" si="158"/>
        <v>7800000</v>
      </c>
      <c r="AL127" s="349">
        <f t="shared" si="158"/>
        <v>7800000</v>
      </c>
      <c r="AM127" s="349">
        <f t="shared" si="158"/>
        <v>7800000</v>
      </c>
      <c r="AN127" s="349">
        <f t="shared" si="158"/>
        <v>7800000</v>
      </c>
      <c r="AO127" s="349">
        <f t="shared" si="158"/>
        <v>7800000</v>
      </c>
      <c r="AP127" s="349">
        <f t="shared" si="158"/>
        <v>7800000</v>
      </c>
      <c r="AQ127" s="349">
        <f t="shared" si="158"/>
        <v>0</v>
      </c>
      <c r="AR127" s="349">
        <f t="shared" si="158"/>
        <v>0</v>
      </c>
      <c r="AS127" s="349">
        <f>SUM(AS126:AS126)</f>
        <v>93600000</v>
      </c>
      <c r="AT127" s="349">
        <f>SUM(AT126:AT126)</f>
        <v>0</v>
      </c>
      <c r="AU127" s="349">
        <f t="shared" ref="AU127:BE127" si="159">SUM(AU126:AU126)</f>
        <v>0</v>
      </c>
      <c r="AV127" s="349">
        <f t="shared" si="159"/>
        <v>0</v>
      </c>
      <c r="AW127" s="349">
        <f t="shared" si="159"/>
        <v>0</v>
      </c>
      <c r="AX127" s="349">
        <f t="shared" si="159"/>
        <v>0</v>
      </c>
      <c r="AY127" s="349">
        <f t="shared" si="159"/>
        <v>0</v>
      </c>
      <c r="AZ127" s="349">
        <f t="shared" si="159"/>
        <v>0</v>
      </c>
      <c r="BA127" s="349">
        <f t="shared" si="159"/>
        <v>0</v>
      </c>
      <c r="BB127" s="349">
        <f t="shared" si="159"/>
        <v>0</v>
      </c>
      <c r="BC127" s="349">
        <f t="shared" si="159"/>
        <v>0</v>
      </c>
      <c r="BD127" s="349">
        <f t="shared" si="159"/>
        <v>0</v>
      </c>
      <c r="BE127" s="349">
        <f t="shared" si="159"/>
        <v>0</v>
      </c>
      <c r="BF127" s="349">
        <f>SUM(BF126:BF126)</f>
        <v>0</v>
      </c>
      <c r="BG127" s="350">
        <f>AF127-AS127-BF127</f>
        <v>0</v>
      </c>
      <c r="BH127" s="349">
        <f>SUM(BH126:BH126)</f>
        <v>93600000</v>
      </c>
      <c r="BI127" s="349">
        <f>SUM(BI126:BI126)</f>
        <v>0</v>
      </c>
      <c r="BJ127" s="375">
        <f>SUM(BJ126)</f>
        <v>1</v>
      </c>
    </row>
    <row r="128" spans="1:81" s="262" customFormat="1" ht="24.75" customHeight="1" x14ac:dyDescent="0.2">
      <c r="A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AE128" s="280"/>
      <c r="AS128" s="291"/>
      <c r="BF128" s="319">
        <f>SUM(AS127+BF127)</f>
        <v>93600000</v>
      </c>
      <c r="BG128" s="284">
        <f>AF127-AS127-BF127</f>
        <v>0</v>
      </c>
      <c r="BH128" s="320">
        <f>SUM(BI127+AS127+BF127)</f>
        <v>93600000</v>
      </c>
      <c r="BI128" s="285">
        <f>SUM(BG127)</f>
        <v>0</v>
      </c>
      <c r="BJ128" s="371" t="s">
        <v>38</v>
      </c>
      <c r="BK128" s="28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</row>
    <row r="129" spans="1:98" s="280" customFormat="1" ht="24.75" customHeight="1" x14ac:dyDescent="0.2">
      <c r="A129" s="384"/>
      <c r="D129" s="384"/>
      <c r="E129" s="564"/>
      <c r="F129" s="384"/>
      <c r="G129" s="384"/>
      <c r="H129" s="384"/>
      <c r="I129" s="384"/>
      <c r="J129" s="384"/>
      <c r="K129" s="384"/>
      <c r="L129" s="384"/>
      <c r="M129" s="384"/>
      <c r="N129" s="384"/>
      <c r="O129" s="384"/>
      <c r="P129" s="384"/>
      <c r="Q129" s="384"/>
      <c r="AT129" s="388">
        <f>SUM(AG127+AT127)</f>
        <v>23400000</v>
      </c>
      <c r="AU129" s="388">
        <f t="shared" ref="AU129:BE129" si="160">SUM(AH127+AU127)</f>
        <v>7800000</v>
      </c>
      <c r="AV129" s="388">
        <f t="shared" si="160"/>
        <v>7800000</v>
      </c>
      <c r="AW129" s="388">
        <f t="shared" si="160"/>
        <v>7800000</v>
      </c>
      <c r="AX129" s="388">
        <f t="shared" si="160"/>
        <v>7800000</v>
      </c>
      <c r="AY129" s="388">
        <f t="shared" si="160"/>
        <v>7800000</v>
      </c>
      <c r="AZ129" s="388">
        <f t="shared" si="160"/>
        <v>7800000</v>
      </c>
      <c r="BA129" s="388">
        <f t="shared" si="160"/>
        <v>7800000</v>
      </c>
      <c r="BB129" s="388">
        <f t="shared" si="160"/>
        <v>7800000</v>
      </c>
      <c r="BC129" s="388">
        <f t="shared" si="160"/>
        <v>7800000</v>
      </c>
      <c r="BD129" s="388">
        <f t="shared" si="160"/>
        <v>0</v>
      </c>
      <c r="BE129" s="388">
        <f t="shared" si="160"/>
        <v>0</v>
      </c>
      <c r="BF129" s="388">
        <f>SUM(AT129:BE129)</f>
        <v>93600000</v>
      </c>
      <c r="BH129" s="385"/>
      <c r="BI129" s="287">
        <f>SUM(BI127-BI128)</f>
        <v>0</v>
      </c>
      <c r="BJ129" s="375" t="s">
        <v>37</v>
      </c>
      <c r="BL129" s="261"/>
      <c r="BM129" s="261"/>
      <c r="BN129" s="261"/>
      <c r="BO129" s="261"/>
      <c r="BP129" s="261"/>
      <c r="BQ129" s="261"/>
      <c r="BR129" s="261"/>
      <c r="BS129" s="261"/>
      <c r="BT129" s="261"/>
      <c r="BU129" s="261"/>
      <c r="BV129" s="261"/>
      <c r="BW129" s="261"/>
      <c r="BX129" s="261"/>
      <c r="BY129" s="261"/>
      <c r="BZ129" s="261"/>
      <c r="CA129" s="261"/>
      <c r="CB129" s="261"/>
      <c r="CC129" s="261"/>
    </row>
    <row r="130" spans="1:98" s="244" customFormat="1" ht="16.5" customHeight="1" x14ac:dyDescent="0.2">
      <c r="A130" s="1754" t="s">
        <v>8</v>
      </c>
      <c r="B130" s="1755"/>
      <c r="C130" s="244" t="s">
        <v>275</v>
      </c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5"/>
      <c r="AG130" s="246"/>
      <c r="AH130" s="246"/>
      <c r="AI130" s="246"/>
      <c r="AJ130" s="246"/>
      <c r="AK130" s="246"/>
      <c r="AL130" s="246"/>
      <c r="AM130" s="246"/>
      <c r="AN130" s="246"/>
      <c r="AO130" s="246"/>
      <c r="AP130" s="246"/>
      <c r="AQ130" s="246"/>
      <c r="AR130" s="246"/>
      <c r="AS130" s="243"/>
      <c r="AT130" s="246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3"/>
      <c r="BG130" s="243"/>
      <c r="BH130" s="243"/>
      <c r="BI130" s="248"/>
      <c r="BJ130" s="565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3"/>
      <c r="BW130" s="243"/>
      <c r="BX130" s="243"/>
      <c r="BY130" s="243"/>
      <c r="BZ130" s="248"/>
      <c r="CA130" s="243"/>
      <c r="CB130" s="243"/>
      <c r="CC130" s="566"/>
      <c r="CD130" s="566"/>
      <c r="CE130" s="566"/>
      <c r="CF130" s="566"/>
      <c r="CG130" s="566"/>
      <c r="CH130" s="566"/>
      <c r="CI130" s="566"/>
      <c r="CJ130" s="566"/>
      <c r="CK130" s="566"/>
      <c r="CL130" s="566"/>
      <c r="CM130" s="566"/>
      <c r="CN130" s="566"/>
      <c r="CO130" s="566"/>
      <c r="CP130" s="566"/>
      <c r="CQ130" s="566"/>
      <c r="CR130" s="566"/>
      <c r="CS130" s="566"/>
      <c r="CT130" s="566"/>
    </row>
    <row r="131" spans="1:98" s="264" customFormat="1" ht="48.75" customHeight="1" x14ac:dyDescent="0.2">
      <c r="A131" s="1756" t="s">
        <v>10</v>
      </c>
      <c r="B131" s="1759" t="s">
        <v>11</v>
      </c>
      <c r="C131" s="1759" t="s">
        <v>22</v>
      </c>
      <c r="D131" s="1762" t="s">
        <v>12</v>
      </c>
      <c r="E131" s="1762"/>
      <c r="F131" s="1762"/>
      <c r="G131" s="1762"/>
      <c r="H131" s="1762"/>
      <c r="I131" s="1762"/>
      <c r="J131" s="1762"/>
      <c r="K131" s="1762"/>
      <c r="L131" s="1762"/>
      <c r="M131" s="1762"/>
      <c r="N131" s="1762"/>
      <c r="O131" s="1762"/>
      <c r="P131" s="1762"/>
      <c r="Q131" s="1762"/>
      <c r="R131" s="1759" t="s">
        <v>20</v>
      </c>
      <c r="S131" s="1763" t="s">
        <v>17</v>
      </c>
      <c r="T131" s="1764"/>
      <c r="U131" s="1764"/>
      <c r="V131" s="1764"/>
      <c r="W131" s="1764"/>
      <c r="X131" s="1764"/>
      <c r="Y131" s="1764"/>
      <c r="Z131" s="1764"/>
      <c r="AA131" s="1764"/>
      <c r="AB131" s="1764"/>
      <c r="AC131" s="1764"/>
      <c r="AD131" s="1764"/>
      <c r="AE131" s="1765"/>
      <c r="AF131" s="1766" t="s">
        <v>6</v>
      </c>
      <c r="AG131" s="1766"/>
      <c r="AH131" s="1766"/>
      <c r="AI131" s="1766"/>
      <c r="AJ131" s="1766"/>
      <c r="AK131" s="1766"/>
      <c r="AL131" s="1766"/>
      <c r="AM131" s="1766"/>
      <c r="AN131" s="1766"/>
      <c r="AO131" s="1766"/>
      <c r="AP131" s="1766"/>
      <c r="AQ131" s="1766"/>
      <c r="AR131" s="1766"/>
      <c r="AS131" s="1766"/>
      <c r="AT131" s="1767" t="s">
        <v>41</v>
      </c>
      <c r="AU131" s="1768"/>
      <c r="AV131" s="1768"/>
      <c r="AW131" s="1768"/>
      <c r="AX131" s="1768"/>
      <c r="AY131" s="1768"/>
      <c r="AZ131" s="1768"/>
      <c r="BA131" s="1768"/>
      <c r="BB131" s="1768"/>
      <c r="BC131" s="1768"/>
      <c r="BD131" s="1768"/>
      <c r="BE131" s="1768"/>
      <c r="BF131" s="1769"/>
      <c r="BG131" s="1759" t="s">
        <v>38</v>
      </c>
      <c r="BH131" s="1759" t="s">
        <v>256</v>
      </c>
      <c r="BI131" s="1746" t="s">
        <v>39</v>
      </c>
      <c r="BJ131" s="243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63"/>
      <c r="CB131" s="263"/>
    </row>
    <row r="132" spans="1:98" s="264" customFormat="1" ht="48.75" customHeight="1" x14ac:dyDescent="0.2">
      <c r="A132" s="1757"/>
      <c r="B132" s="1760"/>
      <c r="C132" s="1760"/>
      <c r="D132" s="1749" t="s">
        <v>18</v>
      </c>
      <c r="E132" s="1751" t="s">
        <v>19</v>
      </c>
      <c r="F132" s="1752"/>
      <c r="G132" s="1752"/>
      <c r="H132" s="1752"/>
      <c r="I132" s="1752"/>
      <c r="J132" s="1752"/>
      <c r="K132" s="1752"/>
      <c r="L132" s="1752"/>
      <c r="M132" s="1752"/>
      <c r="N132" s="1752"/>
      <c r="O132" s="1752"/>
      <c r="P132" s="1752"/>
      <c r="Q132" s="1752"/>
      <c r="R132" s="1760"/>
      <c r="S132" s="1749" t="s">
        <v>18</v>
      </c>
      <c r="T132" s="1751" t="s">
        <v>19</v>
      </c>
      <c r="U132" s="1752"/>
      <c r="V132" s="1752"/>
      <c r="W132" s="1752"/>
      <c r="X132" s="1752"/>
      <c r="Y132" s="1752"/>
      <c r="Z132" s="1752"/>
      <c r="AA132" s="1752"/>
      <c r="AB132" s="1752"/>
      <c r="AC132" s="1752"/>
      <c r="AD132" s="1752"/>
      <c r="AE132" s="1753"/>
      <c r="AF132" s="1749" t="s">
        <v>18</v>
      </c>
      <c r="AG132" s="1751" t="s">
        <v>19</v>
      </c>
      <c r="AH132" s="1752"/>
      <c r="AI132" s="1752"/>
      <c r="AJ132" s="1752"/>
      <c r="AK132" s="1752"/>
      <c r="AL132" s="1752"/>
      <c r="AM132" s="1752"/>
      <c r="AN132" s="1752"/>
      <c r="AO132" s="1752"/>
      <c r="AP132" s="1752"/>
      <c r="AQ132" s="1752"/>
      <c r="AR132" s="1752"/>
      <c r="AS132" s="1753"/>
      <c r="AT132" s="1770"/>
      <c r="AU132" s="1771"/>
      <c r="AV132" s="1771"/>
      <c r="AW132" s="1771"/>
      <c r="AX132" s="1771"/>
      <c r="AY132" s="1771"/>
      <c r="AZ132" s="1771"/>
      <c r="BA132" s="1771"/>
      <c r="BB132" s="1771"/>
      <c r="BC132" s="1771"/>
      <c r="BD132" s="1771"/>
      <c r="BE132" s="1771"/>
      <c r="BF132" s="1772"/>
      <c r="BG132" s="1760"/>
      <c r="BH132" s="1760"/>
      <c r="BI132" s="1747"/>
      <c r="BJ132" s="243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63"/>
      <c r="CB132" s="263"/>
    </row>
    <row r="133" spans="1:98" s="269" customFormat="1" ht="28.5" customHeight="1" x14ac:dyDescent="0.2">
      <c r="A133" s="1758"/>
      <c r="B133" s="1761"/>
      <c r="C133" s="1761"/>
      <c r="D133" s="1750"/>
      <c r="E133" s="265">
        <v>1</v>
      </c>
      <c r="F133" s="265">
        <v>2</v>
      </c>
      <c r="G133" s="265">
        <v>3</v>
      </c>
      <c r="H133" s="265">
        <v>4</v>
      </c>
      <c r="I133" s="265">
        <v>5</v>
      </c>
      <c r="J133" s="265">
        <v>6</v>
      </c>
      <c r="K133" s="265">
        <v>7</v>
      </c>
      <c r="L133" s="265">
        <v>8</v>
      </c>
      <c r="M133" s="265">
        <v>9</v>
      </c>
      <c r="N133" s="265">
        <v>10</v>
      </c>
      <c r="O133" s="265">
        <v>11</v>
      </c>
      <c r="P133" s="265">
        <v>12</v>
      </c>
      <c r="Q133" s="265" t="s">
        <v>21</v>
      </c>
      <c r="R133" s="1761"/>
      <c r="S133" s="1750"/>
      <c r="T133" s="265">
        <v>1</v>
      </c>
      <c r="U133" s="265">
        <v>2</v>
      </c>
      <c r="V133" s="265">
        <v>3</v>
      </c>
      <c r="W133" s="265">
        <v>4</v>
      </c>
      <c r="X133" s="265">
        <v>5</v>
      </c>
      <c r="Y133" s="265">
        <v>6</v>
      </c>
      <c r="Z133" s="265">
        <v>7</v>
      </c>
      <c r="AA133" s="265">
        <v>8</v>
      </c>
      <c r="AB133" s="265">
        <v>9</v>
      </c>
      <c r="AC133" s="265">
        <v>10</v>
      </c>
      <c r="AD133" s="265">
        <v>11</v>
      </c>
      <c r="AE133" s="265">
        <v>12</v>
      </c>
      <c r="AF133" s="1750"/>
      <c r="AG133" s="265">
        <v>1</v>
      </c>
      <c r="AH133" s="265">
        <v>2</v>
      </c>
      <c r="AI133" s="265">
        <v>3</v>
      </c>
      <c r="AJ133" s="265">
        <v>4</v>
      </c>
      <c r="AK133" s="265">
        <v>5</v>
      </c>
      <c r="AL133" s="265">
        <v>6</v>
      </c>
      <c r="AM133" s="265">
        <v>7</v>
      </c>
      <c r="AN133" s="265">
        <v>8</v>
      </c>
      <c r="AO133" s="265">
        <v>9</v>
      </c>
      <c r="AP133" s="265">
        <v>10</v>
      </c>
      <c r="AQ133" s="265">
        <v>11</v>
      </c>
      <c r="AR133" s="265">
        <v>12</v>
      </c>
      <c r="AS133" s="265" t="s">
        <v>13</v>
      </c>
      <c r="AT133" s="266">
        <v>1</v>
      </c>
      <c r="AU133" s="266">
        <v>2</v>
      </c>
      <c r="AV133" s="266">
        <v>3</v>
      </c>
      <c r="AW133" s="266">
        <v>4</v>
      </c>
      <c r="AX133" s="266">
        <v>5</v>
      </c>
      <c r="AY133" s="266">
        <v>6</v>
      </c>
      <c r="AZ133" s="266">
        <v>7</v>
      </c>
      <c r="BA133" s="266">
        <v>8</v>
      </c>
      <c r="BB133" s="266">
        <v>9</v>
      </c>
      <c r="BC133" s="266">
        <v>10</v>
      </c>
      <c r="BD133" s="266">
        <v>11</v>
      </c>
      <c r="BE133" s="266">
        <v>12</v>
      </c>
      <c r="BF133" s="265" t="s">
        <v>13</v>
      </c>
      <c r="BG133" s="1761"/>
      <c r="BH133" s="1761"/>
      <c r="BI133" s="1748"/>
      <c r="BJ133" s="267"/>
      <c r="BK133" s="268"/>
      <c r="BL133" s="268"/>
      <c r="BM133" s="268"/>
      <c r="BN133" s="268"/>
      <c r="BO133" s="268"/>
      <c r="BP133" s="268"/>
      <c r="BQ133" s="268"/>
      <c r="BR133" s="268"/>
      <c r="BS133" s="268"/>
      <c r="BT133" s="268"/>
      <c r="BU133" s="268"/>
      <c r="BV133" s="268"/>
      <c r="BW133" s="268"/>
      <c r="BX133" s="268"/>
      <c r="BY133" s="268"/>
      <c r="BZ133" s="268"/>
      <c r="CA133" s="268"/>
      <c r="CB133" s="268"/>
    </row>
    <row r="134" spans="1:98" s="267" customFormat="1" ht="30.75" customHeight="1" thickBot="1" x14ac:dyDescent="0.25">
      <c r="A134" s="340"/>
      <c r="B134" s="341" t="s">
        <v>276</v>
      </c>
      <c r="C134" s="281" t="s">
        <v>25</v>
      </c>
      <c r="D134" s="335">
        <v>12</v>
      </c>
      <c r="E134" s="251">
        <v>1</v>
      </c>
      <c r="F134" s="251">
        <v>1</v>
      </c>
      <c r="G134" s="251">
        <v>1</v>
      </c>
      <c r="H134" s="251">
        <v>1</v>
      </c>
      <c r="I134" s="251">
        <v>1</v>
      </c>
      <c r="J134" s="251">
        <v>1</v>
      </c>
      <c r="K134" s="342">
        <v>1</v>
      </c>
      <c r="L134" s="342">
        <v>1</v>
      </c>
      <c r="M134" s="576">
        <v>4</v>
      </c>
      <c r="N134" s="1207"/>
      <c r="O134" s="1207"/>
      <c r="P134" s="1207"/>
      <c r="Q134" s="343">
        <f>SUM(E134:P134)</f>
        <v>12</v>
      </c>
      <c r="R134" s="252" t="s">
        <v>115</v>
      </c>
      <c r="S134" s="1075">
        <v>73863</v>
      </c>
      <c r="T134" s="1075">
        <v>73863</v>
      </c>
      <c r="U134" s="1075">
        <v>73863</v>
      </c>
      <c r="V134" s="1075">
        <v>73863</v>
      </c>
      <c r="W134" s="1075">
        <v>73863</v>
      </c>
      <c r="X134" s="1075">
        <v>73863</v>
      </c>
      <c r="Y134" s="1075">
        <v>73863</v>
      </c>
      <c r="Z134" s="1075">
        <v>73863</v>
      </c>
      <c r="AA134" s="1075">
        <v>73863</v>
      </c>
      <c r="AB134" s="1410">
        <v>73863</v>
      </c>
      <c r="AC134" s="1075"/>
      <c r="AD134" s="1075"/>
      <c r="AE134" s="1075"/>
      <c r="AF134" s="271">
        <f t="shared" ref="AF134" si="161">SUM(Q134*S134)</f>
        <v>886356</v>
      </c>
      <c r="AG134" s="402">
        <f>T134*E134</f>
        <v>73863</v>
      </c>
      <c r="AH134" s="402">
        <f>U134*F134</f>
        <v>73863</v>
      </c>
      <c r="AI134" s="402">
        <f t="shared" ref="AI134:AR134" si="162">V134*G134</f>
        <v>73863</v>
      </c>
      <c r="AJ134" s="402">
        <f t="shared" si="162"/>
        <v>73863</v>
      </c>
      <c r="AK134" s="402">
        <f t="shared" si="162"/>
        <v>73863</v>
      </c>
      <c r="AL134" s="402">
        <f t="shared" si="162"/>
        <v>73863</v>
      </c>
      <c r="AM134" s="402">
        <f t="shared" si="162"/>
        <v>73863</v>
      </c>
      <c r="AN134" s="402">
        <f t="shared" si="162"/>
        <v>73863</v>
      </c>
      <c r="AO134" s="402">
        <f t="shared" si="162"/>
        <v>295452</v>
      </c>
      <c r="AP134" s="402">
        <f t="shared" si="162"/>
        <v>0</v>
      </c>
      <c r="AQ134" s="402">
        <f t="shared" si="162"/>
        <v>0</v>
      </c>
      <c r="AR134" s="402">
        <f t="shared" si="162"/>
        <v>0</v>
      </c>
      <c r="AS134" s="403">
        <f t="shared" ref="AS134" si="163">SUM(AG134:AR134)</f>
        <v>886356</v>
      </c>
      <c r="AT134" s="402"/>
      <c r="AU134" s="402"/>
      <c r="AV134" s="402"/>
      <c r="AW134" s="402"/>
      <c r="AX134" s="402"/>
      <c r="AY134" s="402"/>
      <c r="AZ134" s="402"/>
      <c r="BA134" s="402"/>
      <c r="BB134" s="402"/>
      <c r="BC134" s="402"/>
      <c r="BD134" s="402"/>
      <c r="BE134" s="402"/>
      <c r="BF134" s="344">
        <f>SUM(AT134:BE134)</f>
        <v>0</v>
      </c>
      <c r="BG134" s="344">
        <f>AF134-AS134-BF134</f>
        <v>0</v>
      </c>
      <c r="BH134" s="345">
        <f>S134*D134</f>
        <v>886356</v>
      </c>
      <c r="BI134" s="346">
        <f>BH134-AS134-BF134</f>
        <v>0</v>
      </c>
      <c r="BJ134" s="373">
        <f>SUM(Q134/D134)</f>
        <v>1</v>
      </c>
      <c r="BK134" s="277"/>
      <c r="BL134" s="277"/>
      <c r="BM134" s="277"/>
      <c r="BN134" s="277"/>
      <c r="BO134" s="277"/>
      <c r="BP134" s="347"/>
      <c r="BQ134" s="347"/>
      <c r="BR134" s="347"/>
      <c r="BS134" s="347"/>
      <c r="BT134" s="347"/>
      <c r="BU134" s="347"/>
      <c r="BV134" s="347"/>
      <c r="BW134" s="347"/>
      <c r="BX134" s="347"/>
      <c r="BY134" s="347"/>
      <c r="BZ134" s="347"/>
      <c r="CA134" s="347"/>
      <c r="CB134" s="347"/>
    </row>
    <row r="135" spans="1:98" s="282" customFormat="1" ht="30.75" customHeight="1" thickBot="1" x14ac:dyDescent="0.25">
      <c r="A135" s="554">
        <v>17</v>
      </c>
      <c r="B135" s="308" t="s">
        <v>4</v>
      </c>
      <c r="C135" s="308"/>
      <c r="D135" s="309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1"/>
      <c r="R135" s="312"/>
      <c r="S135" s="309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9">
        <f>SUM(AF134)</f>
        <v>886356</v>
      </c>
      <c r="AG135" s="349">
        <f t="shared" ref="AG135:AH135" si="164">SUM(AG134)</f>
        <v>73863</v>
      </c>
      <c r="AH135" s="349">
        <f t="shared" si="164"/>
        <v>73863</v>
      </c>
      <c r="AI135" s="349">
        <f t="shared" ref="AI135" si="165">SUM(AI134)</f>
        <v>73863</v>
      </c>
      <c r="AJ135" s="349">
        <f t="shared" ref="AJ135" si="166">SUM(AJ134)</f>
        <v>73863</v>
      </c>
      <c r="AK135" s="349">
        <f t="shared" ref="AK135" si="167">SUM(AK134)</f>
        <v>73863</v>
      </c>
      <c r="AL135" s="349">
        <f t="shared" ref="AL135" si="168">SUM(AL134)</f>
        <v>73863</v>
      </c>
      <c r="AM135" s="349">
        <f t="shared" ref="AM135" si="169">SUM(AM134)</f>
        <v>73863</v>
      </c>
      <c r="AN135" s="349">
        <f t="shared" ref="AN135" si="170">SUM(AN134)</f>
        <v>73863</v>
      </c>
      <c r="AO135" s="349">
        <f t="shared" ref="AO135" si="171">SUM(AO134)</f>
        <v>295452</v>
      </c>
      <c r="AP135" s="349">
        <f t="shared" ref="AP135" si="172">SUM(AP134)</f>
        <v>0</v>
      </c>
      <c r="AQ135" s="349">
        <f t="shared" ref="AQ135" si="173">SUM(AQ134)</f>
        <v>0</v>
      </c>
      <c r="AR135" s="349">
        <f t="shared" ref="AR135" si="174">SUM(AR134)</f>
        <v>0</v>
      </c>
      <c r="AS135" s="349">
        <f t="shared" ref="AS135" si="175">SUM(AS134)</f>
        <v>886356</v>
      </c>
      <c r="AT135" s="349">
        <f t="shared" ref="AT135" si="176">SUM(AT134)</f>
        <v>0</v>
      </c>
      <c r="AU135" s="349">
        <f t="shared" ref="AU135" si="177">SUM(AU134)</f>
        <v>0</v>
      </c>
      <c r="AV135" s="349">
        <f t="shared" ref="AV135" si="178">SUM(AV134)</f>
        <v>0</v>
      </c>
      <c r="AW135" s="349">
        <f t="shared" ref="AW135" si="179">SUM(AW134)</f>
        <v>0</v>
      </c>
      <c r="AX135" s="349">
        <f t="shared" ref="AX135" si="180">SUM(AX134)</f>
        <v>0</v>
      </c>
      <c r="AY135" s="349">
        <f t="shared" ref="AY135" si="181">SUM(AY134)</f>
        <v>0</v>
      </c>
      <c r="AZ135" s="349">
        <f t="shared" ref="AZ135" si="182">SUM(AZ134)</f>
        <v>0</v>
      </c>
      <c r="BA135" s="349">
        <f t="shared" ref="BA135" si="183">SUM(BA134)</f>
        <v>0</v>
      </c>
      <c r="BB135" s="349">
        <f t="shared" ref="BB135" si="184">SUM(BB134)</f>
        <v>0</v>
      </c>
      <c r="BC135" s="349">
        <f t="shared" ref="BC135" si="185">SUM(BC134)</f>
        <v>0</v>
      </c>
      <c r="BD135" s="349">
        <f t="shared" ref="BD135" si="186">SUM(BD134)</f>
        <v>0</v>
      </c>
      <c r="BE135" s="349">
        <f t="shared" ref="BE135" si="187">SUM(BE134)</f>
        <v>0</v>
      </c>
      <c r="BF135" s="349">
        <f t="shared" ref="BF135" si="188">SUM(BF134)</f>
        <v>0</v>
      </c>
      <c r="BG135" s="349">
        <f t="shared" ref="BG135" si="189">SUM(BG134)</f>
        <v>0</v>
      </c>
      <c r="BH135" s="349">
        <f t="shared" ref="BH135" si="190">SUM(BH134)</f>
        <v>886356</v>
      </c>
      <c r="BI135" s="349">
        <f t="shared" ref="BI135" si="191">SUM(BI134)</f>
        <v>0</v>
      </c>
      <c r="BJ135" s="375">
        <f>SUM(BJ134)</f>
        <v>1</v>
      </c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</row>
    <row r="136" spans="1:98" s="262" customFormat="1" ht="24.75" customHeight="1" x14ac:dyDescent="0.2">
      <c r="A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AE136" s="280"/>
      <c r="AS136" s="291"/>
      <c r="BF136" s="319">
        <f>SUM(AS135+BF135)</f>
        <v>886356</v>
      </c>
      <c r="BG136" s="284">
        <f>AF135-AS135-BF135</f>
        <v>0</v>
      </c>
      <c r="BH136" s="320">
        <f>SUM(BI135+AS135+BF135)</f>
        <v>886356</v>
      </c>
      <c r="BI136" s="285">
        <f>SUM(BG135)</f>
        <v>0</v>
      </c>
      <c r="BJ136" s="371" t="s">
        <v>38</v>
      </c>
      <c r="BK136" s="28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</row>
    <row r="137" spans="1:98" s="280" customFormat="1" ht="24.75" customHeight="1" x14ac:dyDescent="0.2">
      <c r="A137" s="384"/>
      <c r="D137" s="384"/>
      <c r="E137" s="384"/>
      <c r="F137" s="384"/>
      <c r="G137" s="384"/>
      <c r="H137" s="384"/>
      <c r="I137" s="384"/>
      <c r="J137" s="384"/>
      <c r="K137" s="384"/>
      <c r="L137" s="384"/>
      <c r="M137" s="384"/>
      <c r="N137" s="384"/>
      <c r="O137" s="384"/>
      <c r="P137" s="384"/>
      <c r="Q137" s="384"/>
      <c r="AT137" s="388">
        <f>SUM(AG135+AT135)</f>
        <v>73863</v>
      </c>
      <c r="AU137" s="388">
        <f t="shared" ref="AU137:BE137" si="192">SUM(AH135+AU135)</f>
        <v>73863</v>
      </c>
      <c r="AV137" s="388">
        <f t="shared" si="192"/>
        <v>73863</v>
      </c>
      <c r="AW137" s="388">
        <f t="shared" si="192"/>
        <v>73863</v>
      </c>
      <c r="AX137" s="388">
        <f t="shared" si="192"/>
        <v>73863</v>
      </c>
      <c r="AY137" s="388">
        <f t="shared" si="192"/>
        <v>73863</v>
      </c>
      <c r="AZ137" s="388">
        <f t="shared" si="192"/>
        <v>73863</v>
      </c>
      <c r="BA137" s="388">
        <f t="shared" si="192"/>
        <v>73863</v>
      </c>
      <c r="BB137" s="388">
        <f t="shared" si="192"/>
        <v>295452</v>
      </c>
      <c r="BC137" s="388">
        <f t="shared" si="192"/>
        <v>0</v>
      </c>
      <c r="BD137" s="388">
        <f t="shared" si="192"/>
        <v>0</v>
      </c>
      <c r="BE137" s="388">
        <f t="shared" si="192"/>
        <v>0</v>
      </c>
      <c r="BF137" s="388">
        <f>SUM(AT137:BE137)</f>
        <v>886356</v>
      </c>
      <c r="BH137" s="385"/>
      <c r="BI137" s="287">
        <f>SUM(BI135-BI136)</f>
        <v>0</v>
      </c>
      <c r="BJ137" s="375" t="s">
        <v>37</v>
      </c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</row>
    <row r="138" spans="1:98" s="244" customFormat="1" ht="16.5" customHeight="1" x14ac:dyDescent="0.2">
      <c r="A138" s="1754" t="s">
        <v>8</v>
      </c>
      <c r="B138" s="1755"/>
      <c r="C138" s="244" t="s">
        <v>280</v>
      </c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6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5"/>
      <c r="AG138" s="246"/>
      <c r="AH138" s="246"/>
      <c r="AI138" s="246"/>
      <c r="AJ138" s="246"/>
      <c r="AK138" s="246"/>
      <c r="AL138" s="246"/>
      <c r="AM138" s="246"/>
      <c r="AN138" s="246"/>
      <c r="AO138" s="246"/>
      <c r="AP138" s="246"/>
      <c r="AQ138" s="246"/>
      <c r="AR138" s="246"/>
      <c r="AS138" s="243"/>
      <c r="AT138" s="246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3"/>
      <c r="BG138" s="243"/>
      <c r="BH138" s="243"/>
      <c r="BI138" s="248"/>
      <c r="BJ138" s="565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3"/>
      <c r="BW138" s="243"/>
      <c r="BX138" s="243"/>
      <c r="BY138" s="243"/>
      <c r="BZ138" s="248"/>
      <c r="CA138" s="243"/>
      <c r="CB138" s="243"/>
      <c r="CC138" s="566"/>
      <c r="CD138" s="566"/>
      <c r="CE138" s="566"/>
      <c r="CF138" s="566"/>
      <c r="CG138" s="566"/>
      <c r="CH138" s="566"/>
      <c r="CI138" s="566"/>
      <c r="CJ138" s="566"/>
      <c r="CK138" s="566"/>
      <c r="CL138" s="566"/>
      <c r="CM138" s="566"/>
      <c r="CN138" s="566"/>
      <c r="CO138" s="566"/>
      <c r="CP138" s="566"/>
      <c r="CQ138" s="566"/>
      <c r="CR138" s="566"/>
      <c r="CS138" s="566"/>
      <c r="CT138" s="566"/>
    </row>
    <row r="139" spans="1:98" s="264" customFormat="1" ht="48.75" customHeight="1" x14ac:dyDescent="0.2">
      <c r="A139" s="1756" t="s">
        <v>10</v>
      </c>
      <c r="B139" s="1759" t="s">
        <v>11</v>
      </c>
      <c r="C139" s="1759" t="s">
        <v>22</v>
      </c>
      <c r="D139" s="1762" t="s">
        <v>12</v>
      </c>
      <c r="E139" s="1762"/>
      <c r="F139" s="1762"/>
      <c r="G139" s="1762"/>
      <c r="H139" s="1762"/>
      <c r="I139" s="1762"/>
      <c r="J139" s="1762"/>
      <c r="K139" s="1762"/>
      <c r="L139" s="1762"/>
      <c r="M139" s="1762"/>
      <c r="N139" s="1762"/>
      <c r="O139" s="1762"/>
      <c r="P139" s="1762"/>
      <c r="Q139" s="1762"/>
      <c r="R139" s="1759" t="s">
        <v>20</v>
      </c>
      <c r="S139" s="1763" t="s">
        <v>17</v>
      </c>
      <c r="T139" s="1764"/>
      <c r="U139" s="1764"/>
      <c r="V139" s="1764"/>
      <c r="W139" s="1764"/>
      <c r="X139" s="1764"/>
      <c r="Y139" s="1764"/>
      <c r="Z139" s="1764"/>
      <c r="AA139" s="1764"/>
      <c r="AB139" s="1764"/>
      <c r="AC139" s="1764"/>
      <c r="AD139" s="1764"/>
      <c r="AE139" s="1765"/>
      <c r="AF139" s="1766" t="s">
        <v>6</v>
      </c>
      <c r="AG139" s="1766"/>
      <c r="AH139" s="1766"/>
      <c r="AI139" s="1766"/>
      <c r="AJ139" s="1766"/>
      <c r="AK139" s="1766"/>
      <c r="AL139" s="1766"/>
      <c r="AM139" s="1766"/>
      <c r="AN139" s="1766"/>
      <c r="AO139" s="1766"/>
      <c r="AP139" s="1766"/>
      <c r="AQ139" s="1766"/>
      <c r="AR139" s="1766"/>
      <c r="AS139" s="1766"/>
      <c r="AT139" s="1767" t="s">
        <v>41</v>
      </c>
      <c r="AU139" s="1768"/>
      <c r="AV139" s="1768"/>
      <c r="AW139" s="1768"/>
      <c r="AX139" s="1768"/>
      <c r="AY139" s="1768"/>
      <c r="AZ139" s="1768"/>
      <c r="BA139" s="1768"/>
      <c r="BB139" s="1768"/>
      <c r="BC139" s="1768"/>
      <c r="BD139" s="1768"/>
      <c r="BE139" s="1768"/>
      <c r="BF139" s="1769"/>
      <c r="BG139" s="1759" t="s">
        <v>38</v>
      </c>
      <c r="BH139" s="1759" t="s">
        <v>256</v>
      </c>
      <c r="BI139" s="1746" t="s">
        <v>39</v>
      </c>
      <c r="BJ139" s="243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63"/>
      <c r="CB139" s="263"/>
    </row>
    <row r="140" spans="1:98" s="264" customFormat="1" ht="48.75" customHeight="1" x14ac:dyDescent="0.2">
      <c r="A140" s="1757"/>
      <c r="B140" s="1760"/>
      <c r="C140" s="1760"/>
      <c r="D140" s="1749" t="s">
        <v>18</v>
      </c>
      <c r="E140" s="1751" t="s">
        <v>19</v>
      </c>
      <c r="F140" s="1752"/>
      <c r="G140" s="1752"/>
      <c r="H140" s="1752"/>
      <c r="I140" s="1752"/>
      <c r="J140" s="1752"/>
      <c r="K140" s="1752"/>
      <c r="L140" s="1752"/>
      <c r="M140" s="1752"/>
      <c r="N140" s="1752"/>
      <c r="O140" s="1752"/>
      <c r="P140" s="1752"/>
      <c r="Q140" s="1752"/>
      <c r="R140" s="1760"/>
      <c r="S140" s="1749" t="s">
        <v>18</v>
      </c>
      <c r="T140" s="1751" t="s">
        <v>19</v>
      </c>
      <c r="U140" s="1752"/>
      <c r="V140" s="1752"/>
      <c r="W140" s="1752"/>
      <c r="X140" s="1752"/>
      <c r="Y140" s="1752"/>
      <c r="Z140" s="1752"/>
      <c r="AA140" s="1752"/>
      <c r="AB140" s="1752"/>
      <c r="AC140" s="1752"/>
      <c r="AD140" s="1752"/>
      <c r="AE140" s="1753"/>
      <c r="AF140" s="1749" t="s">
        <v>18</v>
      </c>
      <c r="AG140" s="1751" t="s">
        <v>19</v>
      </c>
      <c r="AH140" s="1752"/>
      <c r="AI140" s="1752"/>
      <c r="AJ140" s="1752"/>
      <c r="AK140" s="1752"/>
      <c r="AL140" s="1752"/>
      <c r="AM140" s="1752"/>
      <c r="AN140" s="1752"/>
      <c r="AO140" s="1752"/>
      <c r="AP140" s="1752"/>
      <c r="AQ140" s="1752"/>
      <c r="AR140" s="1752"/>
      <c r="AS140" s="1753"/>
      <c r="AT140" s="1770"/>
      <c r="AU140" s="1771"/>
      <c r="AV140" s="1771"/>
      <c r="AW140" s="1771"/>
      <c r="AX140" s="1771"/>
      <c r="AY140" s="1771"/>
      <c r="AZ140" s="1771"/>
      <c r="BA140" s="1771"/>
      <c r="BB140" s="1771"/>
      <c r="BC140" s="1771"/>
      <c r="BD140" s="1771"/>
      <c r="BE140" s="1771"/>
      <c r="BF140" s="1772"/>
      <c r="BG140" s="1760"/>
      <c r="BH140" s="1760"/>
      <c r="BI140" s="1747"/>
      <c r="BJ140" s="243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63"/>
      <c r="CB140" s="263"/>
    </row>
    <row r="141" spans="1:98" s="269" customFormat="1" ht="28.5" customHeight="1" x14ac:dyDescent="0.2">
      <c r="A141" s="1758"/>
      <c r="B141" s="1761"/>
      <c r="C141" s="1761"/>
      <c r="D141" s="1750"/>
      <c r="E141" s="265">
        <v>1</v>
      </c>
      <c r="F141" s="265">
        <v>2</v>
      </c>
      <c r="G141" s="265">
        <v>3</v>
      </c>
      <c r="H141" s="265">
        <v>4</v>
      </c>
      <c r="I141" s="265">
        <v>5</v>
      </c>
      <c r="J141" s="265">
        <v>6</v>
      </c>
      <c r="K141" s="265">
        <v>7</v>
      </c>
      <c r="L141" s="265">
        <v>8</v>
      </c>
      <c r="M141" s="265">
        <v>9</v>
      </c>
      <c r="N141" s="265">
        <v>10</v>
      </c>
      <c r="O141" s="265">
        <v>11</v>
      </c>
      <c r="P141" s="265">
        <v>12</v>
      </c>
      <c r="Q141" s="265" t="s">
        <v>21</v>
      </c>
      <c r="R141" s="1761"/>
      <c r="S141" s="1750"/>
      <c r="T141" s="265">
        <v>1</v>
      </c>
      <c r="U141" s="265">
        <v>2</v>
      </c>
      <c r="V141" s="265">
        <v>3</v>
      </c>
      <c r="W141" s="265">
        <v>4</v>
      </c>
      <c r="X141" s="265">
        <v>5</v>
      </c>
      <c r="Y141" s="265">
        <v>6</v>
      </c>
      <c r="Z141" s="265">
        <v>7</v>
      </c>
      <c r="AA141" s="265">
        <v>8</v>
      </c>
      <c r="AB141" s="265">
        <v>9</v>
      </c>
      <c r="AC141" s="265">
        <v>10</v>
      </c>
      <c r="AD141" s="265">
        <v>11</v>
      </c>
      <c r="AE141" s="265">
        <v>12</v>
      </c>
      <c r="AF141" s="1750"/>
      <c r="AG141" s="265">
        <v>1</v>
      </c>
      <c r="AH141" s="265">
        <v>2</v>
      </c>
      <c r="AI141" s="265">
        <v>3</v>
      </c>
      <c r="AJ141" s="265">
        <v>4</v>
      </c>
      <c r="AK141" s="265">
        <v>5</v>
      </c>
      <c r="AL141" s="265">
        <v>6</v>
      </c>
      <c r="AM141" s="265">
        <v>7</v>
      </c>
      <c r="AN141" s="265">
        <v>8</v>
      </c>
      <c r="AO141" s="265">
        <v>9</v>
      </c>
      <c r="AP141" s="265">
        <v>10</v>
      </c>
      <c r="AQ141" s="265">
        <v>11</v>
      </c>
      <c r="AR141" s="265">
        <v>12</v>
      </c>
      <c r="AS141" s="265" t="s">
        <v>13</v>
      </c>
      <c r="AT141" s="266">
        <v>1</v>
      </c>
      <c r="AU141" s="266">
        <v>2</v>
      </c>
      <c r="AV141" s="266">
        <v>3</v>
      </c>
      <c r="AW141" s="266">
        <v>4</v>
      </c>
      <c r="AX141" s="266">
        <v>5</v>
      </c>
      <c r="AY141" s="266">
        <v>6</v>
      </c>
      <c r="AZ141" s="266">
        <v>7</v>
      </c>
      <c r="BA141" s="266">
        <v>8</v>
      </c>
      <c r="BB141" s="266">
        <v>9</v>
      </c>
      <c r="BC141" s="266">
        <v>10</v>
      </c>
      <c r="BD141" s="266">
        <v>11</v>
      </c>
      <c r="BE141" s="266">
        <v>12</v>
      </c>
      <c r="BF141" s="265" t="s">
        <v>13</v>
      </c>
      <c r="BG141" s="1761"/>
      <c r="BH141" s="1761"/>
      <c r="BI141" s="1748"/>
      <c r="BJ141" s="267"/>
      <c r="BK141" s="268"/>
      <c r="BL141" s="268"/>
      <c r="BM141" s="268"/>
      <c r="BN141" s="268"/>
      <c r="BO141" s="268"/>
      <c r="BP141" s="268"/>
      <c r="BQ141" s="268"/>
      <c r="BR141" s="268"/>
      <c r="BS141" s="268"/>
      <c r="BT141" s="268"/>
      <c r="BU141" s="268"/>
      <c r="BV141" s="268"/>
      <c r="BW141" s="268"/>
      <c r="BX141" s="268"/>
      <c r="BY141" s="268"/>
      <c r="BZ141" s="268"/>
      <c r="CA141" s="268"/>
      <c r="CB141" s="268"/>
    </row>
    <row r="142" spans="1:98" s="267" customFormat="1" ht="31.5" customHeight="1" thickBot="1" x14ac:dyDescent="0.25">
      <c r="A142" s="340"/>
      <c r="B142" s="341" t="s">
        <v>277</v>
      </c>
      <c r="C142" s="281" t="s">
        <v>25</v>
      </c>
      <c r="D142" s="335">
        <v>12</v>
      </c>
      <c r="E142" s="251">
        <v>1</v>
      </c>
      <c r="F142" s="251">
        <v>1</v>
      </c>
      <c r="G142" s="251">
        <v>1</v>
      </c>
      <c r="H142" s="251">
        <v>1</v>
      </c>
      <c r="I142" s="251">
        <v>1</v>
      </c>
      <c r="J142" s="251">
        <v>1</v>
      </c>
      <c r="K142" s="342">
        <v>1</v>
      </c>
      <c r="L142" s="342">
        <v>1</v>
      </c>
      <c r="M142" s="576">
        <v>4</v>
      </c>
      <c r="N142" s="342"/>
      <c r="O142" s="342"/>
      <c r="P142" s="342"/>
      <c r="Q142" s="343">
        <f>SUM(E142:P142)</f>
        <v>12</v>
      </c>
      <c r="R142" s="252" t="s">
        <v>115</v>
      </c>
      <c r="S142" s="1075">
        <v>73863</v>
      </c>
      <c r="T142" s="1075">
        <v>73863</v>
      </c>
      <c r="U142" s="1075">
        <v>73863</v>
      </c>
      <c r="V142" s="1075">
        <v>73863</v>
      </c>
      <c r="W142" s="1075">
        <v>73863</v>
      </c>
      <c r="X142" s="1075">
        <v>73863</v>
      </c>
      <c r="Y142" s="1075">
        <v>73863</v>
      </c>
      <c r="Z142" s="1075">
        <v>73863</v>
      </c>
      <c r="AA142" s="1075">
        <v>73863</v>
      </c>
      <c r="AB142" s="1410">
        <v>73863</v>
      </c>
      <c r="AC142" s="1075"/>
      <c r="AD142" s="1075"/>
      <c r="AE142" s="1075"/>
      <c r="AF142" s="271">
        <f t="shared" ref="AF142" si="193">SUM(Q142*S142)</f>
        <v>886356</v>
      </c>
      <c r="AG142" s="402">
        <f>T142*E142</f>
        <v>73863</v>
      </c>
      <c r="AH142" s="402">
        <f>U142*F142</f>
        <v>73863</v>
      </c>
      <c r="AI142" s="402">
        <f t="shared" ref="AI142:AR142" si="194">V142*G142</f>
        <v>73863</v>
      </c>
      <c r="AJ142" s="402">
        <f t="shared" si="194"/>
        <v>73863</v>
      </c>
      <c r="AK142" s="402">
        <f t="shared" si="194"/>
        <v>73863</v>
      </c>
      <c r="AL142" s="402">
        <f t="shared" si="194"/>
        <v>73863</v>
      </c>
      <c r="AM142" s="402">
        <f t="shared" si="194"/>
        <v>73863</v>
      </c>
      <c r="AN142" s="402">
        <f t="shared" si="194"/>
        <v>73863</v>
      </c>
      <c r="AO142" s="402">
        <f t="shared" si="194"/>
        <v>295452</v>
      </c>
      <c r="AP142" s="402">
        <f t="shared" si="194"/>
        <v>0</v>
      </c>
      <c r="AQ142" s="402">
        <f t="shared" si="194"/>
        <v>0</v>
      </c>
      <c r="AR142" s="402">
        <f t="shared" si="194"/>
        <v>0</v>
      </c>
      <c r="AS142" s="403">
        <f t="shared" ref="AS142" si="195">SUM(AG142:AR142)</f>
        <v>886356</v>
      </c>
      <c r="AT142" s="402"/>
      <c r="AU142" s="402"/>
      <c r="AV142" s="402"/>
      <c r="AW142" s="402"/>
      <c r="AX142" s="402"/>
      <c r="AY142" s="402"/>
      <c r="AZ142" s="402"/>
      <c r="BA142" s="402"/>
      <c r="BB142" s="402"/>
      <c r="BC142" s="402"/>
      <c r="BD142" s="402"/>
      <c r="BE142" s="402"/>
      <c r="BF142" s="344">
        <f>SUM(AT142:BE142)</f>
        <v>0</v>
      </c>
      <c r="BG142" s="344">
        <f>AF142-AS142-BF142</f>
        <v>0</v>
      </c>
      <c r="BH142" s="345">
        <f>S142*D142</f>
        <v>886356</v>
      </c>
      <c r="BI142" s="346">
        <f>BH142-AS142-BF142</f>
        <v>0</v>
      </c>
      <c r="BJ142" s="373">
        <f>SUM(Q142/D142)</f>
        <v>1</v>
      </c>
      <c r="BK142" s="277"/>
      <c r="BL142" s="277"/>
      <c r="BM142" s="277"/>
      <c r="BN142" s="277"/>
      <c r="BO142" s="277"/>
      <c r="BP142" s="347"/>
      <c r="BQ142" s="347"/>
      <c r="BR142" s="347"/>
      <c r="BS142" s="347"/>
      <c r="BT142" s="347"/>
      <c r="BU142" s="347"/>
      <c r="BV142" s="347"/>
      <c r="BW142" s="347"/>
      <c r="BX142" s="347"/>
      <c r="BY142" s="347"/>
      <c r="BZ142" s="347"/>
      <c r="CA142" s="347"/>
      <c r="CB142" s="347"/>
    </row>
    <row r="143" spans="1:98" s="282" customFormat="1" ht="31.5" customHeight="1" thickBot="1" x14ac:dyDescent="0.25">
      <c r="A143" s="554">
        <v>18</v>
      </c>
      <c r="B143" s="308" t="s">
        <v>4</v>
      </c>
      <c r="C143" s="308"/>
      <c r="D143" s="309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1"/>
      <c r="R143" s="312"/>
      <c r="S143" s="309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9">
        <f>SUM(AF142:AF142)</f>
        <v>886356</v>
      </c>
      <c r="AG143" s="349">
        <f>SUM(AG142:AG142)</f>
        <v>73863</v>
      </c>
      <c r="AH143" s="349">
        <f>SUM(AH142:AH142)</f>
        <v>73863</v>
      </c>
      <c r="AI143" s="349">
        <f t="shared" ref="AI143:AR143" si="196">SUM(AI142:AI142)</f>
        <v>73863</v>
      </c>
      <c r="AJ143" s="349">
        <f t="shared" si="196"/>
        <v>73863</v>
      </c>
      <c r="AK143" s="349">
        <f t="shared" si="196"/>
        <v>73863</v>
      </c>
      <c r="AL143" s="349">
        <f t="shared" si="196"/>
        <v>73863</v>
      </c>
      <c r="AM143" s="349">
        <f t="shared" si="196"/>
        <v>73863</v>
      </c>
      <c r="AN143" s="349">
        <f t="shared" si="196"/>
        <v>73863</v>
      </c>
      <c r="AO143" s="349">
        <f t="shared" si="196"/>
        <v>295452</v>
      </c>
      <c r="AP143" s="349">
        <f t="shared" si="196"/>
        <v>0</v>
      </c>
      <c r="AQ143" s="349">
        <f t="shared" si="196"/>
        <v>0</v>
      </c>
      <c r="AR143" s="349">
        <f t="shared" si="196"/>
        <v>0</v>
      </c>
      <c r="AS143" s="349">
        <f>SUM(AS142:AS142)</f>
        <v>886356</v>
      </c>
      <c r="AT143" s="349">
        <f>SUM(AT142:AT142)</f>
        <v>0</v>
      </c>
      <c r="AU143" s="349">
        <f t="shared" ref="AU143:BE143" si="197">SUM(AU142:AU142)</f>
        <v>0</v>
      </c>
      <c r="AV143" s="349">
        <f t="shared" si="197"/>
        <v>0</v>
      </c>
      <c r="AW143" s="349">
        <f t="shared" si="197"/>
        <v>0</v>
      </c>
      <c r="AX143" s="349">
        <f t="shared" si="197"/>
        <v>0</v>
      </c>
      <c r="AY143" s="349">
        <f t="shared" si="197"/>
        <v>0</v>
      </c>
      <c r="AZ143" s="349">
        <f t="shared" si="197"/>
        <v>0</v>
      </c>
      <c r="BA143" s="349">
        <f t="shared" si="197"/>
        <v>0</v>
      </c>
      <c r="BB143" s="349">
        <f t="shared" si="197"/>
        <v>0</v>
      </c>
      <c r="BC143" s="349">
        <f t="shared" si="197"/>
        <v>0</v>
      </c>
      <c r="BD143" s="349">
        <f t="shared" si="197"/>
        <v>0</v>
      </c>
      <c r="BE143" s="349">
        <f t="shared" si="197"/>
        <v>0</v>
      </c>
      <c r="BF143" s="349">
        <f>SUM(BF142:BF142)</f>
        <v>0</v>
      </c>
      <c r="BG143" s="349">
        <f>SUM(BG142:BG142)</f>
        <v>0</v>
      </c>
      <c r="BH143" s="349">
        <f>SUM(BH142:BH142)</f>
        <v>886356</v>
      </c>
      <c r="BI143" s="349">
        <f>SUM(BI142:BI142)</f>
        <v>0</v>
      </c>
      <c r="BJ143" s="375">
        <f>SUM(BJ142)</f>
        <v>1</v>
      </c>
      <c r="BK143" s="318"/>
      <c r="BL143" s="318"/>
      <c r="BM143" s="318"/>
      <c r="BN143" s="318"/>
      <c r="BO143" s="318"/>
      <c r="BP143" s="318"/>
      <c r="BQ143" s="318"/>
      <c r="BR143" s="318"/>
      <c r="BS143" s="318"/>
      <c r="BT143" s="318"/>
      <c r="BU143" s="318"/>
      <c r="BV143" s="318"/>
      <c r="BW143" s="318"/>
      <c r="BX143" s="318"/>
      <c r="BY143" s="318"/>
      <c r="BZ143" s="318"/>
      <c r="CA143" s="318"/>
      <c r="CB143" s="318"/>
    </row>
    <row r="144" spans="1:98" s="262" customFormat="1" ht="24.75" customHeight="1" x14ac:dyDescent="0.2">
      <c r="A144" s="283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AE144" s="280"/>
      <c r="AS144" s="291"/>
      <c r="BF144" s="319">
        <f>SUM(AS143+BF143)</f>
        <v>886356</v>
      </c>
      <c r="BG144" s="284">
        <f>AF143-AS143-BF143</f>
        <v>0</v>
      </c>
      <c r="BH144" s="320">
        <f>SUM(BI143+AS143+BF143)</f>
        <v>886356</v>
      </c>
      <c r="BI144" s="285">
        <f>SUM(BG143)</f>
        <v>0</v>
      </c>
      <c r="BJ144" s="371" t="s">
        <v>38</v>
      </c>
      <c r="BK144" s="28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</row>
    <row r="145" spans="1:98" s="262" customFormat="1" ht="24.75" customHeight="1" x14ac:dyDescent="0.2">
      <c r="A145" s="283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AE145" s="280"/>
      <c r="AS145" s="280"/>
      <c r="AT145" s="388">
        <f>SUM(AG143+AT143)</f>
        <v>73863</v>
      </c>
      <c r="AU145" s="388">
        <f t="shared" ref="AU145:BE145" si="198">SUM(AH143+AU143)</f>
        <v>73863</v>
      </c>
      <c r="AV145" s="388">
        <f t="shared" si="198"/>
        <v>73863</v>
      </c>
      <c r="AW145" s="388">
        <f t="shared" si="198"/>
        <v>73863</v>
      </c>
      <c r="AX145" s="388">
        <f t="shared" si="198"/>
        <v>73863</v>
      </c>
      <c r="AY145" s="388">
        <f t="shared" si="198"/>
        <v>73863</v>
      </c>
      <c r="AZ145" s="388">
        <f t="shared" si="198"/>
        <v>73863</v>
      </c>
      <c r="BA145" s="388">
        <f t="shared" si="198"/>
        <v>73863</v>
      </c>
      <c r="BB145" s="388">
        <f t="shared" si="198"/>
        <v>295452</v>
      </c>
      <c r="BC145" s="388">
        <f t="shared" si="198"/>
        <v>0</v>
      </c>
      <c r="BD145" s="388">
        <f t="shared" si="198"/>
        <v>0</v>
      </c>
      <c r="BE145" s="388">
        <f t="shared" si="198"/>
        <v>0</v>
      </c>
      <c r="BF145" s="388">
        <f>SUM(AT145:BE145)</f>
        <v>886356</v>
      </c>
      <c r="BG145" s="280"/>
      <c r="BH145" s="286"/>
      <c r="BI145" s="287">
        <f>SUM(BI143-BI144)</f>
        <v>0</v>
      </c>
      <c r="BJ145" s="371" t="s">
        <v>37</v>
      </c>
      <c r="BK145" s="28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</row>
    <row r="146" spans="1:98" s="262" customFormat="1" ht="16.5" customHeight="1" x14ac:dyDescent="0.2">
      <c r="A146" s="1754" t="s">
        <v>8</v>
      </c>
      <c r="B146" s="1755"/>
      <c r="C146" s="244" t="s">
        <v>116</v>
      </c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6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93"/>
      <c r="AF146" s="245"/>
      <c r="AG146" s="246"/>
      <c r="AH146" s="246"/>
      <c r="AI146" s="246"/>
      <c r="AJ146" s="246"/>
      <c r="AK146" s="246"/>
      <c r="AL146" s="246"/>
      <c r="AM146" s="246"/>
      <c r="AN146" s="246"/>
      <c r="AO146" s="246"/>
      <c r="AP146" s="246"/>
      <c r="AQ146" s="246"/>
      <c r="AR146" s="246"/>
      <c r="AS146" s="247"/>
      <c r="AT146" s="246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7"/>
      <c r="BG146" s="247"/>
      <c r="BH146" s="243"/>
      <c r="BI146" s="248"/>
      <c r="BJ146" s="372"/>
      <c r="BK146" s="246"/>
      <c r="BL146" s="246"/>
      <c r="BM146" s="246"/>
      <c r="BN146" s="246"/>
      <c r="BO146" s="246"/>
      <c r="BP146" s="293"/>
      <c r="BQ146" s="246"/>
      <c r="BR146" s="246"/>
      <c r="BS146" s="246"/>
      <c r="BT146" s="246"/>
      <c r="BU146" s="246"/>
      <c r="BV146" s="247"/>
      <c r="BW146" s="247"/>
      <c r="BX146" s="247"/>
      <c r="BY146" s="243"/>
      <c r="BZ146" s="248"/>
      <c r="CA146" s="247"/>
      <c r="CB146" s="247"/>
      <c r="CC146" s="260"/>
      <c r="CD146" s="260"/>
      <c r="CE146" s="260"/>
      <c r="CF146" s="260"/>
      <c r="CG146" s="260"/>
      <c r="CH146" s="261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</row>
    <row r="147" spans="1:98" s="264" customFormat="1" ht="48.75" customHeight="1" x14ac:dyDescent="0.2">
      <c r="A147" s="1756" t="s">
        <v>10</v>
      </c>
      <c r="B147" s="1759" t="s">
        <v>11</v>
      </c>
      <c r="C147" s="1759" t="s">
        <v>22</v>
      </c>
      <c r="D147" s="1762" t="s">
        <v>12</v>
      </c>
      <c r="E147" s="1762"/>
      <c r="F147" s="1762"/>
      <c r="G147" s="1762"/>
      <c r="H147" s="1762"/>
      <c r="I147" s="1762"/>
      <c r="J147" s="1762"/>
      <c r="K147" s="1762"/>
      <c r="L147" s="1762"/>
      <c r="M147" s="1762"/>
      <c r="N147" s="1762"/>
      <c r="O147" s="1762"/>
      <c r="P147" s="1762"/>
      <c r="Q147" s="1762"/>
      <c r="R147" s="1759" t="s">
        <v>20</v>
      </c>
      <c r="S147" s="1763" t="s">
        <v>17</v>
      </c>
      <c r="T147" s="1764"/>
      <c r="U147" s="1764"/>
      <c r="V147" s="1764"/>
      <c r="W147" s="1764"/>
      <c r="X147" s="1764"/>
      <c r="Y147" s="1764"/>
      <c r="Z147" s="1764"/>
      <c r="AA147" s="1764"/>
      <c r="AB147" s="1764"/>
      <c r="AC147" s="1764"/>
      <c r="AD147" s="1764"/>
      <c r="AE147" s="1765"/>
      <c r="AF147" s="1766" t="s">
        <v>6</v>
      </c>
      <c r="AG147" s="1766"/>
      <c r="AH147" s="1766"/>
      <c r="AI147" s="1766"/>
      <c r="AJ147" s="1766"/>
      <c r="AK147" s="1766"/>
      <c r="AL147" s="1766"/>
      <c r="AM147" s="1766"/>
      <c r="AN147" s="1766"/>
      <c r="AO147" s="1766"/>
      <c r="AP147" s="1766"/>
      <c r="AQ147" s="1766"/>
      <c r="AR147" s="1766"/>
      <c r="AS147" s="1766"/>
      <c r="AT147" s="1767" t="s">
        <v>41</v>
      </c>
      <c r="AU147" s="1768"/>
      <c r="AV147" s="1768"/>
      <c r="AW147" s="1768"/>
      <c r="AX147" s="1768"/>
      <c r="AY147" s="1768"/>
      <c r="AZ147" s="1768"/>
      <c r="BA147" s="1768"/>
      <c r="BB147" s="1768"/>
      <c r="BC147" s="1768"/>
      <c r="BD147" s="1768"/>
      <c r="BE147" s="1768"/>
      <c r="BF147" s="1769"/>
      <c r="BG147" s="1759" t="s">
        <v>38</v>
      </c>
      <c r="BH147" s="1759" t="s">
        <v>256</v>
      </c>
      <c r="BI147" s="1746" t="s">
        <v>39</v>
      </c>
      <c r="BJ147" s="243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63"/>
      <c r="CB147" s="263"/>
    </row>
    <row r="148" spans="1:98" s="264" customFormat="1" ht="48.75" customHeight="1" x14ac:dyDescent="0.2">
      <c r="A148" s="1757"/>
      <c r="B148" s="1760"/>
      <c r="C148" s="1760"/>
      <c r="D148" s="1749" t="s">
        <v>18</v>
      </c>
      <c r="E148" s="1751" t="s">
        <v>19</v>
      </c>
      <c r="F148" s="1752"/>
      <c r="G148" s="1752"/>
      <c r="H148" s="1752"/>
      <c r="I148" s="1752"/>
      <c r="J148" s="1752"/>
      <c r="K148" s="1752"/>
      <c r="L148" s="1752"/>
      <c r="M148" s="1752"/>
      <c r="N148" s="1752"/>
      <c r="O148" s="1752"/>
      <c r="P148" s="1752"/>
      <c r="Q148" s="1752"/>
      <c r="R148" s="1760"/>
      <c r="S148" s="1749" t="s">
        <v>18</v>
      </c>
      <c r="T148" s="1751" t="s">
        <v>19</v>
      </c>
      <c r="U148" s="1752"/>
      <c r="V148" s="1752"/>
      <c r="W148" s="1752"/>
      <c r="X148" s="1752"/>
      <c r="Y148" s="1752"/>
      <c r="Z148" s="1752"/>
      <c r="AA148" s="1752"/>
      <c r="AB148" s="1752"/>
      <c r="AC148" s="1752"/>
      <c r="AD148" s="1752"/>
      <c r="AE148" s="1753"/>
      <c r="AF148" s="1749" t="s">
        <v>18</v>
      </c>
      <c r="AG148" s="1751" t="s">
        <v>19</v>
      </c>
      <c r="AH148" s="1752"/>
      <c r="AI148" s="1752"/>
      <c r="AJ148" s="1752"/>
      <c r="AK148" s="1752"/>
      <c r="AL148" s="1752"/>
      <c r="AM148" s="1752"/>
      <c r="AN148" s="1752"/>
      <c r="AO148" s="1752"/>
      <c r="AP148" s="1752"/>
      <c r="AQ148" s="1752"/>
      <c r="AR148" s="1752"/>
      <c r="AS148" s="1753"/>
      <c r="AT148" s="1770"/>
      <c r="AU148" s="1771"/>
      <c r="AV148" s="1771"/>
      <c r="AW148" s="1771"/>
      <c r="AX148" s="1771"/>
      <c r="AY148" s="1771"/>
      <c r="AZ148" s="1771"/>
      <c r="BA148" s="1771"/>
      <c r="BB148" s="1771"/>
      <c r="BC148" s="1771"/>
      <c r="BD148" s="1771"/>
      <c r="BE148" s="1771"/>
      <c r="BF148" s="1772"/>
      <c r="BG148" s="1760"/>
      <c r="BH148" s="1760"/>
      <c r="BI148" s="1747"/>
      <c r="BJ148" s="243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63"/>
      <c r="CB148" s="263"/>
    </row>
    <row r="149" spans="1:98" s="269" customFormat="1" ht="28.5" customHeight="1" x14ac:dyDescent="0.2">
      <c r="A149" s="1758"/>
      <c r="B149" s="1761"/>
      <c r="C149" s="1761"/>
      <c r="D149" s="1750"/>
      <c r="E149" s="265">
        <v>1</v>
      </c>
      <c r="F149" s="265">
        <v>2</v>
      </c>
      <c r="G149" s="265">
        <v>3</v>
      </c>
      <c r="H149" s="265">
        <v>4</v>
      </c>
      <c r="I149" s="265">
        <v>5</v>
      </c>
      <c r="J149" s="265">
        <v>6</v>
      </c>
      <c r="K149" s="265">
        <v>7</v>
      </c>
      <c r="L149" s="265">
        <v>8</v>
      </c>
      <c r="M149" s="265">
        <v>9</v>
      </c>
      <c r="N149" s="265">
        <v>10</v>
      </c>
      <c r="O149" s="265">
        <v>11</v>
      </c>
      <c r="P149" s="265">
        <v>12</v>
      </c>
      <c r="Q149" s="265" t="s">
        <v>21</v>
      </c>
      <c r="R149" s="1761"/>
      <c r="S149" s="1750"/>
      <c r="T149" s="265">
        <v>1</v>
      </c>
      <c r="U149" s="265">
        <v>2</v>
      </c>
      <c r="V149" s="265">
        <v>3</v>
      </c>
      <c r="W149" s="265">
        <v>4</v>
      </c>
      <c r="X149" s="265">
        <v>5</v>
      </c>
      <c r="Y149" s="265">
        <v>6</v>
      </c>
      <c r="Z149" s="265">
        <v>7</v>
      </c>
      <c r="AA149" s="265">
        <v>8</v>
      </c>
      <c r="AB149" s="265">
        <v>9</v>
      </c>
      <c r="AC149" s="265">
        <v>10</v>
      </c>
      <c r="AD149" s="265">
        <v>11</v>
      </c>
      <c r="AE149" s="265">
        <v>12</v>
      </c>
      <c r="AF149" s="1750"/>
      <c r="AG149" s="265">
        <v>1</v>
      </c>
      <c r="AH149" s="265">
        <v>2</v>
      </c>
      <c r="AI149" s="265">
        <v>3</v>
      </c>
      <c r="AJ149" s="265">
        <v>4</v>
      </c>
      <c r="AK149" s="265">
        <v>5</v>
      </c>
      <c r="AL149" s="265">
        <v>6</v>
      </c>
      <c r="AM149" s="265">
        <v>7</v>
      </c>
      <c r="AN149" s="265">
        <v>8</v>
      </c>
      <c r="AO149" s="265">
        <v>9</v>
      </c>
      <c r="AP149" s="265">
        <v>10</v>
      </c>
      <c r="AQ149" s="265">
        <v>11</v>
      </c>
      <c r="AR149" s="265">
        <v>12</v>
      </c>
      <c r="AS149" s="265" t="s">
        <v>13</v>
      </c>
      <c r="AT149" s="266">
        <v>1</v>
      </c>
      <c r="AU149" s="266">
        <v>2</v>
      </c>
      <c r="AV149" s="266">
        <v>3</v>
      </c>
      <c r="AW149" s="266">
        <v>4</v>
      </c>
      <c r="AX149" s="266">
        <v>5</v>
      </c>
      <c r="AY149" s="266">
        <v>6</v>
      </c>
      <c r="AZ149" s="266">
        <v>7</v>
      </c>
      <c r="BA149" s="266">
        <v>8</v>
      </c>
      <c r="BB149" s="266">
        <v>9</v>
      </c>
      <c r="BC149" s="266">
        <v>10</v>
      </c>
      <c r="BD149" s="266">
        <v>11</v>
      </c>
      <c r="BE149" s="266">
        <v>12</v>
      </c>
      <c r="BF149" s="265" t="s">
        <v>13</v>
      </c>
      <c r="BG149" s="1761"/>
      <c r="BH149" s="1761"/>
      <c r="BI149" s="1748"/>
      <c r="BJ149" s="267"/>
      <c r="BK149" s="268"/>
      <c r="BL149" s="268"/>
      <c r="BM149" s="268"/>
      <c r="BN149" s="268"/>
      <c r="BO149" s="268"/>
      <c r="BP149" s="268"/>
      <c r="BQ149" s="268"/>
      <c r="BR149" s="268"/>
      <c r="BS149" s="268"/>
      <c r="BT149" s="268"/>
      <c r="BU149" s="268"/>
      <c r="BV149" s="268"/>
      <c r="BW149" s="268"/>
      <c r="BX149" s="268"/>
      <c r="BY149" s="268"/>
      <c r="BZ149" s="268"/>
      <c r="CA149" s="268"/>
      <c r="CB149" s="268"/>
    </row>
    <row r="150" spans="1:98" s="267" customFormat="1" ht="28.5" customHeight="1" thickBot="1" x14ac:dyDescent="0.25">
      <c r="A150" s="340"/>
      <c r="B150" s="341" t="s">
        <v>278</v>
      </c>
      <c r="C150" s="281" t="s">
        <v>25</v>
      </c>
      <c r="D150" s="335">
        <v>72</v>
      </c>
      <c r="E150" s="251">
        <v>5</v>
      </c>
      <c r="F150" s="251">
        <v>5</v>
      </c>
      <c r="G150" s="251">
        <v>5</v>
      </c>
      <c r="H150" s="251">
        <v>5</v>
      </c>
      <c r="I150" s="251">
        <v>5</v>
      </c>
      <c r="J150" s="251">
        <v>5</v>
      </c>
      <c r="K150" s="342">
        <v>5</v>
      </c>
      <c r="L150" s="342">
        <v>5</v>
      </c>
      <c r="M150" s="576">
        <v>20</v>
      </c>
      <c r="N150" s="342"/>
      <c r="O150" s="342"/>
      <c r="P150" s="342"/>
      <c r="Q150" s="343">
        <f>SUM(E150:P150)</f>
        <v>60</v>
      </c>
      <c r="R150" s="252" t="s">
        <v>115</v>
      </c>
      <c r="S150" s="1075">
        <v>73863</v>
      </c>
      <c r="T150" s="1075">
        <v>73863</v>
      </c>
      <c r="U150" s="1075">
        <v>73863</v>
      </c>
      <c r="V150" s="1075">
        <v>73863</v>
      </c>
      <c r="W150" s="1075">
        <v>73863</v>
      </c>
      <c r="X150" s="1075">
        <v>73863</v>
      </c>
      <c r="Y150" s="1075">
        <v>73863</v>
      </c>
      <c r="Z150" s="1076">
        <v>73863</v>
      </c>
      <c r="AA150" s="1076">
        <v>73863</v>
      </c>
      <c r="AB150" s="1409">
        <v>73863</v>
      </c>
      <c r="AC150" s="1076"/>
      <c r="AD150" s="1076"/>
      <c r="AE150" s="1076"/>
      <c r="AF150" s="271">
        <f t="shared" ref="AF150" si="199">SUM(Q150*S150)</f>
        <v>4431780</v>
      </c>
      <c r="AG150" s="402">
        <f>T150*E150</f>
        <v>369315</v>
      </c>
      <c r="AH150" s="402">
        <f>U150*F150</f>
        <v>369315</v>
      </c>
      <c r="AI150" s="402">
        <f t="shared" ref="AI150:AR150" si="200">V150*G150</f>
        <v>369315</v>
      </c>
      <c r="AJ150" s="402">
        <f t="shared" si="200"/>
        <v>369315</v>
      </c>
      <c r="AK150" s="402">
        <f t="shared" si="200"/>
        <v>369315</v>
      </c>
      <c r="AL150" s="402">
        <f t="shared" si="200"/>
        <v>369315</v>
      </c>
      <c r="AM150" s="402">
        <f t="shared" si="200"/>
        <v>369315</v>
      </c>
      <c r="AN150" s="402">
        <f t="shared" si="200"/>
        <v>369315</v>
      </c>
      <c r="AO150" s="402">
        <f t="shared" si="200"/>
        <v>1477260</v>
      </c>
      <c r="AP150" s="402">
        <f t="shared" si="200"/>
        <v>0</v>
      </c>
      <c r="AQ150" s="402">
        <f t="shared" si="200"/>
        <v>0</v>
      </c>
      <c r="AR150" s="402">
        <f t="shared" si="200"/>
        <v>0</v>
      </c>
      <c r="AS150" s="403">
        <f t="shared" ref="AS150" si="201">SUM(AG150:AR150)</f>
        <v>4431780</v>
      </c>
      <c r="AT150" s="402"/>
      <c r="AU150" s="402"/>
      <c r="AV150" s="402"/>
      <c r="AW150" s="402"/>
      <c r="AX150" s="402"/>
      <c r="AY150" s="402"/>
      <c r="AZ150" s="402"/>
      <c r="BA150" s="402"/>
      <c r="BB150" s="402"/>
      <c r="BC150" s="402"/>
      <c r="BD150" s="402"/>
      <c r="BE150" s="402"/>
      <c r="BF150" s="344">
        <f>SUM(AT150:BE150)</f>
        <v>0</v>
      </c>
      <c r="BG150" s="344">
        <f>AF150-AS150-BF150</f>
        <v>0</v>
      </c>
      <c r="BH150" s="345">
        <f>S150*D150</f>
        <v>5318136</v>
      </c>
      <c r="BI150" s="346">
        <f>BH150-AS150-BF150</f>
        <v>886356</v>
      </c>
      <c r="BJ150" s="373">
        <f>SUM(Q150/D150)</f>
        <v>0.83333333333333337</v>
      </c>
      <c r="BK150" s="277"/>
      <c r="BL150" s="277"/>
      <c r="BM150" s="277"/>
      <c r="BN150" s="277"/>
      <c r="BO150" s="277"/>
      <c r="BP150" s="347"/>
      <c r="BQ150" s="347"/>
      <c r="BR150" s="347"/>
      <c r="BS150" s="347"/>
      <c r="BT150" s="347"/>
      <c r="BU150" s="347"/>
      <c r="BV150" s="347"/>
      <c r="BW150" s="347"/>
      <c r="BX150" s="347"/>
      <c r="BY150" s="347"/>
      <c r="BZ150" s="347"/>
      <c r="CA150" s="347"/>
      <c r="CB150" s="347"/>
    </row>
    <row r="151" spans="1:98" s="282" customFormat="1" ht="24.75" customHeight="1" thickBot="1" x14ac:dyDescent="0.25">
      <c r="A151" s="554">
        <v>19</v>
      </c>
      <c r="B151" s="308" t="s">
        <v>4</v>
      </c>
      <c r="C151" s="308"/>
      <c r="D151" s="309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1"/>
      <c r="R151" s="312"/>
      <c r="S151" s="309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9">
        <f>SUM(AF150:AF150)</f>
        <v>4431780</v>
      </c>
      <c r="AG151" s="349">
        <f>SUM(AG150:AG150)</f>
        <v>369315</v>
      </c>
      <c r="AH151" s="349">
        <f>SUM(AH150:AH150)</f>
        <v>369315</v>
      </c>
      <c r="AI151" s="349">
        <f t="shared" ref="AI151:AR151" si="202">SUM(AI150:AI150)</f>
        <v>369315</v>
      </c>
      <c r="AJ151" s="349">
        <f t="shared" si="202"/>
        <v>369315</v>
      </c>
      <c r="AK151" s="349">
        <f t="shared" si="202"/>
        <v>369315</v>
      </c>
      <c r="AL151" s="349">
        <f t="shared" si="202"/>
        <v>369315</v>
      </c>
      <c r="AM151" s="349">
        <f t="shared" si="202"/>
        <v>369315</v>
      </c>
      <c r="AN151" s="349">
        <f t="shared" si="202"/>
        <v>369315</v>
      </c>
      <c r="AO151" s="349">
        <f t="shared" si="202"/>
        <v>1477260</v>
      </c>
      <c r="AP151" s="349">
        <f t="shared" si="202"/>
        <v>0</v>
      </c>
      <c r="AQ151" s="349">
        <f t="shared" si="202"/>
        <v>0</v>
      </c>
      <c r="AR151" s="349">
        <f t="shared" si="202"/>
        <v>0</v>
      </c>
      <c r="AS151" s="349">
        <f>SUM(AS150:AS150)</f>
        <v>4431780</v>
      </c>
      <c r="AT151" s="349">
        <f>SUM(AT150:AT150)</f>
        <v>0</v>
      </c>
      <c r="AU151" s="349">
        <f t="shared" ref="AU151:BE151" si="203">SUM(AU150:AU150)</f>
        <v>0</v>
      </c>
      <c r="AV151" s="349">
        <f t="shared" si="203"/>
        <v>0</v>
      </c>
      <c r="AW151" s="349">
        <f t="shared" si="203"/>
        <v>0</v>
      </c>
      <c r="AX151" s="349">
        <f t="shared" si="203"/>
        <v>0</v>
      </c>
      <c r="AY151" s="349">
        <f t="shared" si="203"/>
        <v>0</v>
      </c>
      <c r="AZ151" s="349">
        <f t="shared" si="203"/>
        <v>0</v>
      </c>
      <c r="BA151" s="349">
        <f t="shared" si="203"/>
        <v>0</v>
      </c>
      <c r="BB151" s="349">
        <f t="shared" si="203"/>
        <v>0</v>
      </c>
      <c r="BC151" s="349">
        <f t="shared" si="203"/>
        <v>0</v>
      </c>
      <c r="BD151" s="349">
        <f t="shared" si="203"/>
        <v>0</v>
      </c>
      <c r="BE151" s="349">
        <f t="shared" si="203"/>
        <v>0</v>
      </c>
      <c r="BF151" s="349">
        <f>SUM(BF150:BF150)</f>
        <v>0</v>
      </c>
      <c r="BG151" s="349">
        <f>SUM(BG150:BG150)</f>
        <v>0</v>
      </c>
      <c r="BH151" s="349">
        <f>SUM(BH150:BH150)</f>
        <v>5318136</v>
      </c>
      <c r="BI151" s="349">
        <f>SUM(BI150:BI150)</f>
        <v>886356</v>
      </c>
      <c r="BJ151" s="375">
        <v>1</v>
      </c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</row>
    <row r="152" spans="1:98" s="262" customFormat="1" ht="24.75" customHeight="1" x14ac:dyDescent="0.2">
      <c r="A152" s="283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AE152" s="280"/>
      <c r="AS152" s="291"/>
      <c r="BF152" s="319">
        <f>SUM(AS151+BF151)</f>
        <v>4431780</v>
      </c>
      <c r="BG152" s="284">
        <f>AF151-AS151-BF151</f>
        <v>0</v>
      </c>
      <c r="BH152" s="320">
        <f>SUM(BI151+AS151+BF151)</f>
        <v>5318136</v>
      </c>
      <c r="BI152" s="285">
        <f>SUM(BG151)</f>
        <v>0</v>
      </c>
      <c r="BJ152" s="371" t="s">
        <v>38</v>
      </c>
      <c r="BK152" s="28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</row>
    <row r="153" spans="1:98" s="262" customFormat="1" ht="24.75" customHeight="1" x14ac:dyDescent="0.2">
      <c r="A153" s="283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AE153" s="280"/>
      <c r="AS153" s="280"/>
      <c r="AT153" s="388">
        <f>SUM(AG151+AT151)</f>
        <v>369315</v>
      </c>
      <c r="AU153" s="388">
        <f t="shared" ref="AU153:BE153" si="204">SUM(AH151+AU151)</f>
        <v>369315</v>
      </c>
      <c r="AV153" s="388">
        <f t="shared" si="204"/>
        <v>369315</v>
      </c>
      <c r="AW153" s="388">
        <f t="shared" si="204"/>
        <v>369315</v>
      </c>
      <c r="AX153" s="388">
        <f t="shared" si="204"/>
        <v>369315</v>
      </c>
      <c r="AY153" s="1032">
        <f t="shared" si="204"/>
        <v>369315</v>
      </c>
      <c r="AZ153" s="1032">
        <f t="shared" si="204"/>
        <v>369315</v>
      </c>
      <c r="BA153" s="1032">
        <f t="shared" si="204"/>
        <v>369315</v>
      </c>
      <c r="BB153" s="388">
        <f t="shared" si="204"/>
        <v>1477260</v>
      </c>
      <c r="BC153" s="388">
        <f t="shared" si="204"/>
        <v>0</v>
      </c>
      <c r="BD153" s="388">
        <f t="shared" si="204"/>
        <v>0</v>
      </c>
      <c r="BE153" s="388">
        <f t="shared" si="204"/>
        <v>0</v>
      </c>
      <c r="BF153" s="388">
        <f>SUM(AT153:BE153)</f>
        <v>4431780</v>
      </c>
      <c r="BG153" s="280"/>
      <c r="BH153" s="286"/>
      <c r="BI153" s="287">
        <f>SUM(BI151-BI152)</f>
        <v>886356</v>
      </c>
      <c r="BJ153" s="371" t="s">
        <v>37</v>
      </c>
      <c r="BK153" s="28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</row>
    <row r="154" spans="1:98" s="262" customFormat="1" ht="16.5" customHeight="1" x14ac:dyDescent="0.2">
      <c r="A154" s="1754" t="s">
        <v>8</v>
      </c>
      <c r="B154" s="1755"/>
      <c r="C154" s="244" t="s">
        <v>116</v>
      </c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6"/>
      <c r="U154" s="246"/>
      <c r="V154" s="246"/>
      <c r="W154" s="246"/>
      <c r="X154" s="246"/>
      <c r="Y154" s="246"/>
      <c r="Z154" s="246"/>
      <c r="AA154" s="246"/>
      <c r="AB154" s="246"/>
      <c r="AC154" s="246"/>
      <c r="AD154" s="246"/>
      <c r="AE154" s="293"/>
      <c r="AF154" s="245"/>
      <c r="AG154" s="246"/>
      <c r="AH154" s="246"/>
      <c r="AI154" s="246"/>
      <c r="AJ154" s="246"/>
      <c r="AK154" s="246"/>
      <c r="AL154" s="246"/>
      <c r="AM154" s="246"/>
      <c r="AN154" s="246"/>
      <c r="AO154" s="246"/>
      <c r="AP154" s="246"/>
      <c r="AQ154" s="246"/>
      <c r="AR154" s="246"/>
      <c r="AS154" s="247"/>
      <c r="AT154" s="246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7"/>
      <c r="BG154" s="247"/>
      <c r="BH154" s="243"/>
      <c r="BI154" s="248"/>
      <c r="BJ154" s="372"/>
      <c r="BK154" s="246"/>
      <c r="BL154" s="246"/>
      <c r="BM154" s="246"/>
      <c r="BN154" s="246"/>
      <c r="BO154" s="246"/>
      <c r="BP154" s="293"/>
      <c r="BQ154" s="246"/>
      <c r="BR154" s="246"/>
      <c r="BS154" s="246"/>
      <c r="BT154" s="246"/>
      <c r="BU154" s="246"/>
      <c r="BV154" s="247"/>
      <c r="BW154" s="247"/>
      <c r="BX154" s="247"/>
      <c r="BY154" s="243"/>
      <c r="BZ154" s="248"/>
      <c r="CA154" s="247"/>
      <c r="CB154" s="247"/>
      <c r="CC154" s="260"/>
      <c r="CD154" s="260"/>
      <c r="CE154" s="260"/>
      <c r="CF154" s="260"/>
      <c r="CG154" s="260"/>
      <c r="CH154" s="261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</row>
    <row r="155" spans="1:98" s="264" customFormat="1" ht="48.75" customHeight="1" x14ac:dyDescent="0.2">
      <c r="A155" s="1756" t="s">
        <v>10</v>
      </c>
      <c r="B155" s="1759" t="s">
        <v>11</v>
      </c>
      <c r="C155" s="1759" t="s">
        <v>22</v>
      </c>
      <c r="D155" s="1762" t="s">
        <v>12</v>
      </c>
      <c r="E155" s="1762"/>
      <c r="F155" s="1762"/>
      <c r="G155" s="1762"/>
      <c r="H155" s="1762"/>
      <c r="I155" s="1762"/>
      <c r="J155" s="1762"/>
      <c r="K155" s="1762"/>
      <c r="L155" s="1762"/>
      <c r="M155" s="1762"/>
      <c r="N155" s="1762"/>
      <c r="O155" s="1762"/>
      <c r="P155" s="1762"/>
      <c r="Q155" s="1762"/>
      <c r="R155" s="1759" t="s">
        <v>20</v>
      </c>
      <c r="S155" s="1763" t="s">
        <v>17</v>
      </c>
      <c r="T155" s="1764"/>
      <c r="U155" s="1764"/>
      <c r="V155" s="1764"/>
      <c r="W155" s="1764"/>
      <c r="X155" s="1764"/>
      <c r="Y155" s="1764"/>
      <c r="Z155" s="1764"/>
      <c r="AA155" s="1764"/>
      <c r="AB155" s="1764"/>
      <c r="AC155" s="1764"/>
      <c r="AD155" s="1764"/>
      <c r="AE155" s="1765"/>
      <c r="AF155" s="1766" t="s">
        <v>6</v>
      </c>
      <c r="AG155" s="1766"/>
      <c r="AH155" s="1766"/>
      <c r="AI155" s="1766"/>
      <c r="AJ155" s="1766"/>
      <c r="AK155" s="1766"/>
      <c r="AL155" s="1766"/>
      <c r="AM155" s="1766"/>
      <c r="AN155" s="1766"/>
      <c r="AO155" s="1766"/>
      <c r="AP155" s="1766"/>
      <c r="AQ155" s="1766"/>
      <c r="AR155" s="1766"/>
      <c r="AS155" s="1766"/>
      <c r="AT155" s="1767" t="s">
        <v>41</v>
      </c>
      <c r="AU155" s="1768"/>
      <c r="AV155" s="1768"/>
      <c r="AW155" s="1768"/>
      <c r="AX155" s="1768"/>
      <c r="AY155" s="1768"/>
      <c r="AZ155" s="1768"/>
      <c r="BA155" s="1768"/>
      <c r="BB155" s="1768"/>
      <c r="BC155" s="1768"/>
      <c r="BD155" s="1768"/>
      <c r="BE155" s="1768"/>
      <c r="BF155" s="1769"/>
      <c r="BG155" s="1759" t="s">
        <v>38</v>
      </c>
      <c r="BH155" s="1759" t="s">
        <v>256</v>
      </c>
      <c r="BI155" s="1746" t="s">
        <v>39</v>
      </c>
      <c r="BJ155" s="243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63"/>
      <c r="CB155" s="263"/>
    </row>
    <row r="156" spans="1:98" s="264" customFormat="1" ht="48.75" customHeight="1" x14ac:dyDescent="0.2">
      <c r="A156" s="1757"/>
      <c r="B156" s="1760"/>
      <c r="C156" s="1760"/>
      <c r="D156" s="1749" t="s">
        <v>18</v>
      </c>
      <c r="E156" s="1751" t="s">
        <v>19</v>
      </c>
      <c r="F156" s="1752"/>
      <c r="G156" s="1752"/>
      <c r="H156" s="1752"/>
      <c r="I156" s="1752"/>
      <c r="J156" s="1752"/>
      <c r="K156" s="1752"/>
      <c r="L156" s="1752"/>
      <c r="M156" s="1752"/>
      <c r="N156" s="1752"/>
      <c r="O156" s="1752"/>
      <c r="P156" s="1752"/>
      <c r="Q156" s="1752"/>
      <c r="R156" s="1760"/>
      <c r="S156" s="1749" t="s">
        <v>18</v>
      </c>
      <c r="T156" s="1751" t="s">
        <v>19</v>
      </c>
      <c r="U156" s="1752"/>
      <c r="V156" s="1752"/>
      <c r="W156" s="1752"/>
      <c r="X156" s="1752"/>
      <c r="Y156" s="1752"/>
      <c r="Z156" s="1752"/>
      <c r="AA156" s="1752"/>
      <c r="AB156" s="1752"/>
      <c r="AC156" s="1752"/>
      <c r="AD156" s="1752"/>
      <c r="AE156" s="1753"/>
      <c r="AF156" s="1749" t="s">
        <v>18</v>
      </c>
      <c r="AG156" s="1751" t="s">
        <v>19</v>
      </c>
      <c r="AH156" s="1752"/>
      <c r="AI156" s="1752"/>
      <c r="AJ156" s="1752"/>
      <c r="AK156" s="1752"/>
      <c r="AL156" s="1752"/>
      <c r="AM156" s="1752"/>
      <c r="AN156" s="1752"/>
      <c r="AO156" s="1752"/>
      <c r="AP156" s="1752"/>
      <c r="AQ156" s="1752"/>
      <c r="AR156" s="1752"/>
      <c r="AS156" s="1753"/>
      <c r="AT156" s="1770"/>
      <c r="AU156" s="1771"/>
      <c r="AV156" s="1771"/>
      <c r="AW156" s="1771"/>
      <c r="AX156" s="1771"/>
      <c r="AY156" s="1771"/>
      <c r="AZ156" s="1771"/>
      <c r="BA156" s="1771"/>
      <c r="BB156" s="1771"/>
      <c r="BC156" s="1771"/>
      <c r="BD156" s="1771"/>
      <c r="BE156" s="1771"/>
      <c r="BF156" s="1772"/>
      <c r="BG156" s="1760"/>
      <c r="BH156" s="1760"/>
      <c r="BI156" s="1747"/>
      <c r="BJ156" s="243"/>
      <c r="BK156" s="1654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63"/>
      <c r="CB156" s="263"/>
    </row>
    <row r="157" spans="1:98" s="269" customFormat="1" ht="28.5" customHeight="1" x14ac:dyDescent="0.2">
      <c r="A157" s="1758"/>
      <c r="B157" s="1761"/>
      <c r="C157" s="1761"/>
      <c r="D157" s="1750"/>
      <c r="E157" s="265">
        <v>1</v>
      </c>
      <c r="F157" s="265">
        <v>2</v>
      </c>
      <c r="G157" s="265">
        <v>3</v>
      </c>
      <c r="H157" s="265">
        <v>4</v>
      </c>
      <c r="I157" s="265">
        <v>5</v>
      </c>
      <c r="J157" s="265">
        <v>6</v>
      </c>
      <c r="K157" s="265">
        <v>7</v>
      </c>
      <c r="L157" s="265">
        <v>8</v>
      </c>
      <c r="M157" s="265">
        <v>9</v>
      </c>
      <c r="N157" s="265">
        <v>10</v>
      </c>
      <c r="O157" s="265">
        <v>11</v>
      </c>
      <c r="P157" s="265">
        <v>12</v>
      </c>
      <c r="Q157" s="265" t="s">
        <v>21</v>
      </c>
      <c r="R157" s="1761"/>
      <c r="S157" s="1750"/>
      <c r="T157" s="265">
        <v>1</v>
      </c>
      <c r="U157" s="265">
        <v>2</v>
      </c>
      <c r="V157" s="265">
        <v>3</v>
      </c>
      <c r="W157" s="265">
        <v>4</v>
      </c>
      <c r="X157" s="265">
        <v>5</v>
      </c>
      <c r="Y157" s="265">
        <v>6</v>
      </c>
      <c r="Z157" s="265">
        <v>7</v>
      </c>
      <c r="AA157" s="265">
        <v>8</v>
      </c>
      <c r="AB157" s="265">
        <v>9</v>
      </c>
      <c r="AC157" s="265">
        <v>10</v>
      </c>
      <c r="AD157" s="265">
        <v>11</v>
      </c>
      <c r="AE157" s="265">
        <v>12</v>
      </c>
      <c r="AF157" s="1750"/>
      <c r="AG157" s="265">
        <v>1</v>
      </c>
      <c r="AH157" s="265">
        <v>2</v>
      </c>
      <c r="AI157" s="265">
        <v>3</v>
      </c>
      <c r="AJ157" s="265">
        <v>4</v>
      </c>
      <c r="AK157" s="265">
        <v>5</v>
      </c>
      <c r="AL157" s="265">
        <v>6</v>
      </c>
      <c r="AM157" s="265">
        <v>7</v>
      </c>
      <c r="AN157" s="265">
        <v>8</v>
      </c>
      <c r="AO157" s="265">
        <v>9</v>
      </c>
      <c r="AP157" s="265">
        <v>10</v>
      </c>
      <c r="AQ157" s="265">
        <v>11</v>
      </c>
      <c r="AR157" s="265">
        <v>12</v>
      </c>
      <c r="AS157" s="265" t="s">
        <v>13</v>
      </c>
      <c r="AT157" s="266">
        <v>1</v>
      </c>
      <c r="AU157" s="266">
        <v>2</v>
      </c>
      <c r="AV157" s="266">
        <v>3</v>
      </c>
      <c r="AW157" s="266">
        <v>4</v>
      </c>
      <c r="AX157" s="266">
        <v>5</v>
      </c>
      <c r="AY157" s="266">
        <v>6</v>
      </c>
      <c r="AZ157" s="266">
        <v>7</v>
      </c>
      <c r="BA157" s="266">
        <v>8</v>
      </c>
      <c r="BB157" s="266">
        <v>9</v>
      </c>
      <c r="BC157" s="266">
        <v>10</v>
      </c>
      <c r="BD157" s="266">
        <v>11</v>
      </c>
      <c r="BE157" s="266">
        <v>12</v>
      </c>
      <c r="BF157" s="265" t="s">
        <v>13</v>
      </c>
      <c r="BG157" s="1761"/>
      <c r="BH157" s="1761"/>
      <c r="BI157" s="1748"/>
      <c r="BJ157" s="267"/>
      <c r="BK157" s="268"/>
      <c r="BL157" s="268"/>
      <c r="BM157" s="268"/>
      <c r="BN157" s="268"/>
      <c r="BO157" s="268"/>
      <c r="BP157" s="268"/>
      <c r="BQ157" s="268"/>
      <c r="BR157" s="268"/>
      <c r="BS157" s="268"/>
      <c r="BT157" s="268"/>
      <c r="BU157" s="268"/>
      <c r="BV157" s="268"/>
      <c r="BW157" s="268"/>
      <c r="BX157" s="268"/>
      <c r="BY157" s="268"/>
      <c r="BZ157" s="268"/>
      <c r="CA157" s="268"/>
      <c r="CB157" s="268"/>
    </row>
    <row r="158" spans="1:98" s="267" customFormat="1" ht="32.25" customHeight="1" thickBot="1" x14ac:dyDescent="0.25">
      <c r="A158" s="340"/>
      <c r="B158" s="341" t="s">
        <v>279</v>
      </c>
      <c r="C158" s="281" t="s">
        <v>25</v>
      </c>
      <c r="D158" s="335">
        <v>48</v>
      </c>
      <c r="E158" s="251">
        <v>2</v>
      </c>
      <c r="F158" s="251">
        <v>2</v>
      </c>
      <c r="G158" s="342">
        <v>2</v>
      </c>
      <c r="H158" s="342">
        <v>2</v>
      </c>
      <c r="I158" s="342">
        <v>2</v>
      </c>
      <c r="J158" s="342">
        <v>2</v>
      </c>
      <c r="K158" s="342">
        <v>2</v>
      </c>
      <c r="L158" s="342">
        <v>2</v>
      </c>
      <c r="M158" s="576">
        <v>8</v>
      </c>
      <c r="N158" s="342"/>
      <c r="O158" s="342"/>
      <c r="P158" s="342"/>
      <c r="Q158" s="343">
        <f>SUM(E158:P158)</f>
        <v>24</v>
      </c>
      <c r="R158" s="252" t="s">
        <v>115</v>
      </c>
      <c r="S158" s="1075">
        <v>73863</v>
      </c>
      <c r="T158" s="1075">
        <v>73863</v>
      </c>
      <c r="U158" s="1075">
        <v>73863</v>
      </c>
      <c r="V158" s="1075">
        <v>73863</v>
      </c>
      <c r="W158" s="1075">
        <v>73863</v>
      </c>
      <c r="X158" s="1075">
        <v>73863</v>
      </c>
      <c r="Y158" s="1075">
        <v>73863</v>
      </c>
      <c r="Z158" s="1075">
        <v>73863</v>
      </c>
      <c r="AA158" s="1075">
        <v>73863</v>
      </c>
      <c r="AB158" s="1410">
        <v>73863</v>
      </c>
      <c r="AC158" s="1075"/>
      <c r="AD158" s="1075"/>
      <c r="AE158" s="1075"/>
      <c r="AF158" s="271">
        <f t="shared" ref="AF158" si="205">SUM(Q158*S158)</f>
        <v>1772712</v>
      </c>
      <c r="AG158" s="402">
        <f>T158*E158</f>
        <v>147726</v>
      </c>
      <c r="AH158" s="402">
        <f>U158*F158</f>
        <v>147726</v>
      </c>
      <c r="AI158" s="402">
        <f t="shared" ref="AI158:AR158" si="206">V158*G158</f>
        <v>147726</v>
      </c>
      <c r="AJ158" s="402">
        <f t="shared" si="206"/>
        <v>147726</v>
      </c>
      <c r="AK158" s="402">
        <f t="shared" si="206"/>
        <v>147726</v>
      </c>
      <c r="AL158" s="402">
        <f t="shared" si="206"/>
        <v>147726</v>
      </c>
      <c r="AM158" s="402">
        <f t="shared" si="206"/>
        <v>147726</v>
      </c>
      <c r="AN158" s="402">
        <f t="shared" si="206"/>
        <v>147726</v>
      </c>
      <c r="AO158" s="402">
        <f t="shared" si="206"/>
        <v>590904</v>
      </c>
      <c r="AP158" s="402">
        <f t="shared" si="206"/>
        <v>0</v>
      </c>
      <c r="AQ158" s="402">
        <f t="shared" si="206"/>
        <v>0</v>
      </c>
      <c r="AR158" s="402">
        <f t="shared" si="206"/>
        <v>0</v>
      </c>
      <c r="AS158" s="403">
        <f t="shared" ref="AS158" si="207">SUM(AG158:AR158)</f>
        <v>1772712</v>
      </c>
      <c r="AT158" s="402"/>
      <c r="AU158" s="402"/>
      <c r="AV158" s="402"/>
      <c r="AW158" s="402"/>
      <c r="AX158" s="402"/>
      <c r="AY158" s="402"/>
      <c r="AZ158" s="402"/>
      <c r="BA158" s="402"/>
      <c r="BB158" s="402"/>
      <c r="BC158" s="402"/>
      <c r="BD158" s="402"/>
      <c r="BE158" s="402"/>
      <c r="BF158" s="344">
        <f>SUM(AT158:BE158)</f>
        <v>0</v>
      </c>
      <c r="BG158" s="344">
        <f>AF158-AS158-BF158</f>
        <v>0</v>
      </c>
      <c r="BH158" s="345">
        <f>S158*D158</f>
        <v>3545424</v>
      </c>
      <c r="BI158" s="346">
        <f>BH158-AS158-BF158</f>
        <v>1772712</v>
      </c>
      <c r="BJ158" s="373">
        <f>SUM(Q158/D158)</f>
        <v>0.5</v>
      </c>
      <c r="BK158" s="277"/>
      <c r="BL158" s="277"/>
      <c r="BM158" s="277"/>
      <c r="BN158" s="277"/>
      <c r="BO158" s="277"/>
      <c r="BP158" s="347"/>
      <c r="BQ158" s="347"/>
      <c r="BR158" s="347"/>
      <c r="BS158" s="347"/>
      <c r="BT158" s="347"/>
      <c r="BU158" s="347"/>
      <c r="BV158" s="347"/>
      <c r="BW158" s="347"/>
      <c r="BX158" s="347"/>
      <c r="BY158" s="347"/>
      <c r="BZ158" s="347"/>
      <c r="CA158" s="347"/>
      <c r="CB158" s="347"/>
    </row>
    <row r="159" spans="1:98" s="282" customFormat="1" ht="32.25" customHeight="1" thickBot="1" x14ac:dyDescent="0.25">
      <c r="A159" s="554">
        <v>20</v>
      </c>
      <c r="B159" s="308" t="s">
        <v>4</v>
      </c>
      <c r="C159" s="308"/>
      <c r="D159" s="309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1"/>
      <c r="R159" s="312"/>
      <c r="S159" s="309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9">
        <f>SUM(AF158:AF158)</f>
        <v>1772712</v>
      </c>
      <c r="AG159" s="349">
        <f>SUM(AG158:AG158)</f>
        <v>147726</v>
      </c>
      <c r="AH159" s="349">
        <f>SUM(AH158:AH158)</f>
        <v>147726</v>
      </c>
      <c r="AI159" s="349">
        <f t="shared" ref="AI159:AR159" si="208">SUM(AI158:AI158)</f>
        <v>147726</v>
      </c>
      <c r="AJ159" s="349">
        <f t="shared" si="208"/>
        <v>147726</v>
      </c>
      <c r="AK159" s="349">
        <f t="shared" si="208"/>
        <v>147726</v>
      </c>
      <c r="AL159" s="349">
        <f t="shared" si="208"/>
        <v>147726</v>
      </c>
      <c r="AM159" s="349">
        <f t="shared" si="208"/>
        <v>147726</v>
      </c>
      <c r="AN159" s="349">
        <f t="shared" si="208"/>
        <v>147726</v>
      </c>
      <c r="AO159" s="349">
        <f t="shared" si="208"/>
        <v>590904</v>
      </c>
      <c r="AP159" s="349">
        <f t="shared" si="208"/>
        <v>0</v>
      </c>
      <c r="AQ159" s="349">
        <f t="shared" si="208"/>
        <v>0</v>
      </c>
      <c r="AR159" s="349">
        <f t="shared" si="208"/>
        <v>0</v>
      </c>
      <c r="AS159" s="349">
        <f>SUM(AS158:AS158)</f>
        <v>1772712</v>
      </c>
      <c r="AT159" s="349">
        <f>SUM(AT158:AT158)</f>
        <v>0</v>
      </c>
      <c r="AU159" s="349">
        <f t="shared" ref="AU159:BE159" si="209">SUM(AU158:AU158)</f>
        <v>0</v>
      </c>
      <c r="AV159" s="349">
        <f t="shared" si="209"/>
        <v>0</v>
      </c>
      <c r="AW159" s="349">
        <f t="shared" si="209"/>
        <v>0</v>
      </c>
      <c r="AX159" s="349">
        <f t="shared" si="209"/>
        <v>0</v>
      </c>
      <c r="AY159" s="349">
        <f t="shared" si="209"/>
        <v>0</v>
      </c>
      <c r="AZ159" s="349">
        <f t="shared" si="209"/>
        <v>0</v>
      </c>
      <c r="BA159" s="349">
        <f t="shared" si="209"/>
        <v>0</v>
      </c>
      <c r="BB159" s="349">
        <f t="shared" si="209"/>
        <v>0</v>
      </c>
      <c r="BC159" s="349">
        <f t="shared" si="209"/>
        <v>0</v>
      </c>
      <c r="BD159" s="349">
        <f t="shared" si="209"/>
        <v>0</v>
      </c>
      <c r="BE159" s="349">
        <f t="shared" si="209"/>
        <v>0</v>
      </c>
      <c r="BF159" s="349">
        <f>SUM(BF158:BF158)</f>
        <v>0</v>
      </c>
      <c r="BG159" s="349">
        <f>SUM(BG158:BG158)</f>
        <v>0</v>
      </c>
      <c r="BH159" s="349">
        <f>SUM(BH158:BH158)</f>
        <v>3545424</v>
      </c>
      <c r="BI159" s="349">
        <f>SUM(BI158:BI158)</f>
        <v>1772712</v>
      </c>
      <c r="BJ159" s="375">
        <v>1</v>
      </c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  <c r="BU159" s="318"/>
      <c r="BV159" s="318"/>
      <c r="BW159" s="318"/>
      <c r="BX159" s="318"/>
      <c r="BY159" s="318"/>
      <c r="BZ159" s="318"/>
      <c r="CA159" s="318"/>
      <c r="CB159" s="318"/>
    </row>
    <row r="160" spans="1:98" s="262" customFormat="1" ht="24.75" customHeight="1" x14ac:dyDescent="0.2">
      <c r="A160" s="283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AE160" s="280"/>
      <c r="AS160" s="291"/>
      <c r="BF160" s="319">
        <f>SUM(AS159+BF159)</f>
        <v>1772712</v>
      </c>
      <c r="BG160" s="284">
        <f>AF159-AS159-BF159</f>
        <v>0</v>
      </c>
      <c r="BH160" s="320">
        <f>SUM(BI159+AS159+BF159)</f>
        <v>3545424</v>
      </c>
      <c r="BI160" s="285">
        <f>SUM(BG159)</f>
        <v>0</v>
      </c>
      <c r="BJ160" s="371" t="s">
        <v>38</v>
      </c>
      <c r="BK160" s="28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</row>
    <row r="161" spans="1:81" s="262" customFormat="1" ht="24.75" customHeight="1" x14ac:dyDescent="0.2">
      <c r="A161" s="283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AE161" s="280"/>
      <c r="AS161" s="280"/>
      <c r="AT161" s="388">
        <f>SUM(AG159+AT159)</f>
        <v>147726</v>
      </c>
      <c r="AU161" s="388">
        <f t="shared" ref="AU161:BE161" si="210">SUM(AH159+AU159)</f>
        <v>147726</v>
      </c>
      <c r="AV161" s="388">
        <f t="shared" si="210"/>
        <v>147726</v>
      </c>
      <c r="AW161" s="388">
        <f t="shared" si="210"/>
        <v>147726</v>
      </c>
      <c r="AX161" s="388">
        <f t="shared" si="210"/>
        <v>147726</v>
      </c>
      <c r="AY161" s="388">
        <f t="shared" si="210"/>
        <v>147726</v>
      </c>
      <c r="AZ161" s="388">
        <f t="shared" si="210"/>
        <v>147726</v>
      </c>
      <c r="BA161" s="388">
        <f t="shared" si="210"/>
        <v>147726</v>
      </c>
      <c r="BB161" s="388">
        <f t="shared" si="210"/>
        <v>590904</v>
      </c>
      <c r="BC161" s="388">
        <f t="shared" si="210"/>
        <v>0</v>
      </c>
      <c r="BD161" s="388">
        <f t="shared" si="210"/>
        <v>0</v>
      </c>
      <c r="BE161" s="388">
        <f t="shared" si="210"/>
        <v>0</v>
      </c>
      <c r="BF161" s="388">
        <f>SUM(AT161:BE161)</f>
        <v>1772712</v>
      </c>
      <c r="BG161" s="280"/>
      <c r="BH161" s="286"/>
      <c r="BI161" s="287">
        <f>SUM(BI159-BI160)</f>
        <v>1772712</v>
      </c>
      <c r="BJ161" s="371" t="s">
        <v>37</v>
      </c>
      <c r="BK161" s="28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</row>
    <row r="162" spans="1:81" s="326" customFormat="1" ht="24.75" customHeight="1" x14ac:dyDescent="0.2">
      <c r="A162" s="325"/>
      <c r="C162" s="325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O162" s="321"/>
      <c r="P162" s="321"/>
      <c r="Q162" s="322"/>
      <c r="R162" s="327"/>
      <c r="S162" s="328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29"/>
      <c r="AG162" s="357"/>
      <c r="AH162" s="357"/>
      <c r="AI162" s="357"/>
      <c r="AJ162" s="357"/>
      <c r="AK162" s="357"/>
      <c r="AL162" s="357"/>
      <c r="AM162" s="357"/>
      <c r="AN162" s="357"/>
      <c r="AO162" s="357"/>
      <c r="AP162" s="357"/>
      <c r="AQ162" s="357"/>
      <c r="AR162" s="357"/>
      <c r="AS162" s="358"/>
      <c r="AT162" s="357"/>
      <c r="AU162" s="357"/>
      <c r="AV162" s="357"/>
      <c r="AW162" s="357"/>
      <c r="AX162" s="357"/>
      <c r="AY162" s="357"/>
      <c r="AZ162" s="357"/>
      <c r="BA162" s="357"/>
      <c r="BB162" s="357"/>
      <c r="BC162" s="357"/>
      <c r="BD162" s="357"/>
      <c r="BE162" s="357"/>
      <c r="BF162" s="358"/>
      <c r="BG162" s="358"/>
      <c r="BH162" s="323"/>
      <c r="BI162" s="323"/>
      <c r="BJ162" s="371"/>
      <c r="BK162" s="268"/>
      <c r="BL162" s="268"/>
      <c r="BM162" s="268"/>
      <c r="BN162" s="268"/>
      <c r="BO162" s="268"/>
      <c r="BP162" s="268"/>
      <c r="BQ162" s="268"/>
      <c r="BR162" s="268"/>
      <c r="BS162" s="268"/>
      <c r="BT162" s="268"/>
      <c r="BU162" s="268"/>
      <c r="BV162" s="268"/>
      <c r="BW162" s="268"/>
      <c r="BX162" s="268"/>
      <c r="BY162" s="268"/>
      <c r="BZ162" s="268"/>
      <c r="CA162" s="268"/>
      <c r="CB162" s="268"/>
    </row>
    <row r="163" spans="1:81" s="326" customFormat="1" ht="24.75" customHeight="1" x14ac:dyDescent="0.2">
      <c r="A163" s="325"/>
      <c r="C163" s="325"/>
      <c r="E163" s="321"/>
      <c r="F163" s="321"/>
      <c r="G163" s="321"/>
      <c r="H163" s="321"/>
      <c r="I163" s="321"/>
      <c r="J163" s="321"/>
      <c r="K163" s="321"/>
      <c r="L163" s="321"/>
      <c r="M163" s="321"/>
      <c r="N163" s="321"/>
      <c r="O163" s="321"/>
      <c r="P163" s="321"/>
      <c r="Q163" s="322"/>
      <c r="R163" s="327"/>
      <c r="S163" s="328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29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357"/>
      <c r="AQ163" s="357"/>
      <c r="AR163" s="357"/>
      <c r="AS163" s="358"/>
      <c r="AT163" s="357"/>
      <c r="AU163" s="357"/>
      <c r="AV163" s="357"/>
      <c r="AW163" s="357"/>
      <c r="AX163" s="357"/>
      <c r="AY163" s="357"/>
      <c r="AZ163" s="357"/>
      <c r="BA163" s="357"/>
      <c r="BB163" s="357"/>
      <c r="BC163" s="357"/>
      <c r="BD163" s="357"/>
      <c r="BE163" s="357"/>
      <c r="BF163" s="358"/>
      <c r="BG163" s="358"/>
      <c r="BH163" s="323"/>
      <c r="BI163" s="323"/>
      <c r="BJ163" s="371"/>
      <c r="BK163" s="268"/>
      <c r="BL163" s="268"/>
      <c r="BM163" s="268"/>
      <c r="BN163" s="268"/>
      <c r="BO163" s="268"/>
      <c r="BP163" s="268"/>
      <c r="BQ163" s="268"/>
      <c r="BR163" s="268"/>
      <c r="BS163" s="268"/>
      <c r="BT163" s="268"/>
      <c r="BU163" s="268"/>
      <c r="BV163" s="268"/>
      <c r="BW163" s="268"/>
      <c r="BX163" s="268"/>
      <c r="BY163" s="268"/>
      <c r="BZ163" s="268"/>
      <c r="CA163" s="268"/>
      <c r="CB163" s="268"/>
    </row>
    <row r="164" spans="1:81" s="326" customFormat="1" ht="24.75" customHeight="1" x14ac:dyDescent="0.2">
      <c r="A164" s="325"/>
      <c r="C164" s="325"/>
      <c r="E164" s="321"/>
      <c r="F164" s="321"/>
      <c r="G164" s="321"/>
      <c r="H164" s="321"/>
      <c r="I164" s="321"/>
      <c r="J164" s="321"/>
      <c r="K164" s="321"/>
      <c r="L164" s="321"/>
      <c r="M164" s="321"/>
      <c r="N164" s="321"/>
      <c r="O164" s="321"/>
      <c r="P164" s="321"/>
      <c r="Q164" s="322"/>
      <c r="R164" s="327"/>
      <c r="S164" s="328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29"/>
      <c r="AG164" s="357"/>
      <c r="AH164" s="357"/>
      <c r="AI164" s="357"/>
      <c r="AJ164" s="357"/>
      <c r="AK164" s="357"/>
      <c r="AL164" s="357"/>
      <c r="AM164" s="357"/>
      <c r="AN164" s="357"/>
      <c r="AO164" s="357"/>
      <c r="AP164" s="357"/>
      <c r="AQ164" s="357"/>
      <c r="AR164" s="357"/>
      <c r="AS164" s="358"/>
      <c r="AT164" s="357"/>
      <c r="AU164" s="357"/>
      <c r="AV164" s="357"/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8"/>
      <c r="BG164" s="358"/>
      <c r="BH164" s="323"/>
      <c r="BI164" s="323"/>
      <c r="BJ164" s="371"/>
      <c r="BK164" s="268"/>
      <c r="BL164" s="268"/>
      <c r="BM164" s="268"/>
      <c r="BN164" s="268"/>
      <c r="BO164" s="268"/>
      <c r="BP164" s="268"/>
      <c r="BQ164" s="268"/>
      <c r="BR164" s="268"/>
      <c r="BS164" s="268"/>
      <c r="BT164" s="268"/>
      <c r="BU164" s="268"/>
      <c r="BV164" s="268"/>
      <c r="BW164" s="268"/>
      <c r="BX164" s="268"/>
      <c r="BY164" s="268"/>
      <c r="BZ164" s="268"/>
      <c r="CA164" s="268"/>
      <c r="CB164" s="268"/>
    </row>
    <row r="165" spans="1:81" s="326" customFormat="1" ht="24.75" customHeight="1" x14ac:dyDescent="0.2">
      <c r="A165" s="325"/>
      <c r="C165" s="325"/>
      <c r="E165" s="321"/>
      <c r="F165" s="321"/>
      <c r="G165" s="321"/>
      <c r="H165" s="321"/>
      <c r="I165" s="321"/>
      <c r="J165" s="321"/>
      <c r="K165" s="321"/>
      <c r="L165" s="321"/>
      <c r="M165" s="321"/>
      <c r="N165" s="321"/>
      <c r="O165" s="321"/>
      <c r="P165" s="321"/>
      <c r="Q165" s="322"/>
      <c r="R165" s="327"/>
      <c r="S165" s="328"/>
      <c r="T165" s="357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7"/>
      <c r="AE165" s="357"/>
      <c r="AF165" s="329"/>
      <c r="AG165" s="357"/>
      <c r="AH165" s="357"/>
      <c r="AI165" s="357"/>
      <c r="AJ165" s="357"/>
      <c r="AK165" s="357"/>
      <c r="AL165" s="357"/>
      <c r="AM165" s="357"/>
      <c r="AN165" s="357"/>
      <c r="AO165" s="357"/>
      <c r="AP165" s="357"/>
      <c r="AQ165" s="357"/>
      <c r="AR165" s="357"/>
      <c r="AS165" s="358"/>
      <c r="AT165" s="357"/>
      <c r="AU165" s="357"/>
      <c r="AV165" s="357"/>
      <c r="AW165" s="357"/>
      <c r="AX165" s="357"/>
      <c r="AY165" s="357"/>
      <c r="AZ165" s="357"/>
      <c r="BA165" s="357"/>
      <c r="BB165" s="357"/>
      <c r="BC165" s="357"/>
      <c r="BD165" s="357"/>
      <c r="BE165" s="357"/>
      <c r="BF165" s="358"/>
      <c r="BG165" s="358"/>
      <c r="BH165" s="323"/>
      <c r="BI165" s="323"/>
      <c r="BJ165" s="371"/>
      <c r="BK165" s="268"/>
      <c r="BL165" s="268"/>
      <c r="BM165" s="268"/>
      <c r="BN165" s="268"/>
      <c r="BO165" s="268"/>
      <c r="BP165" s="268"/>
      <c r="BQ165" s="268"/>
      <c r="BR165" s="268"/>
      <c r="BS165" s="268"/>
      <c r="BT165" s="268"/>
      <c r="BU165" s="268"/>
      <c r="BV165" s="268"/>
      <c r="BW165" s="268"/>
      <c r="BX165" s="268"/>
      <c r="BY165" s="268"/>
      <c r="BZ165" s="268"/>
      <c r="CA165" s="268"/>
      <c r="CB165" s="268"/>
    </row>
    <row r="166" spans="1:81" s="326" customFormat="1" ht="24.75" customHeight="1" x14ac:dyDescent="0.2">
      <c r="A166" s="325"/>
      <c r="C166" s="325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O166" s="321"/>
      <c r="P166" s="321"/>
      <c r="Q166" s="322"/>
      <c r="R166" s="327"/>
      <c r="S166" s="328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29"/>
      <c r="AG166" s="357"/>
      <c r="AH166" s="357"/>
      <c r="AI166" s="357"/>
      <c r="AJ166" s="357"/>
      <c r="AK166" s="357"/>
      <c r="AL166" s="357"/>
      <c r="AM166" s="357"/>
      <c r="AN166" s="357"/>
      <c r="AO166" s="357"/>
      <c r="AP166" s="357"/>
      <c r="AQ166" s="357"/>
      <c r="AR166" s="357"/>
      <c r="AS166" s="358"/>
      <c r="AT166" s="357"/>
      <c r="AU166" s="357"/>
      <c r="AV166" s="357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8"/>
      <c r="BG166" s="358"/>
      <c r="BH166" s="323"/>
      <c r="BI166" s="323"/>
      <c r="BJ166" s="371"/>
      <c r="BK166" s="268"/>
      <c r="BL166" s="268"/>
      <c r="BM166" s="268"/>
      <c r="BN166" s="268"/>
      <c r="BO166" s="268"/>
      <c r="BP166" s="268"/>
      <c r="BQ166" s="268"/>
      <c r="BR166" s="268"/>
      <c r="BS166" s="268"/>
      <c r="BT166" s="268"/>
      <c r="BU166" s="268"/>
      <c r="BV166" s="268"/>
      <c r="BW166" s="268"/>
      <c r="BX166" s="268"/>
      <c r="BY166" s="268"/>
      <c r="BZ166" s="268"/>
      <c r="CA166" s="268"/>
      <c r="CB166" s="268"/>
    </row>
    <row r="167" spans="1:81" s="326" customFormat="1" ht="24.75" customHeight="1" x14ac:dyDescent="0.2">
      <c r="A167" s="325"/>
      <c r="C167" s="325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321"/>
      <c r="P167" s="321"/>
      <c r="Q167" s="322"/>
      <c r="R167" s="327"/>
      <c r="S167" s="328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29"/>
      <c r="AG167" s="357"/>
      <c r="AH167" s="357"/>
      <c r="AI167" s="357"/>
      <c r="AJ167" s="357"/>
      <c r="AK167" s="357"/>
      <c r="AL167" s="357"/>
      <c r="AM167" s="357"/>
      <c r="AN167" s="357"/>
      <c r="AO167" s="357"/>
      <c r="AP167" s="357"/>
      <c r="AQ167" s="357"/>
      <c r="AR167" s="357"/>
      <c r="AS167" s="358"/>
      <c r="AT167" s="357"/>
      <c r="AU167" s="357"/>
      <c r="AV167" s="357"/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8"/>
      <c r="BG167" s="358"/>
      <c r="BH167" s="323"/>
      <c r="BI167" s="323"/>
      <c r="BJ167" s="371"/>
      <c r="BK167" s="268"/>
      <c r="BL167" s="268"/>
      <c r="BM167" s="268"/>
      <c r="BN167" s="268"/>
      <c r="BO167" s="268"/>
      <c r="BP167" s="268"/>
      <c r="BQ167" s="268"/>
      <c r="BR167" s="268"/>
      <c r="BS167" s="268"/>
      <c r="BT167" s="268"/>
      <c r="BU167" s="268"/>
      <c r="BV167" s="268"/>
      <c r="BW167" s="268"/>
      <c r="BX167" s="268"/>
      <c r="BY167" s="268"/>
      <c r="BZ167" s="268"/>
      <c r="CA167" s="268"/>
      <c r="CB167" s="268"/>
    </row>
    <row r="168" spans="1:81" s="326" customFormat="1" ht="24.75" customHeight="1" x14ac:dyDescent="0.2">
      <c r="A168" s="325"/>
      <c r="C168" s="325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1"/>
      <c r="P168" s="321"/>
      <c r="Q168" s="322"/>
      <c r="R168" s="327"/>
      <c r="S168" s="328"/>
      <c r="T168" s="357"/>
      <c r="U168" s="357"/>
      <c r="V168" s="357"/>
      <c r="W168" s="357"/>
      <c r="X168" s="357"/>
      <c r="Y168" s="357"/>
      <c r="Z168" s="357"/>
      <c r="AA168" s="357"/>
      <c r="AB168" s="357"/>
      <c r="AC168" s="357"/>
      <c r="AD168" s="357"/>
      <c r="AE168" s="357"/>
      <c r="AF168" s="329"/>
      <c r="AG168" s="357"/>
      <c r="AH168" s="357"/>
      <c r="AI168" s="357"/>
      <c r="AJ168" s="357"/>
      <c r="AK168" s="357"/>
      <c r="AL168" s="357"/>
      <c r="AM168" s="357"/>
      <c r="AN168" s="357"/>
      <c r="AO168" s="357"/>
      <c r="AP168" s="357"/>
      <c r="AQ168" s="357"/>
      <c r="AR168" s="357"/>
      <c r="AS168" s="358"/>
      <c r="AT168" s="357"/>
      <c r="AU168" s="357"/>
      <c r="AV168" s="357"/>
      <c r="AW168" s="357"/>
      <c r="AX168" s="357"/>
      <c r="AY168" s="357"/>
      <c r="AZ168" s="357"/>
      <c r="BA168" s="357"/>
      <c r="BB168" s="357"/>
      <c r="BC168" s="357"/>
      <c r="BD168" s="357"/>
      <c r="BE168" s="357"/>
      <c r="BF168" s="358"/>
      <c r="BG168" s="358"/>
      <c r="BH168" s="323"/>
      <c r="BI168" s="323"/>
      <c r="BJ168" s="371"/>
      <c r="BK168" s="268"/>
      <c r="BL168" s="268"/>
      <c r="BM168" s="268"/>
      <c r="BN168" s="268"/>
      <c r="BO168" s="268"/>
      <c r="BP168" s="268"/>
      <c r="BQ168" s="268"/>
      <c r="BR168" s="268"/>
      <c r="BS168" s="268"/>
      <c r="BT168" s="268"/>
      <c r="BU168" s="268"/>
      <c r="BV168" s="268"/>
      <c r="BW168" s="268"/>
      <c r="BX168" s="268"/>
      <c r="BY168" s="268"/>
      <c r="BZ168" s="268"/>
      <c r="CA168" s="268"/>
      <c r="CB168" s="268"/>
    </row>
    <row r="169" spans="1:81" s="326" customFormat="1" ht="24.75" customHeight="1" x14ac:dyDescent="0.2">
      <c r="A169" s="325"/>
      <c r="C169" s="325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1"/>
      <c r="P169" s="321"/>
      <c r="Q169" s="322"/>
      <c r="R169" s="327"/>
      <c r="S169" s="328"/>
      <c r="T169" s="357"/>
      <c r="U169" s="357"/>
      <c r="V169" s="357"/>
      <c r="W169" s="357"/>
      <c r="X169" s="357"/>
      <c r="Y169" s="357"/>
      <c r="Z169" s="357"/>
      <c r="AA169" s="357"/>
      <c r="AB169" s="357"/>
      <c r="AC169" s="357"/>
      <c r="AD169" s="357"/>
      <c r="AE169" s="357"/>
      <c r="AF169" s="329"/>
      <c r="AG169" s="357"/>
      <c r="AH169" s="357"/>
      <c r="AI169" s="357"/>
      <c r="AJ169" s="357"/>
      <c r="AK169" s="357"/>
      <c r="AL169" s="357"/>
      <c r="AM169" s="357"/>
      <c r="AN169" s="357"/>
      <c r="AO169" s="357"/>
      <c r="AP169" s="357"/>
      <c r="AQ169" s="357"/>
      <c r="AR169" s="357"/>
      <c r="AS169" s="358"/>
      <c r="AT169" s="357"/>
      <c r="AU169" s="357"/>
      <c r="AV169" s="357"/>
      <c r="AW169" s="357"/>
      <c r="AX169" s="357"/>
      <c r="AY169" s="357"/>
      <c r="AZ169" s="357"/>
      <c r="BA169" s="357"/>
      <c r="BB169" s="357"/>
      <c r="BC169" s="357"/>
      <c r="BD169" s="357"/>
      <c r="BE169" s="357"/>
      <c r="BF169" s="358"/>
      <c r="BG169" s="358"/>
      <c r="BH169" s="323"/>
      <c r="BI169" s="323"/>
      <c r="BJ169" s="371"/>
      <c r="BK169" s="268"/>
      <c r="BL169" s="268"/>
      <c r="BM169" s="268"/>
      <c r="BN169" s="268"/>
      <c r="BO169" s="268"/>
      <c r="BP169" s="268"/>
      <c r="BQ169" s="268"/>
      <c r="BR169" s="268"/>
      <c r="BS169" s="268"/>
      <c r="BT169" s="268"/>
      <c r="BU169" s="268"/>
      <c r="BV169" s="268"/>
      <c r="BW169" s="268"/>
      <c r="BX169" s="268"/>
      <c r="BY169" s="268"/>
      <c r="BZ169" s="268"/>
      <c r="CA169" s="268"/>
      <c r="CB169" s="268"/>
    </row>
    <row r="170" spans="1:81" s="326" customFormat="1" ht="24.75" customHeight="1" x14ac:dyDescent="0.2">
      <c r="A170" s="325"/>
      <c r="C170" s="325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22"/>
      <c r="R170" s="327"/>
      <c r="S170" s="328"/>
      <c r="T170" s="360"/>
      <c r="U170" s="360"/>
      <c r="V170" s="360"/>
      <c r="W170" s="360"/>
      <c r="X170" s="360"/>
      <c r="Y170" s="360"/>
      <c r="Z170" s="360"/>
      <c r="AA170" s="360"/>
      <c r="AB170" s="360"/>
      <c r="AC170" s="360"/>
      <c r="AD170" s="360"/>
      <c r="AE170" s="360"/>
      <c r="AF170" s="329"/>
      <c r="AG170" s="323"/>
      <c r="AH170" s="323"/>
      <c r="AI170" s="323"/>
      <c r="AJ170" s="323"/>
      <c r="AK170" s="323"/>
      <c r="AL170" s="323"/>
      <c r="AM170" s="323"/>
      <c r="AN170" s="323"/>
      <c r="AO170" s="323"/>
      <c r="AP170" s="323"/>
      <c r="AQ170" s="323"/>
      <c r="AR170" s="323"/>
      <c r="AS170" s="323"/>
      <c r="AT170" s="323"/>
      <c r="AU170" s="323"/>
      <c r="AV170" s="323"/>
      <c r="AW170" s="323"/>
      <c r="AX170" s="323"/>
      <c r="AY170" s="323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71"/>
      <c r="BK170" s="268"/>
      <c r="BL170" s="268"/>
      <c r="BM170" s="268"/>
      <c r="BN170" s="268"/>
      <c r="BO170" s="268"/>
      <c r="BP170" s="268"/>
      <c r="BQ170" s="268"/>
      <c r="BR170" s="268"/>
      <c r="BS170" s="268"/>
      <c r="BT170" s="268"/>
      <c r="BU170" s="268"/>
      <c r="BV170" s="268"/>
      <c r="BW170" s="268"/>
      <c r="BX170" s="268"/>
      <c r="BY170" s="268"/>
      <c r="BZ170" s="268"/>
      <c r="CA170" s="268"/>
      <c r="CB170" s="268"/>
    </row>
    <row r="171" spans="1:81" s="326" customFormat="1" ht="24.75" customHeight="1" x14ac:dyDescent="0.2">
      <c r="A171" s="325"/>
      <c r="C171" s="325"/>
      <c r="E171" s="321"/>
      <c r="F171" s="321"/>
      <c r="G171" s="321"/>
      <c r="H171" s="321"/>
      <c r="I171" s="321"/>
      <c r="J171" s="321"/>
      <c r="K171" s="321"/>
      <c r="L171" s="321"/>
      <c r="M171" s="321"/>
      <c r="N171" s="321"/>
      <c r="O171" s="321"/>
      <c r="P171" s="321"/>
      <c r="Q171" s="322"/>
      <c r="R171" s="327"/>
      <c r="S171" s="328"/>
      <c r="T171" s="357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7"/>
      <c r="AE171" s="357"/>
      <c r="AF171" s="329"/>
      <c r="AG171" s="357"/>
      <c r="AH171" s="357"/>
      <c r="AI171" s="357"/>
      <c r="AJ171" s="357"/>
      <c r="AK171" s="357"/>
      <c r="AL171" s="357"/>
      <c r="AM171" s="357"/>
      <c r="AN171" s="357"/>
      <c r="AO171" s="357"/>
      <c r="AP171" s="357"/>
      <c r="AQ171" s="357"/>
      <c r="AR171" s="357"/>
      <c r="AS171" s="358"/>
      <c r="AT171" s="357"/>
      <c r="AU171" s="357"/>
      <c r="AV171" s="357"/>
      <c r="AW171" s="357"/>
      <c r="AX171" s="357"/>
      <c r="AY171" s="357"/>
      <c r="AZ171" s="357"/>
      <c r="BA171" s="357"/>
      <c r="BB171" s="357"/>
      <c r="BC171" s="357"/>
      <c r="BD171" s="357"/>
      <c r="BE171" s="357"/>
      <c r="BF171" s="358"/>
      <c r="BG171" s="358"/>
      <c r="BH171" s="323"/>
      <c r="BI171" s="323"/>
      <c r="BJ171" s="371"/>
      <c r="BK171" s="268"/>
      <c r="BL171" s="268"/>
      <c r="BM171" s="268"/>
      <c r="BN171" s="268"/>
      <c r="BO171" s="268"/>
      <c r="BP171" s="268"/>
      <c r="BQ171" s="268"/>
      <c r="BR171" s="268"/>
      <c r="BS171" s="268"/>
      <c r="BT171" s="268"/>
      <c r="BU171" s="268"/>
      <c r="BV171" s="268"/>
      <c r="BW171" s="268"/>
      <c r="BX171" s="268"/>
      <c r="BY171" s="268"/>
      <c r="BZ171" s="268"/>
      <c r="CA171" s="268"/>
      <c r="CB171" s="268"/>
    </row>
    <row r="172" spans="1:81" s="326" customFormat="1" ht="24.75" customHeight="1" x14ac:dyDescent="0.2">
      <c r="A172" s="325"/>
      <c r="C172" s="325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  <c r="O172" s="321"/>
      <c r="P172" s="321"/>
      <c r="Q172" s="322"/>
      <c r="R172" s="327"/>
      <c r="S172" s="328"/>
      <c r="T172" s="357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7"/>
      <c r="AE172" s="357"/>
      <c r="AF172" s="329"/>
      <c r="AG172" s="357"/>
      <c r="AH172" s="357"/>
      <c r="AI172" s="357"/>
      <c r="AJ172" s="357"/>
      <c r="AK172" s="357"/>
      <c r="AL172" s="357"/>
      <c r="AM172" s="357"/>
      <c r="AN172" s="357"/>
      <c r="AO172" s="357"/>
      <c r="AP172" s="357"/>
      <c r="AQ172" s="357"/>
      <c r="AR172" s="357"/>
      <c r="AS172" s="358"/>
      <c r="AT172" s="357"/>
      <c r="AU172" s="357"/>
      <c r="AV172" s="357"/>
      <c r="AW172" s="357"/>
      <c r="AX172" s="357"/>
      <c r="AY172" s="357"/>
      <c r="AZ172" s="357"/>
      <c r="BA172" s="357"/>
      <c r="BB172" s="357"/>
      <c r="BC172" s="357"/>
      <c r="BD172" s="357"/>
      <c r="BE172" s="357"/>
      <c r="BF172" s="358"/>
      <c r="BG172" s="358"/>
      <c r="BH172" s="323"/>
      <c r="BI172" s="323"/>
      <c r="BJ172" s="371"/>
      <c r="BK172" s="268"/>
      <c r="BL172" s="268"/>
      <c r="BM172" s="268"/>
      <c r="BN172" s="268"/>
      <c r="BO172" s="268"/>
      <c r="BP172" s="268"/>
      <c r="BQ172" s="268"/>
      <c r="BR172" s="268"/>
      <c r="BS172" s="268"/>
      <c r="BT172" s="268"/>
      <c r="BU172" s="268"/>
      <c r="BV172" s="268"/>
      <c r="BW172" s="268"/>
      <c r="BX172" s="268"/>
      <c r="BY172" s="268"/>
      <c r="BZ172" s="268"/>
      <c r="CA172" s="268"/>
      <c r="CB172" s="268"/>
    </row>
    <row r="173" spans="1:81" s="326" customFormat="1" ht="24.75" customHeight="1" x14ac:dyDescent="0.2">
      <c r="A173" s="325"/>
      <c r="C173" s="325"/>
      <c r="E173" s="321"/>
      <c r="F173" s="321"/>
      <c r="G173" s="321"/>
      <c r="H173" s="321"/>
      <c r="I173" s="321"/>
      <c r="J173" s="321"/>
      <c r="K173" s="321"/>
      <c r="L173" s="321"/>
      <c r="M173" s="321"/>
      <c r="N173" s="321"/>
      <c r="O173" s="321"/>
      <c r="P173" s="321"/>
      <c r="Q173" s="322"/>
      <c r="R173" s="327"/>
      <c r="S173" s="328"/>
      <c r="T173" s="357"/>
      <c r="U173" s="357"/>
      <c r="V173" s="357"/>
      <c r="W173" s="357"/>
      <c r="X173" s="357"/>
      <c r="Y173" s="357"/>
      <c r="Z173" s="357"/>
      <c r="AA173" s="357"/>
      <c r="AB173" s="357"/>
      <c r="AC173" s="357"/>
      <c r="AD173" s="357"/>
      <c r="AE173" s="357"/>
      <c r="AF173" s="329"/>
      <c r="AG173" s="357"/>
      <c r="AH173" s="357"/>
      <c r="AI173" s="357"/>
      <c r="AJ173" s="357"/>
      <c r="AK173" s="357"/>
      <c r="AL173" s="357"/>
      <c r="AM173" s="357"/>
      <c r="AN173" s="357"/>
      <c r="AO173" s="357"/>
      <c r="AP173" s="357"/>
      <c r="AQ173" s="357"/>
      <c r="AR173" s="357"/>
      <c r="AS173" s="358"/>
      <c r="AT173" s="357"/>
      <c r="AU173" s="357"/>
      <c r="AV173" s="357"/>
      <c r="AW173" s="357"/>
      <c r="AX173" s="357"/>
      <c r="AY173" s="357"/>
      <c r="AZ173" s="357"/>
      <c r="BA173" s="357"/>
      <c r="BB173" s="357"/>
      <c r="BC173" s="357"/>
      <c r="BD173" s="357"/>
      <c r="BE173" s="357"/>
      <c r="BF173" s="358"/>
      <c r="BG173" s="358"/>
      <c r="BH173" s="323"/>
      <c r="BI173" s="323"/>
      <c r="BJ173" s="371"/>
      <c r="BK173" s="268"/>
      <c r="BL173" s="268"/>
      <c r="BM173" s="268"/>
      <c r="BN173" s="268"/>
      <c r="BO173" s="268"/>
      <c r="BP173" s="268"/>
      <c r="BQ173" s="268"/>
      <c r="BR173" s="268"/>
      <c r="BS173" s="268"/>
      <c r="BT173" s="268"/>
      <c r="BU173" s="268"/>
      <c r="BV173" s="268"/>
      <c r="BW173" s="268"/>
      <c r="BX173" s="268"/>
      <c r="BY173" s="268"/>
      <c r="BZ173" s="268"/>
      <c r="CA173" s="268"/>
      <c r="CB173" s="268"/>
    </row>
    <row r="174" spans="1:81" s="326" customFormat="1" ht="24.75" customHeight="1" x14ac:dyDescent="0.2">
      <c r="A174" s="325"/>
      <c r="C174" s="325"/>
      <c r="E174" s="321"/>
      <c r="F174" s="321"/>
      <c r="G174" s="321"/>
      <c r="H174" s="321"/>
      <c r="I174" s="321"/>
      <c r="J174" s="321"/>
      <c r="K174" s="321"/>
      <c r="L174" s="321"/>
      <c r="M174" s="321"/>
      <c r="N174" s="321"/>
      <c r="O174" s="321"/>
      <c r="P174" s="321"/>
      <c r="Q174" s="322"/>
      <c r="R174" s="327"/>
      <c r="S174" s="328"/>
      <c r="T174" s="357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7"/>
      <c r="AE174" s="357"/>
      <c r="AF174" s="329"/>
      <c r="AG174" s="357"/>
      <c r="AH174" s="357"/>
      <c r="AI174" s="357"/>
      <c r="AJ174" s="357"/>
      <c r="AK174" s="357"/>
      <c r="AL174" s="357"/>
      <c r="AM174" s="357"/>
      <c r="AN174" s="357"/>
      <c r="AO174" s="357"/>
      <c r="AP174" s="357"/>
      <c r="AQ174" s="357"/>
      <c r="AR174" s="357"/>
      <c r="AS174" s="358"/>
      <c r="AT174" s="357"/>
      <c r="AU174" s="357"/>
      <c r="AV174" s="357"/>
      <c r="AW174" s="357"/>
      <c r="AX174" s="357"/>
      <c r="AY174" s="357"/>
      <c r="AZ174" s="357"/>
      <c r="BA174" s="357"/>
      <c r="BB174" s="357"/>
      <c r="BC174" s="357"/>
      <c r="BD174" s="357"/>
      <c r="BE174" s="357"/>
      <c r="BF174" s="358"/>
      <c r="BG174" s="358"/>
      <c r="BH174" s="323"/>
      <c r="BI174" s="323"/>
      <c r="BJ174" s="371"/>
      <c r="BK174" s="268"/>
      <c r="BL174" s="268"/>
      <c r="BM174" s="268"/>
      <c r="BN174" s="268"/>
      <c r="BO174" s="268"/>
      <c r="BP174" s="268"/>
      <c r="BQ174" s="268"/>
      <c r="BR174" s="268"/>
      <c r="BS174" s="268"/>
      <c r="BT174" s="268"/>
      <c r="BU174" s="268"/>
      <c r="BV174" s="268"/>
      <c r="BW174" s="268"/>
      <c r="BX174" s="268"/>
      <c r="BY174" s="268"/>
      <c r="BZ174" s="268"/>
      <c r="CA174" s="268"/>
      <c r="CB174" s="268"/>
    </row>
    <row r="175" spans="1:81" s="326" customFormat="1" ht="24.75" customHeight="1" x14ac:dyDescent="0.2">
      <c r="A175" s="325"/>
      <c r="C175" s="325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O175" s="321"/>
      <c r="P175" s="321"/>
      <c r="Q175" s="322"/>
      <c r="R175" s="327"/>
      <c r="S175" s="328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29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357"/>
      <c r="AQ175" s="357"/>
      <c r="AR175" s="357"/>
      <c r="AS175" s="358"/>
      <c r="AT175" s="357"/>
      <c r="AU175" s="357"/>
      <c r="AV175" s="357"/>
      <c r="AW175" s="357"/>
      <c r="AX175" s="357"/>
      <c r="AY175" s="357"/>
      <c r="AZ175" s="357"/>
      <c r="BA175" s="357"/>
      <c r="BB175" s="357"/>
      <c r="BC175" s="357"/>
      <c r="BD175" s="357"/>
      <c r="BE175" s="357"/>
      <c r="BF175" s="358"/>
      <c r="BG175" s="358"/>
      <c r="BH175" s="323"/>
      <c r="BI175" s="323"/>
      <c r="BJ175" s="371"/>
      <c r="BK175" s="268"/>
      <c r="BL175" s="268"/>
      <c r="BM175" s="268"/>
      <c r="BN175" s="268"/>
      <c r="BO175" s="268"/>
      <c r="BP175" s="268"/>
      <c r="BQ175" s="268"/>
      <c r="BR175" s="268"/>
      <c r="BS175" s="268"/>
      <c r="BT175" s="268"/>
      <c r="BU175" s="268"/>
      <c r="BV175" s="268"/>
      <c r="BW175" s="268"/>
      <c r="BX175" s="268"/>
      <c r="BY175" s="268"/>
      <c r="BZ175" s="268"/>
      <c r="CA175" s="268"/>
      <c r="CB175" s="268"/>
    </row>
    <row r="176" spans="1:81" s="326" customFormat="1" ht="24.75" customHeight="1" x14ac:dyDescent="0.2">
      <c r="A176" s="325"/>
      <c r="C176" s="325"/>
      <c r="E176" s="361"/>
      <c r="F176" s="361"/>
      <c r="G176" s="361"/>
      <c r="H176" s="361"/>
      <c r="I176" s="361"/>
      <c r="J176" s="361"/>
      <c r="K176" s="361"/>
      <c r="L176" s="361"/>
      <c r="M176" s="361"/>
      <c r="N176" s="361"/>
      <c r="O176" s="361"/>
      <c r="P176" s="361"/>
      <c r="Q176" s="322"/>
      <c r="R176" s="327"/>
      <c r="S176" s="328"/>
      <c r="T176" s="362"/>
      <c r="U176" s="362"/>
      <c r="V176" s="362"/>
      <c r="W176" s="362"/>
      <c r="X176" s="362"/>
      <c r="Y176" s="362"/>
      <c r="Z176" s="362"/>
      <c r="AA176" s="362"/>
      <c r="AB176" s="362"/>
      <c r="AC176" s="362"/>
      <c r="AD176" s="362"/>
      <c r="AE176" s="362"/>
      <c r="AF176" s="329"/>
      <c r="AG176" s="358"/>
      <c r="AH176" s="358"/>
      <c r="AI176" s="358"/>
      <c r="AJ176" s="358"/>
      <c r="AK176" s="358"/>
      <c r="AL176" s="358"/>
      <c r="AM176" s="358"/>
      <c r="AN176" s="358"/>
      <c r="AO176" s="358"/>
      <c r="AP176" s="358"/>
      <c r="AQ176" s="358"/>
      <c r="AR176" s="358"/>
      <c r="AS176" s="358"/>
      <c r="AT176" s="358"/>
      <c r="AU176" s="358"/>
      <c r="AV176" s="358"/>
      <c r="AW176" s="358"/>
      <c r="AX176" s="358"/>
      <c r="AY176" s="358"/>
      <c r="AZ176" s="358"/>
      <c r="BA176" s="358"/>
      <c r="BB176" s="358"/>
      <c r="BC176" s="358"/>
      <c r="BD176" s="358"/>
      <c r="BE176" s="358"/>
      <c r="BF176" s="358"/>
      <c r="BG176" s="358"/>
      <c r="BH176" s="358"/>
      <c r="BI176" s="358"/>
      <c r="BJ176" s="371"/>
      <c r="BK176" s="268"/>
      <c r="BL176" s="268"/>
      <c r="BM176" s="268"/>
      <c r="BN176" s="268"/>
      <c r="BO176" s="268"/>
      <c r="BP176" s="268"/>
      <c r="BQ176" s="268"/>
      <c r="BR176" s="268"/>
      <c r="BS176" s="268"/>
      <c r="BT176" s="268"/>
      <c r="BU176" s="268"/>
      <c r="BV176" s="268"/>
      <c r="BW176" s="268"/>
      <c r="BX176" s="268"/>
      <c r="BY176" s="268"/>
      <c r="BZ176" s="268"/>
      <c r="CA176" s="268"/>
      <c r="CB176" s="268"/>
    </row>
    <row r="177" spans="1:80" s="326" customFormat="1" ht="24.75" customHeight="1" x14ac:dyDescent="0.2">
      <c r="A177" s="325"/>
      <c r="C177" s="325"/>
      <c r="E177" s="321"/>
      <c r="F177" s="321"/>
      <c r="G177" s="321"/>
      <c r="H177" s="321"/>
      <c r="I177" s="321"/>
      <c r="J177" s="321"/>
      <c r="K177" s="321"/>
      <c r="L177" s="321"/>
      <c r="M177" s="321"/>
      <c r="N177" s="321"/>
      <c r="O177" s="321"/>
      <c r="P177" s="321"/>
      <c r="Q177" s="322"/>
      <c r="R177" s="327"/>
      <c r="S177" s="328"/>
      <c r="T177" s="357"/>
      <c r="U177" s="357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29"/>
      <c r="AG177" s="357"/>
      <c r="AH177" s="357"/>
      <c r="AI177" s="357"/>
      <c r="AJ177" s="357"/>
      <c r="AK177" s="357"/>
      <c r="AL177" s="357"/>
      <c r="AM177" s="357"/>
      <c r="AN177" s="357"/>
      <c r="AO177" s="357"/>
      <c r="AP177" s="357"/>
      <c r="AQ177" s="357"/>
      <c r="AR177" s="357"/>
      <c r="AS177" s="358"/>
      <c r="AT177" s="357"/>
      <c r="AU177" s="357"/>
      <c r="AV177" s="357"/>
      <c r="AW177" s="357"/>
      <c r="AX177" s="357"/>
      <c r="AY177" s="357"/>
      <c r="AZ177" s="357"/>
      <c r="BA177" s="357"/>
      <c r="BB177" s="357"/>
      <c r="BC177" s="357"/>
      <c r="BD177" s="357"/>
      <c r="BE177" s="357"/>
      <c r="BF177" s="358"/>
      <c r="BG177" s="358"/>
      <c r="BH177" s="323"/>
      <c r="BI177" s="323"/>
      <c r="BJ177" s="371"/>
      <c r="BK177" s="268"/>
      <c r="BL177" s="268"/>
      <c r="BM177" s="268"/>
      <c r="BN177" s="268"/>
      <c r="BO177" s="268"/>
      <c r="BP177" s="268"/>
      <c r="BQ177" s="268"/>
      <c r="BR177" s="268"/>
      <c r="BS177" s="268"/>
      <c r="BT177" s="268"/>
      <c r="BU177" s="268"/>
      <c r="BV177" s="268"/>
      <c r="BW177" s="268"/>
      <c r="BX177" s="268"/>
      <c r="BY177" s="268"/>
      <c r="BZ177" s="268"/>
      <c r="CA177" s="268"/>
      <c r="CB177" s="268"/>
    </row>
    <row r="178" spans="1:80" s="326" customFormat="1" ht="24.75" customHeight="1" x14ac:dyDescent="0.2">
      <c r="A178" s="325"/>
      <c r="C178" s="325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  <c r="O178" s="321"/>
      <c r="P178" s="321"/>
      <c r="Q178" s="322"/>
      <c r="R178" s="327"/>
      <c r="S178" s="328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29"/>
      <c r="AG178" s="357"/>
      <c r="AH178" s="357"/>
      <c r="AI178" s="357"/>
      <c r="AJ178" s="357"/>
      <c r="AK178" s="357"/>
      <c r="AL178" s="357"/>
      <c r="AM178" s="357"/>
      <c r="AN178" s="357"/>
      <c r="AO178" s="357"/>
      <c r="AP178" s="357"/>
      <c r="AQ178" s="357"/>
      <c r="AR178" s="357"/>
      <c r="AS178" s="358"/>
      <c r="AT178" s="357"/>
      <c r="AU178" s="357"/>
      <c r="AV178" s="357"/>
      <c r="AW178" s="357"/>
      <c r="AX178" s="357"/>
      <c r="AY178" s="357"/>
      <c r="AZ178" s="357"/>
      <c r="BA178" s="357"/>
      <c r="BB178" s="357"/>
      <c r="BC178" s="357"/>
      <c r="BD178" s="357"/>
      <c r="BE178" s="357"/>
      <c r="BF178" s="358"/>
      <c r="BG178" s="358"/>
      <c r="BH178" s="323"/>
      <c r="BI178" s="323"/>
      <c r="BJ178" s="371"/>
      <c r="BK178" s="268"/>
      <c r="BL178" s="268"/>
      <c r="BM178" s="268"/>
      <c r="BN178" s="268"/>
      <c r="BO178" s="268"/>
      <c r="BP178" s="268"/>
      <c r="BQ178" s="268"/>
      <c r="BR178" s="268"/>
      <c r="BS178" s="268"/>
      <c r="BT178" s="268"/>
      <c r="BU178" s="268"/>
      <c r="BV178" s="268"/>
      <c r="BW178" s="268"/>
      <c r="BX178" s="268"/>
      <c r="BY178" s="268"/>
      <c r="BZ178" s="268"/>
      <c r="CA178" s="268"/>
      <c r="CB178" s="268"/>
    </row>
    <row r="179" spans="1:80" s="326" customFormat="1" ht="24.75" customHeight="1" x14ac:dyDescent="0.2">
      <c r="A179" s="325"/>
      <c r="C179" s="325"/>
      <c r="E179" s="321"/>
      <c r="F179" s="321"/>
      <c r="G179" s="321"/>
      <c r="H179" s="321"/>
      <c r="I179" s="321"/>
      <c r="J179" s="321"/>
      <c r="K179" s="321"/>
      <c r="L179" s="321"/>
      <c r="M179" s="321"/>
      <c r="N179" s="321"/>
      <c r="O179" s="321"/>
      <c r="P179" s="321"/>
      <c r="Q179" s="322"/>
      <c r="R179" s="327"/>
      <c r="S179" s="328"/>
      <c r="T179" s="357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7"/>
      <c r="AE179" s="357"/>
      <c r="AF179" s="329"/>
      <c r="AG179" s="357"/>
      <c r="AH179" s="357"/>
      <c r="AI179" s="357"/>
      <c r="AJ179" s="357"/>
      <c r="AK179" s="357"/>
      <c r="AL179" s="357"/>
      <c r="AM179" s="357"/>
      <c r="AN179" s="357"/>
      <c r="AO179" s="357"/>
      <c r="AP179" s="357"/>
      <c r="AQ179" s="357"/>
      <c r="AR179" s="357"/>
      <c r="AS179" s="358"/>
      <c r="AT179" s="357"/>
      <c r="AU179" s="357"/>
      <c r="AV179" s="357"/>
      <c r="AW179" s="357"/>
      <c r="AX179" s="357"/>
      <c r="AY179" s="357"/>
      <c r="AZ179" s="357"/>
      <c r="BA179" s="357"/>
      <c r="BB179" s="357"/>
      <c r="BC179" s="357"/>
      <c r="BD179" s="357"/>
      <c r="BE179" s="357"/>
      <c r="BF179" s="358"/>
      <c r="BG179" s="358"/>
      <c r="BH179" s="323"/>
      <c r="BI179" s="323"/>
      <c r="BJ179" s="371"/>
      <c r="BK179" s="268"/>
      <c r="BL179" s="268"/>
      <c r="BM179" s="268"/>
      <c r="BN179" s="268"/>
      <c r="BO179" s="268"/>
      <c r="BP179" s="268"/>
      <c r="BQ179" s="268"/>
      <c r="BR179" s="268"/>
      <c r="BS179" s="268"/>
      <c r="BT179" s="268"/>
      <c r="BU179" s="268"/>
      <c r="BV179" s="268"/>
      <c r="BW179" s="268"/>
      <c r="BX179" s="268"/>
      <c r="BY179" s="268"/>
      <c r="BZ179" s="268"/>
      <c r="CA179" s="268"/>
      <c r="CB179" s="268"/>
    </row>
    <row r="180" spans="1:80" s="326" customFormat="1" ht="24.75" customHeight="1" x14ac:dyDescent="0.2">
      <c r="A180" s="325"/>
      <c r="C180" s="325"/>
      <c r="E180" s="321"/>
      <c r="F180" s="321"/>
      <c r="G180" s="321"/>
      <c r="H180" s="321"/>
      <c r="I180" s="321"/>
      <c r="J180" s="321"/>
      <c r="K180" s="321"/>
      <c r="L180" s="321"/>
      <c r="M180" s="321"/>
      <c r="N180" s="321"/>
      <c r="O180" s="321"/>
      <c r="P180" s="321"/>
      <c r="Q180" s="322"/>
      <c r="R180" s="327"/>
      <c r="S180" s="328"/>
      <c r="T180" s="357"/>
      <c r="U180" s="357"/>
      <c r="V180" s="357"/>
      <c r="W180" s="357"/>
      <c r="X180" s="357"/>
      <c r="Y180" s="357"/>
      <c r="Z180" s="357"/>
      <c r="AA180" s="357"/>
      <c r="AB180" s="357"/>
      <c r="AC180" s="357"/>
      <c r="AD180" s="357"/>
      <c r="AE180" s="357"/>
      <c r="AF180" s="329"/>
      <c r="AG180" s="357"/>
      <c r="AH180" s="357"/>
      <c r="AI180" s="357"/>
      <c r="AJ180" s="357"/>
      <c r="AK180" s="357"/>
      <c r="AL180" s="357"/>
      <c r="AM180" s="357"/>
      <c r="AN180" s="357"/>
      <c r="AO180" s="357"/>
      <c r="AP180" s="357"/>
      <c r="AQ180" s="357"/>
      <c r="AR180" s="357"/>
      <c r="AS180" s="358"/>
      <c r="AT180" s="357"/>
      <c r="AU180" s="357"/>
      <c r="AV180" s="357"/>
      <c r="AW180" s="357"/>
      <c r="AX180" s="357"/>
      <c r="AY180" s="357"/>
      <c r="AZ180" s="357"/>
      <c r="BA180" s="357"/>
      <c r="BB180" s="357"/>
      <c r="BC180" s="357"/>
      <c r="BD180" s="357"/>
      <c r="BE180" s="357"/>
      <c r="BF180" s="358"/>
      <c r="BG180" s="358"/>
      <c r="BH180" s="323"/>
      <c r="BI180" s="323"/>
      <c r="BJ180" s="371"/>
      <c r="BK180" s="268"/>
      <c r="BL180" s="268"/>
      <c r="BM180" s="268"/>
      <c r="BN180" s="268"/>
      <c r="BO180" s="268"/>
      <c r="BP180" s="268"/>
      <c r="BQ180" s="268"/>
      <c r="BR180" s="268"/>
      <c r="BS180" s="268"/>
      <c r="BT180" s="268"/>
      <c r="BU180" s="268"/>
      <c r="BV180" s="268"/>
      <c r="BW180" s="268"/>
      <c r="BX180" s="268"/>
      <c r="BY180" s="268"/>
      <c r="BZ180" s="268"/>
      <c r="CA180" s="268"/>
      <c r="CB180" s="268"/>
    </row>
    <row r="181" spans="1:80" s="326" customFormat="1" ht="24.75" customHeight="1" x14ac:dyDescent="0.2">
      <c r="A181" s="325"/>
      <c r="C181" s="325"/>
      <c r="E181" s="321"/>
      <c r="F181" s="321"/>
      <c r="G181" s="321"/>
      <c r="H181" s="321"/>
      <c r="I181" s="321"/>
      <c r="J181" s="321"/>
      <c r="K181" s="321"/>
      <c r="L181" s="321"/>
      <c r="M181" s="321"/>
      <c r="N181" s="321"/>
      <c r="O181" s="321"/>
      <c r="P181" s="321"/>
      <c r="Q181" s="322"/>
      <c r="R181" s="327"/>
      <c r="S181" s="328"/>
      <c r="T181" s="357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7"/>
      <c r="AE181" s="357"/>
      <c r="AF181" s="329"/>
      <c r="AG181" s="357"/>
      <c r="AH181" s="357"/>
      <c r="AI181" s="357"/>
      <c r="AJ181" s="357"/>
      <c r="AK181" s="357"/>
      <c r="AL181" s="357"/>
      <c r="AM181" s="357"/>
      <c r="AN181" s="357"/>
      <c r="AO181" s="357"/>
      <c r="AP181" s="357"/>
      <c r="AQ181" s="357"/>
      <c r="AR181" s="357"/>
      <c r="AS181" s="358"/>
      <c r="AT181" s="357"/>
      <c r="AU181" s="357"/>
      <c r="AV181" s="357"/>
      <c r="AW181" s="357"/>
      <c r="AX181" s="357"/>
      <c r="AY181" s="357"/>
      <c r="AZ181" s="357"/>
      <c r="BA181" s="357"/>
      <c r="BB181" s="357"/>
      <c r="BC181" s="357"/>
      <c r="BD181" s="357"/>
      <c r="BE181" s="357"/>
      <c r="BF181" s="358"/>
      <c r="BG181" s="358"/>
      <c r="BH181" s="323"/>
      <c r="BI181" s="323"/>
      <c r="BJ181" s="371"/>
      <c r="BK181" s="268"/>
      <c r="BL181" s="268"/>
      <c r="BM181" s="268"/>
      <c r="BN181" s="268"/>
      <c r="BO181" s="268"/>
      <c r="BP181" s="268"/>
      <c r="BQ181" s="268"/>
      <c r="BR181" s="268"/>
      <c r="BS181" s="268"/>
      <c r="BT181" s="268"/>
      <c r="BU181" s="268"/>
      <c r="BV181" s="268"/>
      <c r="BW181" s="268"/>
      <c r="BX181" s="268"/>
      <c r="BY181" s="268"/>
      <c r="BZ181" s="268"/>
      <c r="CA181" s="268"/>
      <c r="CB181" s="268"/>
    </row>
    <row r="182" spans="1:80" s="326" customFormat="1" ht="24.75" customHeight="1" x14ac:dyDescent="0.2">
      <c r="A182" s="325"/>
      <c r="C182" s="325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  <c r="O182" s="321"/>
      <c r="P182" s="321"/>
      <c r="Q182" s="322"/>
      <c r="R182" s="327"/>
      <c r="S182" s="328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7"/>
      <c r="AF182" s="329"/>
      <c r="AG182" s="357"/>
      <c r="AH182" s="357"/>
      <c r="AI182" s="357"/>
      <c r="AJ182" s="357"/>
      <c r="AK182" s="357"/>
      <c r="AL182" s="357"/>
      <c r="AM182" s="357"/>
      <c r="AN182" s="357"/>
      <c r="AO182" s="357"/>
      <c r="AP182" s="357"/>
      <c r="AQ182" s="357"/>
      <c r="AR182" s="357"/>
      <c r="AS182" s="358"/>
      <c r="AT182" s="357"/>
      <c r="AU182" s="357"/>
      <c r="AV182" s="357"/>
      <c r="AW182" s="357"/>
      <c r="AX182" s="357"/>
      <c r="AY182" s="357"/>
      <c r="AZ182" s="357"/>
      <c r="BA182" s="357"/>
      <c r="BB182" s="357"/>
      <c r="BC182" s="357"/>
      <c r="BD182" s="357"/>
      <c r="BE182" s="357"/>
      <c r="BF182" s="358"/>
      <c r="BG182" s="358"/>
      <c r="BH182" s="323"/>
      <c r="BI182" s="323"/>
      <c r="BJ182" s="371"/>
      <c r="BK182" s="268"/>
      <c r="BL182" s="268"/>
      <c r="BM182" s="268"/>
      <c r="BN182" s="268"/>
      <c r="BO182" s="268"/>
      <c r="BP182" s="268"/>
      <c r="BQ182" s="268"/>
      <c r="BR182" s="268"/>
      <c r="BS182" s="268"/>
      <c r="BT182" s="268"/>
      <c r="BU182" s="268"/>
      <c r="BV182" s="268"/>
      <c r="BW182" s="268"/>
      <c r="BX182" s="268"/>
      <c r="BY182" s="268"/>
      <c r="BZ182" s="268"/>
      <c r="CA182" s="268"/>
      <c r="CB182" s="268"/>
    </row>
    <row r="183" spans="1:80" s="326" customFormat="1" ht="24.75" customHeight="1" x14ac:dyDescent="0.2">
      <c r="A183" s="325"/>
      <c r="C183" s="325"/>
      <c r="E183" s="321"/>
      <c r="F183" s="321"/>
      <c r="G183" s="321"/>
      <c r="H183" s="321"/>
      <c r="I183" s="321"/>
      <c r="J183" s="321"/>
      <c r="K183" s="321"/>
      <c r="L183" s="321"/>
      <c r="M183" s="321"/>
      <c r="N183" s="321"/>
      <c r="O183" s="321"/>
      <c r="P183" s="321"/>
      <c r="Q183" s="322"/>
      <c r="R183" s="327"/>
      <c r="S183" s="328"/>
      <c r="T183" s="357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7"/>
      <c r="AE183" s="357"/>
      <c r="AF183" s="329"/>
      <c r="AG183" s="357"/>
      <c r="AH183" s="357"/>
      <c r="AI183" s="357"/>
      <c r="AJ183" s="357"/>
      <c r="AK183" s="357"/>
      <c r="AL183" s="357"/>
      <c r="AM183" s="357"/>
      <c r="AN183" s="357"/>
      <c r="AO183" s="357"/>
      <c r="AP183" s="357"/>
      <c r="AQ183" s="357"/>
      <c r="AR183" s="357"/>
      <c r="AS183" s="358"/>
      <c r="AT183" s="357"/>
      <c r="AU183" s="357"/>
      <c r="AV183" s="357"/>
      <c r="AW183" s="357"/>
      <c r="AX183" s="357"/>
      <c r="AY183" s="357"/>
      <c r="AZ183" s="357"/>
      <c r="BA183" s="357"/>
      <c r="BB183" s="357"/>
      <c r="BC183" s="357"/>
      <c r="BD183" s="357"/>
      <c r="BE183" s="357"/>
      <c r="BF183" s="358"/>
      <c r="BG183" s="358"/>
      <c r="BH183" s="323"/>
      <c r="BI183" s="323"/>
      <c r="BJ183" s="371"/>
      <c r="BK183" s="268"/>
      <c r="BL183" s="268"/>
      <c r="BM183" s="268"/>
      <c r="BN183" s="268"/>
      <c r="BO183" s="268"/>
      <c r="BP183" s="268"/>
      <c r="BQ183" s="268"/>
      <c r="BR183" s="268"/>
      <c r="BS183" s="268"/>
      <c r="BT183" s="268"/>
      <c r="BU183" s="268"/>
      <c r="BV183" s="268"/>
      <c r="BW183" s="268"/>
      <c r="BX183" s="268"/>
      <c r="BY183" s="268"/>
      <c r="BZ183" s="268"/>
      <c r="CA183" s="268"/>
      <c r="CB183" s="268"/>
    </row>
    <row r="184" spans="1:80" s="326" customFormat="1" ht="24.75" customHeight="1" x14ac:dyDescent="0.2">
      <c r="A184" s="325"/>
      <c r="C184" s="325"/>
      <c r="E184" s="321"/>
      <c r="F184" s="321"/>
      <c r="G184" s="321"/>
      <c r="H184" s="321"/>
      <c r="I184" s="321"/>
      <c r="J184" s="321"/>
      <c r="K184" s="321"/>
      <c r="L184" s="321"/>
      <c r="M184" s="321"/>
      <c r="N184" s="321"/>
      <c r="O184" s="321"/>
      <c r="P184" s="321"/>
      <c r="Q184" s="322"/>
      <c r="R184" s="327"/>
      <c r="S184" s="328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7"/>
      <c r="AE184" s="357"/>
      <c r="AF184" s="329"/>
      <c r="AG184" s="357"/>
      <c r="AH184" s="357"/>
      <c r="AI184" s="357"/>
      <c r="AJ184" s="357"/>
      <c r="AK184" s="357"/>
      <c r="AL184" s="357"/>
      <c r="AM184" s="357"/>
      <c r="AN184" s="357"/>
      <c r="AO184" s="357"/>
      <c r="AP184" s="357"/>
      <c r="AQ184" s="357"/>
      <c r="AR184" s="357"/>
      <c r="AS184" s="358"/>
      <c r="AT184" s="357"/>
      <c r="AU184" s="357"/>
      <c r="AV184" s="357"/>
      <c r="AW184" s="357"/>
      <c r="AX184" s="357"/>
      <c r="AY184" s="357"/>
      <c r="AZ184" s="357"/>
      <c r="BA184" s="357"/>
      <c r="BB184" s="357"/>
      <c r="BC184" s="357"/>
      <c r="BD184" s="357"/>
      <c r="BE184" s="357"/>
      <c r="BF184" s="358"/>
      <c r="BG184" s="358"/>
      <c r="BH184" s="323"/>
      <c r="BI184" s="323"/>
      <c r="BJ184" s="371"/>
      <c r="BK184" s="268"/>
      <c r="BL184" s="268"/>
      <c r="BM184" s="268"/>
      <c r="BN184" s="268"/>
      <c r="BO184" s="268"/>
      <c r="BP184" s="268"/>
      <c r="BQ184" s="268"/>
      <c r="BR184" s="268"/>
      <c r="BS184" s="268"/>
      <c r="BT184" s="268"/>
      <c r="BU184" s="268"/>
      <c r="BV184" s="268"/>
      <c r="BW184" s="268"/>
      <c r="BX184" s="268"/>
      <c r="BY184" s="268"/>
      <c r="BZ184" s="268"/>
      <c r="CA184" s="268"/>
      <c r="CB184" s="268"/>
    </row>
    <row r="185" spans="1:80" s="326" customFormat="1" ht="24.75" customHeight="1" x14ac:dyDescent="0.2">
      <c r="A185" s="325"/>
      <c r="C185" s="325"/>
      <c r="E185" s="321"/>
      <c r="F185" s="321"/>
      <c r="G185" s="321"/>
      <c r="H185" s="321"/>
      <c r="I185" s="321"/>
      <c r="J185" s="321"/>
      <c r="K185" s="321"/>
      <c r="L185" s="321"/>
      <c r="M185" s="321"/>
      <c r="N185" s="321"/>
      <c r="O185" s="321"/>
      <c r="P185" s="321"/>
      <c r="Q185" s="322"/>
      <c r="R185" s="327"/>
      <c r="S185" s="328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7"/>
      <c r="AF185" s="329"/>
      <c r="AG185" s="357"/>
      <c r="AH185" s="357"/>
      <c r="AI185" s="357"/>
      <c r="AJ185" s="357"/>
      <c r="AK185" s="357"/>
      <c r="AL185" s="357"/>
      <c r="AM185" s="357"/>
      <c r="AN185" s="357"/>
      <c r="AO185" s="357"/>
      <c r="AP185" s="357"/>
      <c r="AQ185" s="357"/>
      <c r="AR185" s="357"/>
      <c r="AS185" s="358"/>
      <c r="AT185" s="357"/>
      <c r="AU185" s="357"/>
      <c r="AV185" s="357"/>
      <c r="AW185" s="357"/>
      <c r="AX185" s="357"/>
      <c r="AY185" s="357"/>
      <c r="AZ185" s="357"/>
      <c r="BA185" s="357"/>
      <c r="BB185" s="357"/>
      <c r="BC185" s="357"/>
      <c r="BD185" s="357"/>
      <c r="BE185" s="357"/>
      <c r="BF185" s="358"/>
      <c r="BG185" s="358"/>
      <c r="BH185" s="323"/>
      <c r="BI185" s="323"/>
      <c r="BJ185" s="371"/>
      <c r="BK185" s="268"/>
      <c r="BL185" s="268"/>
      <c r="BM185" s="268"/>
      <c r="BN185" s="268"/>
      <c r="BO185" s="268"/>
      <c r="BP185" s="268"/>
      <c r="BQ185" s="268"/>
      <c r="BR185" s="268"/>
      <c r="BS185" s="268"/>
      <c r="BT185" s="268"/>
      <c r="BU185" s="268"/>
      <c r="BV185" s="268"/>
      <c r="BW185" s="268"/>
      <c r="BX185" s="268"/>
      <c r="BY185" s="268"/>
      <c r="BZ185" s="268"/>
      <c r="CA185" s="268"/>
      <c r="CB185" s="268"/>
    </row>
    <row r="186" spans="1:80" s="326" customFormat="1" ht="24.75" customHeight="1" x14ac:dyDescent="0.2">
      <c r="A186" s="325"/>
      <c r="C186" s="325"/>
      <c r="E186" s="321"/>
      <c r="F186" s="321"/>
      <c r="G186" s="321"/>
      <c r="H186" s="321"/>
      <c r="I186" s="321"/>
      <c r="J186" s="321"/>
      <c r="K186" s="321"/>
      <c r="L186" s="321"/>
      <c r="M186" s="321"/>
      <c r="N186" s="321"/>
      <c r="O186" s="321"/>
      <c r="P186" s="321"/>
      <c r="Q186" s="322"/>
      <c r="R186" s="327"/>
      <c r="S186" s="328"/>
      <c r="T186" s="357"/>
      <c r="U186" s="357"/>
      <c r="V186" s="357"/>
      <c r="W186" s="357"/>
      <c r="X186" s="357"/>
      <c r="Y186" s="357"/>
      <c r="Z186" s="357"/>
      <c r="AA186" s="357"/>
      <c r="AB186" s="357"/>
      <c r="AC186" s="357"/>
      <c r="AD186" s="357"/>
      <c r="AE186" s="357"/>
      <c r="AF186" s="329"/>
      <c r="AG186" s="357"/>
      <c r="AH186" s="357"/>
      <c r="AI186" s="357"/>
      <c r="AJ186" s="357"/>
      <c r="AK186" s="357"/>
      <c r="AL186" s="357"/>
      <c r="AM186" s="357"/>
      <c r="AN186" s="357"/>
      <c r="AO186" s="357"/>
      <c r="AP186" s="357"/>
      <c r="AQ186" s="357"/>
      <c r="AR186" s="357"/>
      <c r="AS186" s="358"/>
      <c r="AT186" s="357"/>
      <c r="AU186" s="357"/>
      <c r="AV186" s="357"/>
      <c r="AW186" s="357"/>
      <c r="AX186" s="357"/>
      <c r="AY186" s="357"/>
      <c r="AZ186" s="357"/>
      <c r="BA186" s="357"/>
      <c r="BB186" s="357"/>
      <c r="BC186" s="357"/>
      <c r="BD186" s="357"/>
      <c r="BE186" s="357"/>
      <c r="BF186" s="358"/>
      <c r="BG186" s="358"/>
      <c r="BH186" s="323"/>
      <c r="BI186" s="323"/>
      <c r="BJ186" s="371"/>
      <c r="BK186" s="268"/>
      <c r="BL186" s="268"/>
      <c r="BM186" s="268"/>
      <c r="BN186" s="268"/>
      <c r="BO186" s="268"/>
      <c r="BP186" s="268"/>
      <c r="BQ186" s="268"/>
      <c r="BR186" s="268"/>
      <c r="BS186" s="268"/>
      <c r="BT186" s="268"/>
      <c r="BU186" s="268"/>
      <c r="BV186" s="268"/>
      <c r="BW186" s="268"/>
      <c r="BX186" s="268"/>
      <c r="BY186" s="268"/>
      <c r="BZ186" s="268"/>
      <c r="CA186" s="268"/>
      <c r="CB186" s="268"/>
    </row>
    <row r="187" spans="1:80" s="326" customFormat="1" ht="24.75" customHeight="1" x14ac:dyDescent="0.2">
      <c r="A187" s="325"/>
      <c r="C187" s="325"/>
      <c r="E187" s="321"/>
      <c r="F187" s="321"/>
      <c r="G187" s="321"/>
      <c r="H187" s="321"/>
      <c r="I187" s="321"/>
      <c r="J187" s="321"/>
      <c r="K187" s="321"/>
      <c r="L187" s="321"/>
      <c r="M187" s="321"/>
      <c r="N187" s="321"/>
      <c r="O187" s="321"/>
      <c r="P187" s="321"/>
      <c r="Q187" s="322"/>
      <c r="R187" s="327"/>
      <c r="S187" s="328"/>
      <c r="T187" s="357"/>
      <c r="U187" s="357"/>
      <c r="V187" s="357"/>
      <c r="W187" s="357"/>
      <c r="X187" s="357"/>
      <c r="Y187" s="357"/>
      <c r="Z187" s="357"/>
      <c r="AA187" s="357"/>
      <c r="AB187" s="357"/>
      <c r="AC187" s="357"/>
      <c r="AD187" s="357"/>
      <c r="AE187" s="357"/>
      <c r="AF187" s="329"/>
      <c r="AG187" s="357"/>
      <c r="AH187" s="357"/>
      <c r="AI187" s="357"/>
      <c r="AJ187" s="357"/>
      <c r="AK187" s="357"/>
      <c r="AL187" s="357"/>
      <c r="AM187" s="357"/>
      <c r="AN187" s="357"/>
      <c r="AO187" s="357"/>
      <c r="AP187" s="357"/>
      <c r="AQ187" s="357"/>
      <c r="AR187" s="357"/>
      <c r="AS187" s="358"/>
      <c r="AT187" s="357"/>
      <c r="AU187" s="357"/>
      <c r="AV187" s="357"/>
      <c r="AW187" s="357"/>
      <c r="AX187" s="357"/>
      <c r="AY187" s="357"/>
      <c r="AZ187" s="357"/>
      <c r="BA187" s="357"/>
      <c r="BB187" s="357"/>
      <c r="BC187" s="357"/>
      <c r="BD187" s="357"/>
      <c r="BE187" s="357"/>
      <c r="BF187" s="358"/>
      <c r="BG187" s="358"/>
      <c r="BH187" s="323"/>
      <c r="BI187" s="323"/>
      <c r="BJ187" s="371"/>
      <c r="BK187" s="268"/>
      <c r="BL187" s="268"/>
      <c r="BM187" s="268"/>
      <c r="BN187" s="268"/>
      <c r="BO187" s="268"/>
      <c r="BP187" s="268"/>
      <c r="BQ187" s="268"/>
      <c r="BR187" s="268"/>
      <c r="BS187" s="268"/>
      <c r="BT187" s="268"/>
      <c r="BU187" s="268"/>
      <c r="BV187" s="268"/>
      <c r="BW187" s="268"/>
      <c r="BX187" s="268"/>
      <c r="BY187" s="268"/>
      <c r="BZ187" s="268"/>
      <c r="CA187" s="268"/>
      <c r="CB187" s="268"/>
    </row>
    <row r="188" spans="1:80" s="326" customFormat="1" ht="24.75" customHeight="1" x14ac:dyDescent="0.2">
      <c r="A188" s="325"/>
      <c r="C188" s="325"/>
      <c r="E188" s="321"/>
      <c r="F188" s="321"/>
      <c r="G188" s="321"/>
      <c r="H188" s="321"/>
      <c r="I188" s="321"/>
      <c r="J188" s="321"/>
      <c r="K188" s="321"/>
      <c r="L188" s="321"/>
      <c r="M188" s="321"/>
      <c r="N188" s="321"/>
      <c r="O188" s="321"/>
      <c r="P188" s="321"/>
      <c r="Q188" s="322"/>
      <c r="R188" s="327"/>
      <c r="S188" s="328"/>
      <c r="T188" s="357"/>
      <c r="U188" s="357"/>
      <c r="V188" s="357"/>
      <c r="W188" s="357"/>
      <c r="X188" s="357"/>
      <c r="Y188" s="357"/>
      <c r="Z188" s="357"/>
      <c r="AA188" s="357"/>
      <c r="AB188" s="357"/>
      <c r="AC188" s="357"/>
      <c r="AD188" s="357"/>
      <c r="AE188" s="357"/>
      <c r="AF188" s="329"/>
      <c r="AG188" s="357"/>
      <c r="AH188" s="357"/>
      <c r="AI188" s="357"/>
      <c r="AJ188" s="357"/>
      <c r="AK188" s="357"/>
      <c r="AL188" s="357"/>
      <c r="AM188" s="357"/>
      <c r="AN188" s="357"/>
      <c r="AO188" s="357"/>
      <c r="AP188" s="357"/>
      <c r="AQ188" s="357"/>
      <c r="AR188" s="357"/>
      <c r="AS188" s="358"/>
      <c r="AT188" s="357"/>
      <c r="AU188" s="357"/>
      <c r="AV188" s="357"/>
      <c r="AW188" s="357"/>
      <c r="AX188" s="357"/>
      <c r="AY188" s="357"/>
      <c r="AZ188" s="357"/>
      <c r="BA188" s="357"/>
      <c r="BB188" s="357"/>
      <c r="BC188" s="357"/>
      <c r="BD188" s="357"/>
      <c r="BE188" s="357"/>
      <c r="BF188" s="358"/>
      <c r="BG188" s="358"/>
      <c r="BH188" s="323"/>
      <c r="BI188" s="323"/>
      <c r="BJ188" s="371"/>
      <c r="BK188" s="268"/>
      <c r="BL188" s="268"/>
      <c r="BM188" s="268"/>
      <c r="BN188" s="268"/>
      <c r="BO188" s="268"/>
      <c r="BP188" s="268"/>
      <c r="BQ188" s="268"/>
      <c r="BR188" s="268"/>
      <c r="BS188" s="268"/>
      <c r="BT188" s="268"/>
      <c r="BU188" s="268"/>
      <c r="BV188" s="268"/>
      <c r="BW188" s="268"/>
      <c r="BX188" s="268"/>
      <c r="BY188" s="268"/>
      <c r="BZ188" s="268"/>
      <c r="CA188" s="268"/>
      <c r="CB188" s="268"/>
    </row>
    <row r="189" spans="1:80" s="326" customFormat="1" ht="24.75" customHeight="1" x14ac:dyDescent="0.2">
      <c r="A189" s="325"/>
      <c r="C189" s="325"/>
      <c r="E189" s="359"/>
      <c r="F189" s="359"/>
      <c r="G189" s="359"/>
      <c r="H189" s="359"/>
      <c r="I189" s="359"/>
      <c r="J189" s="359"/>
      <c r="K189" s="359"/>
      <c r="L189" s="359"/>
      <c r="M189" s="359"/>
      <c r="N189" s="359"/>
      <c r="O189" s="359"/>
      <c r="P189" s="359"/>
      <c r="Q189" s="359"/>
      <c r="R189" s="327"/>
      <c r="S189" s="328"/>
      <c r="T189" s="360"/>
      <c r="U189" s="360"/>
      <c r="V189" s="360"/>
      <c r="W189" s="360"/>
      <c r="X189" s="360"/>
      <c r="Y189" s="360"/>
      <c r="Z189" s="360"/>
      <c r="AA189" s="360"/>
      <c r="AB189" s="360"/>
      <c r="AC189" s="360"/>
      <c r="AD189" s="360"/>
      <c r="AE189" s="360"/>
      <c r="AF189" s="329"/>
      <c r="AG189" s="358"/>
      <c r="AH189" s="358"/>
      <c r="AI189" s="358"/>
      <c r="AJ189" s="358"/>
      <c r="AK189" s="358"/>
      <c r="AL189" s="358"/>
      <c r="AM189" s="358"/>
      <c r="AN189" s="358"/>
      <c r="AO189" s="358"/>
      <c r="AP189" s="358"/>
      <c r="AQ189" s="358"/>
      <c r="AR189" s="358"/>
      <c r="AS189" s="358"/>
      <c r="AT189" s="358"/>
      <c r="AU189" s="358"/>
      <c r="AV189" s="358"/>
      <c r="AW189" s="358"/>
      <c r="AX189" s="358"/>
      <c r="AY189" s="358"/>
      <c r="AZ189" s="358"/>
      <c r="BA189" s="358"/>
      <c r="BB189" s="358"/>
      <c r="BC189" s="358"/>
      <c r="BD189" s="358"/>
      <c r="BE189" s="358"/>
      <c r="BF189" s="358"/>
      <c r="BG189" s="358"/>
      <c r="BH189" s="358"/>
      <c r="BI189" s="358"/>
      <c r="BJ189" s="371"/>
      <c r="BK189" s="268"/>
      <c r="BL189" s="268"/>
      <c r="BM189" s="268"/>
      <c r="BN189" s="268"/>
      <c r="BO189" s="268"/>
      <c r="BP189" s="268"/>
      <c r="BQ189" s="268"/>
      <c r="BR189" s="268"/>
      <c r="BS189" s="268"/>
      <c r="BT189" s="268"/>
      <c r="BU189" s="268"/>
      <c r="BV189" s="268"/>
      <c r="BW189" s="268"/>
      <c r="BX189" s="268"/>
      <c r="BY189" s="268"/>
      <c r="BZ189" s="268"/>
      <c r="CA189" s="268"/>
      <c r="CB189" s="268"/>
    </row>
    <row r="190" spans="1:80" s="326" customFormat="1" ht="24.75" customHeight="1" x14ac:dyDescent="0.2">
      <c r="A190" s="325"/>
      <c r="C190" s="325"/>
      <c r="E190" s="359"/>
      <c r="F190" s="359"/>
      <c r="G190" s="359"/>
      <c r="H190" s="359"/>
      <c r="I190" s="359"/>
      <c r="J190" s="359"/>
      <c r="K190" s="359"/>
      <c r="L190" s="359"/>
      <c r="M190" s="359"/>
      <c r="N190" s="359"/>
      <c r="O190" s="359"/>
      <c r="P190" s="359"/>
      <c r="Q190" s="359"/>
      <c r="R190" s="327"/>
      <c r="S190" s="328"/>
      <c r="T190" s="360"/>
      <c r="U190" s="360"/>
      <c r="V190" s="360"/>
      <c r="W190" s="360"/>
      <c r="X190" s="360"/>
      <c r="Y190" s="360"/>
      <c r="Z190" s="360"/>
      <c r="AA190" s="360"/>
      <c r="AB190" s="360"/>
      <c r="AC190" s="360"/>
      <c r="AD190" s="360"/>
      <c r="AE190" s="360"/>
      <c r="AF190" s="329"/>
      <c r="AG190" s="358"/>
      <c r="AH190" s="358"/>
      <c r="AI190" s="358"/>
      <c r="AJ190" s="358"/>
      <c r="AK190" s="358"/>
      <c r="AL190" s="358"/>
      <c r="AM190" s="358"/>
      <c r="AN190" s="358"/>
      <c r="AO190" s="358"/>
      <c r="AP190" s="358"/>
      <c r="AQ190" s="358"/>
      <c r="AR190" s="358"/>
      <c r="AS190" s="358"/>
      <c r="AT190" s="358"/>
      <c r="AU190" s="358"/>
      <c r="AV190" s="358"/>
      <c r="AW190" s="358"/>
      <c r="AX190" s="358"/>
      <c r="AY190" s="358"/>
      <c r="AZ190" s="358"/>
      <c r="BA190" s="358"/>
      <c r="BB190" s="358"/>
      <c r="BC190" s="358"/>
      <c r="BD190" s="358"/>
      <c r="BE190" s="358"/>
      <c r="BF190" s="358"/>
      <c r="BG190" s="358"/>
      <c r="BH190" s="358"/>
      <c r="BI190" s="358"/>
      <c r="BJ190" s="371"/>
      <c r="BK190" s="268"/>
      <c r="BL190" s="268"/>
      <c r="BM190" s="268"/>
      <c r="BN190" s="268"/>
      <c r="BO190" s="268"/>
      <c r="BP190" s="268"/>
      <c r="BQ190" s="268"/>
      <c r="BR190" s="268"/>
      <c r="BS190" s="268"/>
      <c r="BT190" s="268"/>
      <c r="BU190" s="268"/>
      <c r="BV190" s="268"/>
      <c r="BW190" s="268"/>
      <c r="BX190" s="268"/>
      <c r="BY190" s="268"/>
      <c r="BZ190" s="268"/>
      <c r="CA190" s="268"/>
      <c r="CB190" s="268"/>
    </row>
    <row r="191" spans="1:80" s="326" customFormat="1" ht="24.75" customHeight="1" x14ac:dyDescent="0.2">
      <c r="A191" s="325"/>
      <c r="C191" s="325"/>
      <c r="E191" s="361"/>
      <c r="F191" s="361"/>
      <c r="G191" s="361"/>
      <c r="H191" s="361"/>
      <c r="I191" s="361"/>
      <c r="J191" s="361"/>
      <c r="K191" s="361"/>
      <c r="L191" s="361"/>
      <c r="M191" s="361"/>
      <c r="N191" s="361"/>
      <c r="O191" s="361"/>
      <c r="P191" s="361"/>
      <c r="Q191" s="359"/>
      <c r="R191" s="327"/>
      <c r="S191" s="328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29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357"/>
      <c r="AQ191" s="357"/>
      <c r="AR191" s="357"/>
      <c r="AS191" s="358"/>
      <c r="AT191" s="357"/>
      <c r="AU191" s="357"/>
      <c r="AV191" s="357"/>
      <c r="AW191" s="357"/>
      <c r="AX191" s="357"/>
      <c r="AY191" s="357"/>
      <c r="AZ191" s="357"/>
      <c r="BA191" s="357"/>
      <c r="BB191" s="357"/>
      <c r="BC191" s="357"/>
      <c r="BD191" s="357"/>
      <c r="BE191" s="357"/>
      <c r="BF191" s="358"/>
      <c r="BG191" s="358"/>
      <c r="BH191" s="323"/>
      <c r="BI191" s="323"/>
      <c r="BJ191" s="371"/>
      <c r="BK191" s="268"/>
      <c r="BL191" s="268"/>
      <c r="BM191" s="268"/>
      <c r="BN191" s="268"/>
      <c r="BO191" s="268"/>
      <c r="BP191" s="268"/>
      <c r="BQ191" s="268"/>
      <c r="BR191" s="268"/>
      <c r="BS191" s="268"/>
      <c r="BT191" s="268"/>
      <c r="BU191" s="268"/>
      <c r="BV191" s="268"/>
      <c r="BW191" s="268"/>
      <c r="BX191" s="268"/>
      <c r="BY191" s="268"/>
      <c r="BZ191" s="268"/>
      <c r="CA191" s="268"/>
      <c r="CB191" s="268"/>
    </row>
    <row r="192" spans="1:80" s="326" customFormat="1" ht="24.75" customHeight="1" x14ac:dyDescent="0.2">
      <c r="A192" s="325"/>
      <c r="C192" s="325"/>
      <c r="R192" s="327"/>
      <c r="S192" s="328"/>
      <c r="AF192" s="329"/>
      <c r="AG192" s="363"/>
      <c r="AH192" s="363"/>
      <c r="AI192" s="363"/>
      <c r="AJ192" s="363"/>
      <c r="AK192" s="363"/>
      <c r="AL192" s="363"/>
      <c r="AM192" s="363"/>
      <c r="AN192" s="363"/>
      <c r="AO192" s="363"/>
      <c r="AP192" s="363"/>
      <c r="AQ192" s="363"/>
      <c r="AR192" s="363"/>
      <c r="AS192" s="363"/>
      <c r="AT192" s="363"/>
      <c r="AU192" s="363"/>
      <c r="AV192" s="363"/>
      <c r="AW192" s="363"/>
      <c r="AX192" s="363"/>
      <c r="AY192" s="363"/>
      <c r="AZ192" s="363"/>
      <c r="BA192" s="363"/>
      <c r="BB192" s="363"/>
      <c r="BC192" s="363"/>
      <c r="BD192" s="363"/>
      <c r="BE192" s="363"/>
      <c r="BF192" s="363"/>
      <c r="BG192" s="363"/>
      <c r="BH192" s="363"/>
      <c r="BI192" s="363"/>
      <c r="BJ192" s="371"/>
      <c r="BK192" s="268"/>
      <c r="BL192" s="268"/>
      <c r="BM192" s="268"/>
      <c r="BN192" s="268"/>
      <c r="BO192" s="268"/>
      <c r="BP192" s="268"/>
      <c r="BQ192" s="268"/>
      <c r="BR192" s="268"/>
      <c r="BS192" s="268"/>
      <c r="BT192" s="268"/>
      <c r="BU192" s="268"/>
      <c r="BV192" s="268"/>
      <c r="BW192" s="268"/>
      <c r="BX192" s="268"/>
      <c r="BY192" s="268"/>
      <c r="BZ192" s="268"/>
      <c r="CA192" s="268"/>
      <c r="CB192" s="268"/>
    </row>
    <row r="193" spans="1:80" s="326" customFormat="1" ht="24.75" customHeight="1" x14ac:dyDescent="0.2">
      <c r="A193" s="325"/>
      <c r="C193" s="325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7"/>
      <c r="P193" s="327"/>
      <c r="Q193" s="338"/>
      <c r="R193" s="327"/>
      <c r="S193" s="328"/>
      <c r="AE193" s="339"/>
      <c r="AF193" s="329"/>
      <c r="AS193" s="364"/>
      <c r="BF193" s="364">
        <f>SUM(AS192+BF192)</f>
        <v>0</v>
      </c>
      <c r="BG193" s="365">
        <f>AF192-AS192-BF192</f>
        <v>0</v>
      </c>
      <c r="BH193" s="331"/>
      <c r="BI193" s="366">
        <f>BH192-BI192</f>
        <v>0</v>
      </c>
      <c r="BJ193" s="371"/>
      <c r="BK193" s="268"/>
      <c r="BL193" s="268"/>
      <c r="BM193" s="268"/>
      <c r="BN193" s="268"/>
      <c r="BO193" s="268"/>
      <c r="BP193" s="268"/>
      <c r="BQ193" s="268"/>
      <c r="BR193" s="268"/>
      <c r="BS193" s="268"/>
      <c r="BT193" s="268"/>
      <c r="BU193" s="268"/>
      <c r="BV193" s="268"/>
      <c r="BW193" s="268"/>
      <c r="BX193" s="268"/>
      <c r="BY193" s="268"/>
      <c r="BZ193" s="268"/>
      <c r="CA193" s="268"/>
      <c r="CB193" s="268"/>
    </row>
    <row r="194" spans="1:80" s="326" customFormat="1" ht="24.75" customHeight="1" x14ac:dyDescent="0.2">
      <c r="A194" s="325"/>
      <c r="C194" s="325"/>
      <c r="E194" s="327"/>
      <c r="F194" s="327"/>
      <c r="G194" s="327"/>
      <c r="H194" s="327"/>
      <c r="I194" s="327"/>
      <c r="J194" s="327"/>
      <c r="K194" s="327"/>
      <c r="L194" s="327"/>
      <c r="M194" s="327"/>
      <c r="N194" s="327"/>
      <c r="O194" s="327"/>
      <c r="P194" s="327"/>
      <c r="Q194" s="338"/>
      <c r="R194" s="327"/>
      <c r="S194" s="328"/>
      <c r="AE194" s="339"/>
      <c r="AF194" s="329"/>
      <c r="AS194" s="330"/>
      <c r="BF194" s="330"/>
      <c r="BG194" s="330"/>
      <c r="BH194" s="331"/>
      <c r="BI194" s="366">
        <f>BG193+BI193</f>
        <v>0</v>
      </c>
      <c r="BJ194" s="371"/>
      <c r="BK194" s="268"/>
      <c r="BL194" s="268"/>
      <c r="BM194" s="268"/>
      <c r="BN194" s="268"/>
      <c r="BO194" s="268"/>
      <c r="BP194" s="268"/>
      <c r="BQ194" s="268"/>
      <c r="BR194" s="268"/>
      <c r="BS194" s="268"/>
      <c r="BT194" s="268"/>
      <c r="BU194" s="268"/>
      <c r="BV194" s="268"/>
      <c r="BW194" s="268"/>
      <c r="BX194" s="268"/>
      <c r="BY194" s="268"/>
      <c r="BZ194" s="268"/>
      <c r="CA194" s="268"/>
      <c r="CB194" s="268"/>
    </row>
    <row r="195" spans="1:80" s="326" customFormat="1" ht="24.75" customHeight="1" x14ac:dyDescent="0.2">
      <c r="A195" s="325"/>
      <c r="C195" s="325"/>
      <c r="E195" s="289"/>
      <c r="F195" s="289"/>
      <c r="G195" s="289"/>
      <c r="H195" s="289"/>
      <c r="I195" s="289"/>
      <c r="J195" s="289"/>
      <c r="K195" s="289"/>
      <c r="L195" s="289"/>
      <c r="M195" s="289"/>
      <c r="N195" s="289"/>
      <c r="O195" s="289"/>
      <c r="P195" s="289"/>
      <c r="Q195" s="289"/>
      <c r="R195" s="327"/>
      <c r="S195" s="328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329"/>
      <c r="AG195" s="291"/>
      <c r="AH195" s="291"/>
      <c r="AI195" s="291"/>
      <c r="AJ195" s="291"/>
      <c r="AK195" s="291"/>
      <c r="AL195" s="291"/>
      <c r="AM195" s="291"/>
      <c r="AN195" s="291"/>
      <c r="AO195" s="291"/>
      <c r="AP195" s="291"/>
      <c r="AQ195" s="291"/>
      <c r="AR195" s="291"/>
      <c r="AS195" s="291"/>
      <c r="AT195" s="291"/>
      <c r="AU195" s="291"/>
      <c r="AV195" s="291"/>
      <c r="AW195" s="291"/>
      <c r="AX195" s="291"/>
      <c r="AY195" s="291"/>
      <c r="AZ195" s="291"/>
      <c r="BA195" s="291"/>
      <c r="BB195" s="291"/>
      <c r="BC195" s="291"/>
      <c r="BD195" s="291"/>
      <c r="BE195" s="291"/>
      <c r="BF195" s="291"/>
      <c r="BG195" s="291"/>
      <c r="BH195" s="291"/>
      <c r="BI195" s="291"/>
      <c r="BJ195" s="371"/>
      <c r="BK195" s="268"/>
      <c r="BL195" s="268"/>
      <c r="BM195" s="268"/>
      <c r="BN195" s="268"/>
      <c r="BO195" s="268"/>
      <c r="BP195" s="268"/>
      <c r="BQ195" s="268"/>
      <c r="BR195" s="268"/>
      <c r="BS195" s="268"/>
      <c r="BT195" s="268"/>
      <c r="BU195" s="268"/>
      <c r="BV195" s="268"/>
      <c r="BW195" s="268"/>
      <c r="BX195" s="268"/>
      <c r="BY195" s="268"/>
      <c r="BZ195" s="268"/>
      <c r="CA195" s="268"/>
      <c r="CB195" s="268"/>
    </row>
    <row r="196" spans="1:80" s="326" customFormat="1" ht="24.75" customHeight="1" x14ac:dyDescent="0.2">
      <c r="A196" s="325"/>
      <c r="C196" s="325"/>
      <c r="E196" s="289"/>
      <c r="F196" s="289"/>
      <c r="G196" s="289"/>
      <c r="H196" s="289"/>
      <c r="I196" s="289"/>
      <c r="J196" s="289"/>
      <c r="K196" s="289"/>
      <c r="L196" s="289"/>
      <c r="M196" s="289"/>
      <c r="N196" s="289"/>
      <c r="O196" s="289"/>
      <c r="P196" s="289"/>
      <c r="Q196" s="289"/>
      <c r="R196" s="327"/>
      <c r="S196" s="328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329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1"/>
      <c r="BA196" s="291"/>
      <c r="BB196" s="291"/>
      <c r="BC196" s="291"/>
      <c r="BD196" s="291"/>
      <c r="BE196" s="291"/>
      <c r="BF196" s="291"/>
      <c r="BG196" s="291"/>
      <c r="BH196" s="291"/>
      <c r="BI196" s="291"/>
      <c r="BJ196" s="371"/>
      <c r="BK196" s="268"/>
      <c r="BL196" s="268"/>
      <c r="BM196" s="268"/>
      <c r="BN196" s="268"/>
      <c r="BO196" s="268"/>
      <c r="BP196" s="268"/>
      <c r="BQ196" s="268"/>
      <c r="BR196" s="268"/>
      <c r="BS196" s="268"/>
      <c r="BT196" s="268"/>
      <c r="BU196" s="268"/>
      <c r="BV196" s="268"/>
      <c r="BW196" s="268"/>
      <c r="BX196" s="268"/>
      <c r="BY196" s="268"/>
      <c r="BZ196" s="268"/>
      <c r="CA196" s="268"/>
      <c r="CB196" s="268"/>
    </row>
    <row r="197" spans="1:80" s="326" customFormat="1" ht="24.75" customHeight="1" x14ac:dyDescent="0.2">
      <c r="A197" s="325"/>
      <c r="C197" s="325"/>
      <c r="E197" s="289"/>
      <c r="F197" s="289"/>
      <c r="G197" s="289"/>
      <c r="H197" s="289"/>
      <c r="I197" s="289"/>
      <c r="J197" s="289"/>
      <c r="K197" s="289"/>
      <c r="L197" s="289"/>
      <c r="M197" s="289"/>
      <c r="N197" s="289"/>
      <c r="O197" s="289"/>
      <c r="P197" s="289"/>
      <c r="Q197" s="289"/>
      <c r="R197" s="327"/>
      <c r="S197" s="328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329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1"/>
      <c r="BA197" s="291"/>
      <c r="BB197" s="291"/>
      <c r="BC197" s="291"/>
      <c r="BD197" s="291"/>
      <c r="BE197" s="291"/>
      <c r="BF197" s="291"/>
      <c r="BG197" s="291"/>
      <c r="BH197" s="291"/>
      <c r="BI197" s="291"/>
      <c r="BJ197" s="371"/>
      <c r="BK197" s="268"/>
      <c r="BL197" s="268"/>
      <c r="BM197" s="268"/>
      <c r="BN197" s="268"/>
      <c r="BO197" s="268"/>
      <c r="BP197" s="268"/>
      <c r="BQ197" s="268"/>
      <c r="BR197" s="268"/>
      <c r="BS197" s="268"/>
      <c r="BT197" s="268"/>
      <c r="BU197" s="268"/>
      <c r="BV197" s="268"/>
      <c r="BW197" s="268"/>
      <c r="BX197" s="268"/>
      <c r="BY197" s="268"/>
      <c r="BZ197" s="268"/>
      <c r="CA197" s="268"/>
      <c r="CB197" s="268"/>
    </row>
    <row r="198" spans="1:80" s="326" customFormat="1" ht="24.75" customHeight="1" x14ac:dyDescent="0.2">
      <c r="A198" s="325"/>
      <c r="C198" s="325"/>
      <c r="E198" s="289"/>
      <c r="F198" s="289"/>
      <c r="G198" s="289"/>
      <c r="H198" s="289"/>
      <c r="I198" s="289"/>
      <c r="J198" s="289"/>
      <c r="K198" s="289"/>
      <c r="L198" s="289"/>
      <c r="M198" s="289"/>
      <c r="N198" s="289"/>
      <c r="O198" s="289"/>
      <c r="P198" s="289"/>
      <c r="Q198" s="289"/>
      <c r="R198" s="327"/>
      <c r="S198" s="328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329"/>
      <c r="AG198" s="291"/>
      <c r="AH198" s="291"/>
      <c r="AI198" s="291"/>
      <c r="AJ198" s="291"/>
      <c r="AK198" s="291"/>
      <c r="AL198" s="291"/>
      <c r="AM198" s="291"/>
      <c r="AN198" s="291"/>
      <c r="AO198" s="291"/>
      <c r="AP198" s="291"/>
      <c r="AQ198" s="291"/>
      <c r="AR198" s="291"/>
      <c r="AS198" s="291"/>
      <c r="AT198" s="291"/>
      <c r="AU198" s="291"/>
      <c r="AV198" s="291"/>
      <c r="AW198" s="291"/>
      <c r="AX198" s="291"/>
      <c r="AY198" s="291"/>
      <c r="AZ198" s="291"/>
      <c r="BA198" s="291"/>
      <c r="BB198" s="291"/>
      <c r="BC198" s="291"/>
      <c r="BD198" s="291"/>
      <c r="BE198" s="291"/>
      <c r="BF198" s="291"/>
      <c r="BG198" s="291"/>
      <c r="BH198" s="291"/>
      <c r="BI198" s="291"/>
      <c r="BJ198" s="371"/>
      <c r="BK198" s="268"/>
      <c r="BL198" s="268"/>
      <c r="BM198" s="268"/>
      <c r="BN198" s="268"/>
      <c r="BO198" s="268"/>
      <c r="BP198" s="268"/>
      <c r="BQ198" s="268"/>
      <c r="BR198" s="268"/>
      <c r="BS198" s="268"/>
      <c r="BT198" s="268"/>
      <c r="BU198" s="268"/>
      <c r="BV198" s="268"/>
      <c r="BW198" s="268"/>
      <c r="BX198" s="268"/>
      <c r="BY198" s="268"/>
      <c r="BZ198" s="268"/>
      <c r="CA198" s="268"/>
      <c r="CB198" s="268"/>
    </row>
    <row r="199" spans="1:80" s="326" customFormat="1" ht="24.75" customHeight="1" x14ac:dyDescent="0.2">
      <c r="A199" s="325"/>
      <c r="C199" s="325"/>
      <c r="E199" s="289"/>
      <c r="F199" s="289"/>
      <c r="G199" s="289"/>
      <c r="H199" s="289"/>
      <c r="I199" s="289"/>
      <c r="J199" s="289"/>
      <c r="K199" s="289"/>
      <c r="L199" s="289"/>
      <c r="M199" s="289"/>
      <c r="N199" s="289"/>
      <c r="O199" s="289"/>
      <c r="P199" s="289"/>
      <c r="Q199" s="289"/>
      <c r="R199" s="327"/>
      <c r="S199" s="328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329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1"/>
      <c r="BA199" s="291"/>
      <c r="BB199" s="291"/>
      <c r="BC199" s="291"/>
      <c r="BD199" s="291"/>
      <c r="BE199" s="291"/>
      <c r="BF199" s="291"/>
      <c r="BG199" s="291"/>
      <c r="BH199" s="291"/>
      <c r="BI199" s="291"/>
      <c r="BJ199" s="371"/>
      <c r="BK199" s="268"/>
      <c r="BL199" s="268"/>
      <c r="BM199" s="268"/>
      <c r="BN199" s="268"/>
      <c r="BO199" s="268"/>
      <c r="BP199" s="268"/>
      <c r="BQ199" s="268"/>
      <c r="BR199" s="268"/>
      <c r="BS199" s="268"/>
      <c r="BT199" s="268"/>
      <c r="BU199" s="268"/>
      <c r="BV199" s="268"/>
      <c r="BW199" s="268"/>
      <c r="BX199" s="268"/>
      <c r="BY199" s="268"/>
      <c r="BZ199" s="268"/>
      <c r="CA199" s="268"/>
      <c r="CB199" s="268"/>
    </row>
    <row r="200" spans="1:80" s="326" customFormat="1" ht="24.75" customHeight="1" x14ac:dyDescent="0.2">
      <c r="A200" s="325"/>
      <c r="C200" s="325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/>
      <c r="O200" s="289"/>
      <c r="P200" s="289"/>
      <c r="Q200" s="289"/>
      <c r="R200" s="327"/>
      <c r="S200" s="328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329"/>
      <c r="AG200" s="291"/>
      <c r="AH200" s="291"/>
      <c r="AI200" s="291"/>
      <c r="AJ200" s="291"/>
      <c r="AK200" s="291"/>
      <c r="AL200" s="291"/>
      <c r="AM200" s="291"/>
      <c r="AN200" s="291"/>
      <c r="AO200" s="291"/>
      <c r="AP200" s="291"/>
      <c r="AQ200" s="291"/>
      <c r="AR200" s="291"/>
      <c r="AS200" s="291"/>
      <c r="AT200" s="291"/>
      <c r="AU200" s="291"/>
      <c r="AV200" s="291"/>
      <c r="AW200" s="291"/>
      <c r="AX200" s="291"/>
      <c r="AY200" s="291"/>
      <c r="AZ200" s="291"/>
      <c r="BA200" s="291"/>
      <c r="BB200" s="291"/>
      <c r="BC200" s="291"/>
      <c r="BD200" s="291"/>
      <c r="BE200" s="291"/>
      <c r="BF200" s="291"/>
      <c r="BG200" s="291"/>
      <c r="BH200" s="291"/>
      <c r="BI200" s="291"/>
      <c r="BJ200" s="371"/>
      <c r="BK200" s="268"/>
      <c r="BL200" s="268"/>
      <c r="BM200" s="268"/>
      <c r="BN200" s="268"/>
      <c r="BO200" s="268"/>
      <c r="BP200" s="268"/>
      <c r="BQ200" s="268"/>
      <c r="BR200" s="268"/>
      <c r="BS200" s="268"/>
      <c r="BT200" s="268"/>
      <c r="BU200" s="268"/>
      <c r="BV200" s="268"/>
      <c r="BW200" s="268"/>
      <c r="BX200" s="268"/>
      <c r="BY200" s="268"/>
      <c r="BZ200" s="268"/>
      <c r="CA200" s="268"/>
      <c r="CB200" s="268"/>
    </row>
    <row r="201" spans="1:80" s="326" customFormat="1" ht="15" x14ac:dyDescent="0.2">
      <c r="A201" s="325"/>
      <c r="C201" s="325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/>
      <c r="O201" s="289"/>
      <c r="P201" s="289"/>
      <c r="Q201" s="289"/>
      <c r="R201" s="327"/>
      <c r="S201" s="328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  <c r="AE201" s="290"/>
      <c r="AF201" s="329"/>
      <c r="AG201" s="291"/>
      <c r="AH201" s="291"/>
      <c r="AI201" s="291"/>
      <c r="AJ201" s="291"/>
      <c r="AK201" s="291"/>
      <c r="AL201" s="291"/>
      <c r="AM201" s="291"/>
      <c r="AN201" s="291"/>
      <c r="AO201" s="291"/>
      <c r="AP201" s="291"/>
      <c r="AQ201" s="291"/>
      <c r="AR201" s="291"/>
      <c r="AS201" s="291"/>
      <c r="AT201" s="291"/>
      <c r="AU201" s="291"/>
      <c r="AV201" s="291"/>
      <c r="AW201" s="291"/>
      <c r="AX201" s="291"/>
      <c r="AY201" s="291"/>
      <c r="AZ201" s="291"/>
      <c r="BA201" s="291"/>
      <c r="BB201" s="291"/>
      <c r="BC201" s="291"/>
      <c r="BD201" s="291"/>
      <c r="BE201" s="291"/>
      <c r="BF201" s="291"/>
      <c r="BG201" s="291"/>
      <c r="BH201" s="291"/>
      <c r="BI201" s="291"/>
      <c r="BJ201" s="371"/>
      <c r="BK201" s="268"/>
      <c r="BL201" s="268"/>
      <c r="BM201" s="268"/>
      <c r="BN201" s="268"/>
      <c r="BO201" s="268"/>
      <c r="BP201" s="268"/>
      <c r="BQ201" s="268"/>
      <c r="BR201" s="268"/>
      <c r="BS201" s="268"/>
      <c r="BT201" s="268"/>
      <c r="BU201" s="268"/>
      <c r="BV201" s="268"/>
      <c r="BW201" s="268"/>
      <c r="BX201" s="268"/>
      <c r="BY201" s="268"/>
      <c r="BZ201" s="268"/>
      <c r="CA201" s="268"/>
      <c r="CB201" s="268"/>
    </row>
    <row r="202" spans="1:80" s="326" customFormat="1" ht="15" x14ac:dyDescent="0.2">
      <c r="A202" s="325"/>
      <c r="C202" s="325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/>
      <c r="O202" s="289"/>
      <c r="P202" s="289"/>
      <c r="Q202" s="289"/>
      <c r="R202" s="327"/>
      <c r="S202" s="328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  <c r="AE202" s="290"/>
      <c r="AF202" s="329"/>
      <c r="AG202" s="291"/>
      <c r="AH202" s="291"/>
      <c r="AI202" s="291"/>
      <c r="AJ202" s="291"/>
      <c r="AK202" s="291"/>
      <c r="AL202" s="291"/>
      <c r="AM202" s="291"/>
      <c r="AN202" s="291"/>
      <c r="AO202" s="291"/>
      <c r="AP202" s="291"/>
      <c r="AQ202" s="291"/>
      <c r="AR202" s="291"/>
      <c r="AS202" s="291"/>
      <c r="AT202" s="291"/>
      <c r="AU202" s="291"/>
      <c r="AV202" s="291"/>
      <c r="AW202" s="291"/>
      <c r="AX202" s="291"/>
      <c r="AY202" s="291"/>
      <c r="AZ202" s="291"/>
      <c r="BA202" s="291"/>
      <c r="BB202" s="291"/>
      <c r="BC202" s="291"/>
      <c r="BD202" s="291"/>
      <c r="BE202" s="291"/>
      <c r="BF202" s="291"/>
      <c r="BG202" s="291"/>
      <c r="BH202" s="291"/>
      <c r="BI202" s="291"/>
      <c r="BJ202" s="371"/>
      <c r="BK202" s="268"/>
      <c r="BL202" s="268"/>
      <c r="BM202" s="268"/>
      <c r="BN202" s="268"/>
      <c r="BO202" s="268"/>
      <c r="BP202" s="268"/>
      <c r="BQ202" s="268"/>
      <c r="BR202" s="268"/>
      <c r="BS202" s="268"/>
      <c r="BT202" s="268"/>
      <c r="BU202" s="268"/>
      <c r="BV202" s="268"/>
      <c r="BW202" s="268"/>
      <c r="BX202" s="268"/>
      <c r="BY202" s="268"/>
      <c r="BZ202" s="268"/>
      <c r="CA202" s="268"/>
      <c r="CB202" s="268"/>
    </row>
    <row r="203" spans="1:80" s="326" customFormat="1" ht="15" x14ac:dyDescent="0.2">
      <c r="A203" s="325"/>
      <c r="C203" s="325"/>
      <c r="E203" s="289"/>
      <c r="F203" s="289"/>
      <c r="G203" s="289"/>
      <c r="H203" s="289"/>
      <c r="I203" s="289"/>
      <c r="J203" s="289"/>
      <c r="K203" s="289"/>
      <c r="L203" s="289"/>
      <c r="M203" s="289"/>
      <c r="N203" s="289"/>
      <c r="O203" s="289"/>
      <c r="P203" s="289"/>
      <c r="Q203" s="289"/>
      <c r="R203" s="327"/>
      <c r="S203" s="328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329"/>
      <c r="AG203" s="291"/>
      <c r="AH203" s="291"/>
      <c r="AI203" s="291"/>
      <c r="AJ203" s="291"/>
      <c r="AK203" s="291"/>
      <c r="AL203" s="291"/>
      <c r="AM203" s="291"/>
      <c r="AN203" s="291"/>
      <c r="AO203" s="291"/>
      <c r="AP203" s="291"/>
      <c r="AQ203" s="291"/>
      <c r="AR203" s="291"/>
      <c r="AS203" s="291"/>
      <c r="AT203" s="291"/>
      <c r="AU203" s="291"/>
      <c r="AV203" s="291"/>
      <c r="AW203" s="291"/>
      <c r="AX203" s="291"/>
      <c r="AY203" s="291"/>
      <c r="AZ203" s="291"/>
      <c r="BA203" s="291"/>
      <c r="BB203" s="291"/>
      <c r="BC203" s="291"/>
      <c r="BD203" s="291"/>
      <c r="BE203" s="291"/>
      <c r="BF203" s="291"/>
      <c r="BG203" s="291"/>
      <c r="BH203" s="291"/>
      <c r="BI203" s="291"/>
      <c r="BJ203" s="371"/>
      <c r="BK203" s="268"/>
      <c r="BL203" s="268"/>
      <c r="BM203" s="268"/>
      <c r="BN203" s="268"/>
      <c r="BO203" s="268"/>
      <c r="BP203" s="268"/>
      <c r="BQ203" s="268"/>
      <c r="BR203" s="268"/>
      <c r="BS203" s="268"/>
      <c r="BT203" s="268"/>
      <c r="BU203" s="268"/>
      <c r="BV203" s="268"/>
      <c r="BW203" s="268"/>
      <c r="BX203" s="268"/>
      <c r="BY203" s="268"/>
      <c r="BZ203" s="268"/>
      <c r="CA203" s="268"/>
      <c r="CB203" s="268"/>
    </row>
    <row r="204" spans="1:80" s="326" customFormat="1" ht="15" x14ac:dyDescent="0.2">
      <c r="A204" s="325"/>
      <c r="C204" s="325"/>
      <c r="E204" s="289"/>
      <c r="F204" s="289"/>
      <c r="G204" s="289"/>
      <c r="H204" s="289"/>
      <c r="I204" s="289"/>
      <c r="J204" s="289"/>
      <c r="K204" s="289"/>
      <c r="L204" s="289"/>
      <c r="M204" s="289"/>
      <c r="N204" s="289"/>
      <c r="O204" s="289"/>
      <c r="P204" s="289"/>
      <c r="Q204" s="289"/>
      <c r="R204" s="327"/>
      <c r="S204" s="328"/>
      <c r="T204" s="290"/>
      <c r="U204" s="290"/>
      <c r="V204" s="290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329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1"/>
      <c r="BA204" s="291"/>
      <c r="BB204" s="291"/>
      <c r="BC204" s="291"/>
      <c r="BD204" s="291"/>
      <c r="BE204" s="291"/>
      <c r="BF204" s="291"/>
      <c r="BG204" s="291"/>
      <c r="BH204" s="291"/>
      <c r="BI204" s="291"/>
      <c r="BJ204" s="371"/>
      <c r="BK204" s="268"/>
      <c r="BL204" s="268"/>
      <c r="BM204" s="268"/>
      <c r="BN204" s="268"/>
      <c r="BO204" s="268"/>
      <c r="BP204" s="268"/>
      <c r="BQ204" s="268"/>
      <c r="BR204" s="268"/>
      <c r="BS204" s="268"/>
      <c r="BT204" s="268"/>
      <c r="BU204" s="268"/>
      <c r="BV204" s="268"/>
      <c r="BW204" s="268"/>
      <c r="BX204" s="268"/>
      <c r="BY204" s="268"/>
      <c r="BZ204" s="268"/>
      <c r="CA204" s="268"/>
      <c r="CB204" s="268"/>
    </row>
    <row r="205" spans="1:80" s="326" customFormat="1" ht="15" x14ac:dyDescent="0.2">
      <c r="A205" s="325"/>
      <c r="C205" s="325"/>
      <c r="E205" s="289"/>
      <c r="F205" s="289"/>
      <c r="G205" s="289"/>
      <c r="H205" s="289"/>
      <c r="I205" s="289"/>
      <c r="J205" s="289"/>
      <c r="K205" s="289"/>
      <c r="L205" s="289"/>
      <c r="M205" s="289"/>
      <c r="N205" s="289"/>
      <c r="O205" s="289"/>
      <c r="P205" s="289"/>
      <c r="Q205" s="289"/>
      <c r="R205" s="327"/>
      <c r="S205" s="328"/>
      <c r="T205" s="290"/>
      <c r="U205" s="290"/>
      <c r="V205" s="290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329"/>
      <c r="AG205" s="291"/>
      <c r="AH205" s="291"/>
      <c r="AI205" s="291"/>
      <c r="AJ205" s="291"/>
      <c r="AK205" s="291"/>
      <c r="AL205" s="291"/>
      <c r="AM205" s="291"/>
      <c r="AN205" s="291"/>
      <c r="AO205" s="291"/>
      <c r="AP205" s="291"/>
      <c r="AQ205" s="291"/>
      <c r="AR205" s="291"/>
      <c r="AS205" s="291"/>
      <c r="AT205" s="291"/>
      <c r="AU205" s="291"/>
      <c r="AV205" s="291"/>
      <c r="AW205" s="291"/>
      <c r="AX205" s="291"/>
      <c r="AY205" s="291"/>
      <c r="AZ205" s="291"/>
      <c r="BA205" s="291"/>
      <c r="BB205" s="291"/>
      <c r="BC205" s="291"/>
      <c r="BD205" s="291"/>
      <c r="BE205" s="291"/>
      <c r="BF205" s="291"/>
      <c r="BG205" s="291"/>
      <c r="BH205" s="291"/>
      <c r="BI205" s="291"/>
      <c r="BJ205" s="371"/>
      <c r="BK205" s="268"/>
      <c r="BL205" s="268"/>
      <c r="BM205" s="268"/>
      <c r="BN205" s="268"/>
      <c r="BO205" s="268"/>
      <c r="BP205" s="268"/>
      <c r="BQ205" s="268"/>
      <c r="BR205" s="268"/>
      <c r="BS205" s="268"/>
      <c r="BT205" s="268"/>
      <c r="BU205" s="268"/>
      <c r="BV205" s="268"/>
      <c r="BW205" s="268"/>
      <c r="BX205" s="268"/>
      <c r="BY205" s="268"/>
      <c r="BZ205" s="268"/>
      <c r="CA205" s="268"/>
      <c r="CB205" s="268"/>
    </row>
    <row r="206" spans="1:80" s="326" customFormat="1" ht="15" x14ac:dyDescent="0.2">
      <c r="A206" s="325"/>
      <c r="C206" s="325"/>
      <c r="E206" s="289"/>
      <c r="F206" s="289"/>
      <c r="G206" s="289"/>
      <c r="H206" s="289"/>
      <c r="I206" s="289"/>
      <c r="J206" s="289"/>
      <c r="K206" s="289"/>
      <c r="L206" s="289"/>
      <c r="M206" s="289"/>
      <c r="N206" s="289"/>
      <c r="O206" s="289"/>
      <c r="P206" s="289"/>
      <c r="Q206" s="289"/>
      <c r="R206" s="327"/>
      <c r="S206" s="328"/>
      <c r="T206" s="290"/>
      <c r="U206" s="290"/>
      <c r="V206" s="290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329"/>
      <c r="AG206" s="291"/>
      <c r="AH206" s="291"/>
      <c r="AI206" s="291"/>
      <c r="AJ206" s="291"/>
      <c r="AK206" s="291"/>
      <c r="AL206" s="291"/>
      <c r="AM206" s="291"/>
      <c r="AN206" s="291"/>
      <c r="AO206" s="291"/>
      <c r="AP206" s="291"/>
      <c r="AQ206" s="291"/>
      <c r="AR206" s="291"/>
      <c r="AS206" s="291"/>
      <c r="AT206" s="291"/>
      <c r="AU206" s="291"/>
      <c r="AV206" s="291"/>
      <c r="AW206" s="291"/>
      <c r="AX206" s="291"/>
      <c r="AY206" s="291"/>
      <c r="AZ206" s="291"/>
      <c r="BA206" s="291"/>
      <c r="BB206" s="291"/>
      <c r="BC206" s="291"/>
      <c r="BD206" s="291"/>
      <c r="BE206" s="291"/>
      <c r="BF206" s="291"/>
      <c r="BG206" s="291"/>
      <c r="BH206" s="291"/>
      <c r="BI206" s="291"/>
      <c r="BJ206" s="371"/>
      <c r="BK206" s="268"/>
      <c r="BL206" s="268"/>
      <c r="BM206" s="268"/>
      <c r="BN206" s="268"/>
      <c r="BO206" s="268"/>
      <c r="BP206" s="268"/>
      <c r="BQ206" s="268"/>
      <c r="BR206" s="268"/>
      <c r="BS206" s="268"/>
      <c r="BT206" s="268"/>
      <c r="BU206" s="268"/>
      <c r="BV206" s="268"/>
      <c r="BW206" s="268"/>
      <c r="BX206" s="268"/>
      <c r="BY206" s="268"/>
      <c r="BZ206" s="268"/>
      <c r="CA206" s="268"/>
      <c r="CB206" s="268"/>
    </row>
    <row r="207" spans="1:80" s="326" customFormat="1" ht="15" x14ac:dyDescent="0.2">
      <c r="A207" s="325"/>
      <c r="C207" s="325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89"/>
      <c r="P207" s="289"/>
      <c r="Q207" s="289"/>
      <c r="R207" s="327"/>
      <c r="S207" s="328"/>
      <c r="T207" s="290"/>
      <c r="U207" s="290"/>
      <c r="V207" s="290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329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1"/>
      <c r="BA207" s="291"/>
      <c r="BB207" s="291"/>
      <c r="BC207" s="291"/>
      <c r="BD207" s="291"/>
      <c r="BE207" s="291"/>
      <c r="BF207" s="291"/>
      <c r="BG207" s="291"/>
      <c r="BH207" s="291"/>
      <c r="BI207" s="291"/>
      <c r="BJ207" s="371"/>
      <c r="BK207" s="268"/>
      <c r="BL207" s="268"/>
      <c r="BM207" s="268"/>
      <c r="BN207" s="268"/>
      <c r="BO207" s="268"/>
      <c r="BP207" s="268"/>
      <c r="BQ207" s="268"/>
      <c r="BR207" s="268"/>
      <c r="BS207" s="268"/>
      <c r="BT207" s="268"/>
      <c r="BU207" s="268"/>
      <c r="BV207" s="268"/>
      <c r="BW207" s="268"/>
      <c r="BX207" s="268"/>
      <c r="BY207" s="268"/>
      <c r="BZ207" s="268"/>
      <c r="CA207" s="268"/>
      <c r="CB207" s="268"/>
    </row>
    <row r="208" spans="1:80" s="326" customFormat="1" ht="15" x14ac:dyDescent="0.2">
      <c r="A208" s="325"/>
      <c r="C208" s="325"/>
      <c r="E208" s="289"/>
      <c r="F208" s="289"/>
      <c r="G208" s="289"/>
      <c r="H208" s="289"/>
      <c r="I208" s="289"/>
      <c r="J208" s="289"/>
      <c r="K208" s="289"/>
      <c r="L208" s="289"/>
      <c r="M208" s="289"/>
      <c r="N208" s="289"/>
      <c r="O208" s="289"/>
      <c r="P208" s="289"/>
      <c r="Q208" s="289"/>
      <c r="R208" s="327"/>
      <c r="S208" s="328"/>
      <c r="T208" s="290"/>
      <c r="U208" s="290"/>
      <c r="V208" s="290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329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1"/>
      <c r="BA208" s="291"/>
      <c r="BB208" s="291"/>
      <c r="BC208" s="291"/>
      <c r="BD208" s="291"/>
      <c r="BE208" s="291"/>
      <c r="BF208" s="291"/>
      <c r="BG208" s="291"/>
      <c r="BH208" s="291"/>
      <c r="BI208" s="291"/>
      <c r="BJ208" s="371"/>
      <c r="BK208" s="268"/>
      <c r="BL208" s="268"/>
      <c r="BM208" s="268"/>
      <c r="BN208" s="268"/>
      <c r="BO208" s="268"/>
      <c r="BP208" s="268"/>
      <c r="BQ208" s="268"/>
      <c r="BR208" s="268"/>
      <c r="BS208" s="268"/>
      <c r="BT208" s="268"/>
      <c r="BU208" s="268"/>
      <c r="BV208" s="268"/>
      <c r="BW208" s="268"/>
      <c r="BX208" s="268"/>
      <c r="BY208" s="268"/>
      <c r="BZ208" s="268"/>
      <c r="CA208" s="268"/>
      <c r="CB208" s="268"/>
    </row>
    <row r="209" spans="1:80" s="326" customFormat="1" ht="15" x14ac:dyDescent="0.2">
      <c r="A209" s="325"/>
      <c r="C209" s="325"/>
      <c r="E209" s="289"/>
      <c r="F209" s="289"/>
      <c r="G209" s="289"/>
      <c r="H209" s="289"/>
      <c r="I209" s="289"/>
      <c r="J209" s="289"/>
      <c r="K209" s="289"/>
      <c r="L209" s="289"/>
      <c r="M209" s="289"/>
      <c r="N209" s="289"/>
      <c r="O209" s="289"/>
      <c r="P209" s="289"/>
      <c r="Q209" s="289"/>
      <c r="R209" s="327"/>
      <c r="S209" s="328"/>
      <c r="T209" s="290"/>
      <c r="U209" s="290"/>
      <c r="V209" s="290"/>
      <c r="W209" s="290"/>
      <c r="X209" s="290"/>
      <c r="Y209" s="290"/>
      <c r="Z209" s="290"/>
      <c r="AA209" s="290"/>
      <c r="AB209" s="290"/>
      <c r="AC209" s="290"/>
      <c r="AD209" s="290"/>
      <c r="AE209" s="290"/>
      <c r="AF209" s="329"/>
      <c r="AG209" s="291"/>
      <c r="AH209" s="291"/>
      <c r="AI209" s="291"/>
      <c r="AJ209" s="291"/>
      <c r="AK209" s="291"/>
      <c r="AL209" s="291"/>
      <c r="AM209" s="291"/>
      <c r="AN209" s="291"/>
      <c r="AO209" s="291"/>
      <c r="AP209" s="291"/>
      <c r="AQ209" s="291"/>
      <c r="AR209" s="291"/>
      <c r="AS209" s="291"/>
      <c r="AT209" s="291"/>
      <c r="AU209" s="291"/>
      <c r="AV209" s="291"/>
      <c r="AW209" s="291"/>
      <c r="AX209" s="291"/>
      <c r="AY209" s="291"/>
      <c r="AZ209" s="291"/>
      <c r="BA209" s="291"/>
      <c r="BB209" s="291"/>
      <c r="BC209" s="291"/>
      <c r="BD209" s="291"/>
      <c r="BE209" s="291"/>
      <c r="BF209" s="291"/>
      <c r="BG209" s="291"/>
      <c r="BH209" s="291"/>
      <c r="BI209" s="291"/>
      <c r="BJ209" s="371"/>
      <c r="BK209" s="268"/>
      <c r="BL209" s="268"/>
      <c r="BM209" s="268"/>
      <c r="BN209" s="268"/>
      <c r="BO209" s="268"/>
      <c r="BP209" s="268"/>
      <c r="BQ209" s="268"/>
      <c r="BR209" s="268"/>
      <c r="BS209" s="268"/>
      <c r="BT209" s="268"/>
      <c r="BU209" s="268"/>
      <c r="BV209" s="268"/>
      <c r="BW209" s="268"/>
      <c r="BX209" s="268"/>
      <c r="BY209" s="268"/>
      <c r="BZ209" s="268"/>
      <c r="CA209" s="268"/>
      <c r="CB209" s="268"/>
    </row>
    <row r="210" spans="1:80" s="326" customFormat="1" ht="15" x14ac:dyDescent="0.2">
      <c r="A210" s="325"/>
      <c r="C210" s="325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/>
      <c r="O210" s="289"/>
      <c r="P210" s="289"/>
      <c r="Q210" s="289"/>
      <c r="R210" s="327"/>
      <c r="S210" s="328"/>
      <c r="T210" s="336"/>
      <c r="U210" s="336"/>
      <c r="V210" s="336"/>
      <c r="W210" s="336"/>
      <c r="X210" s="336"/>
      <c r="Y210" s="336"/>
      <c r="Z210" s="336"/>
      <c r="AA210" s="336"/>
      <c r="AB210" s="336"/>
      <c r="AC210" s="336"/>
      <c r="AD210" s="336"/>
      <c r="AE210" s="336"/>
      <c r="AF210" s="329"/>
      <c r="AG210" s="336"/>
      <c r="AH210" s="336"/>
      <c r="AI210" s="336"/>
      <c r="AJ210" s="336"/>
      <c r="AK210" s="336"/>
      <c r="AL210" s="336"/>
      <c r="AM210" s="336"/>
      <c r="AN210" s="336"/>
      <c r="AO210" s="336"/>
      <c r="AP210" s="336"/>
      <c r="AQ210" s="336"/>
      <c r="AR210" s="336"/>
      <c r="AS210" s="336"/>
      <c r="AT210" s="336"/>
      <c r="AU210" s="336"/>
      <c r="AV210" s="336"/>
      <c r="AW210" s="336"/>
      <c r="AX210" s="336"/>
      <c r="AY210" s="336"/>
      <c r="AZ210" s="336"/>
      <c r="BA210" s="336"/>
      <c r="BB210" s="336"/>
      <c r="BC210" s="336"/>
      <c r="BD210" s="336"/>
      <c r="BE210" s="336"/>
      <c r="BF210" s="336"/>
      <c r="BG210" s="336"/>
      <c r="BH210" s="336"/>
      <c r="BI210" s="336"/>
      <c r="BJ210" s="371"/>
      <c r="BK210" s="268"/>
      <c r="BL210" s="268"/>
      <c r="BM210" s="268"/>
      <c r="BN210" s="268"/>
      <c r="BO210" s="268"/>
      <c r="BP210" s="268"/>
      <c r="BQ210" s="268"/>
      <c r="BR210" s="268"/>
      <c r="BS210" s="268"/>
      <c r="BT210" s="268"/>
      <c r="BU210" s="268"/>
      <c r="BV210" s="268"/>
      <c r="BW210" s="268"/>
      <c r="BX210" s="268"/>
      <c r="BY210" s="268"/>
      <c r="BZ210" s="268"/>
      <c r="CA210" s="268"/>
      <c r="CB210" s="268"/>
    </row>
    <row r="211" spans="1:80" s="326" customFormat="1" ht="15" x14ac:dyDescent="0.2">
      <c r="A211" s="325"/>
      <c r="C211" s="325"/>
      <c r="E211" s="289"/>
      <c r="F211" s="289"/>
      <c r="G211" s="289"/>
      <c r="H211" s="289"/>
      <c r="I211" s="289"/>
      <c r="J211" s="289"/>
      <c r="K211" s="289"/>
      <c r="L211" s="289"/>
      <c r="M211" s="289"/>
      <c r="N211" s="289"/>
      <c r="O211" s="289"/>
      <c r="P211" s="289"/>
      <c r="Q211" s="289"/>
      <c r="R211" s="327"/>
      <c r="S211" s="328"/>
      <c r="T211" s="336"/>
      <c r="U211" s="336"/>
      <c r="V211" s="336"/>
      <c r="W211" s="336"/>
      <c r="X211" s="336"/>
      <c r="Y211" s="336"/>
      <c r="Z211" s="336"/>
      <c r="AA211" s="336"/>
      <c r="AB211" s="336"/>
      <c r="AC211" s="336"/>
      <c r="AD211" s="336"/>
      <c r="AE211" s="336"/>
      <c r="AF211" s="329"/>
      <c r="AG211" s="336"/>
      <c r="AH211" s="336"/>
      <c r="AI211" s="336"/>
      <c r="AJ211" s="336"/>
      <c r="AK211" s="336"/>
      <c r="AL211" s="336"/>
      <c r="AM211" s="336"/>
      <c r="AN211" s="336"/>
      <c r="AO211" s="336"/>
      <c r="AP211" s="336"/>
      <c r="AQ211" s="336"/>
      <c r="AR211" s="336"/>
      <c r="AS211" s="336"/>
      <c r="AT211" s="336"/>
      <c r="AU211" s="336"/>
      <c r="AV211" s="336"/>
      <c r="AW211" s="336"/>
      <c r="AX211" s="336"/>
      <c r="AY211" s="336"/>
      <c r="AZ211" s="336"/>
      <c r="BA211" s="336"/>
      <c r="BB211" s="336"/>
      <c r="BC211" s="336"/>
      <c r="BD211" s="336"/>
      <c r="BE211" s="336"/>
      <c r="BF211" s="336"/>
      <c r="BG211" s="336"/>
      <c r="BH211" s="336"/>
      <c r="BI211" s="336"/>
      <c r="BJ211" s="371"/>
      <c r="BK211" s="268"/>
      <c r="BL211" s="268"/>
      <c r="BM211" s="268"/>
      <c r="BN211" s="268"/>
      <c r="BO211" s="268"/>
      <c r="BP211" s="268"/>
      <c r="BQ211" s="268"/>
      <c r="BR211" s="268"/>
      <c r="BS211" s="268"/>
      <c r="BT211" s="268"/>
      <c r="BU211" s="268"/>
      <c r="BV211" s="268"/>
      <c r="BW211" s="268"/>
      <c r="BX211" s="268"/>
      <c r="BY211" s="268"/>
      <c r="BZ211" s="268"/>
      <c r="CA211" s="268"/>
      <c r="CB211" s="268"/>
    </row>
    <row r="212" spans="1:80" s="326" customFormat="1" ht="15" x14ac:dyDescent="0.2">
      <c r="A212" s="325"/>
      <c r="C212" s="325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8"/>
      <c r="R212" s="327"/>
      <c r="S212" s="328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70"/>
      <c r="AF212" s="32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36"/>
      <c r="AT212" s="369"/>
      <c r="AU212" s="369"/>
      <c r="AV212" s="369"/>
      <c r="AW212" s="369"/>
      <c r="AX212" s="369"/>
      <c r="AY212" s="369"/>
      <c r="AZ212" s="369"/>
      <c r="BA212" s="369"/>
      <c r="BB212" s="369"/>
      <c r="BC212" s="369"/>
      <c r="BD212" s="369"/>
      <c r="BE212" s="369"/>
      <c r="BF212" s="336"/>
      <c r="BG212" s="336"/>
      <c r="BH212" s="337"/>
      <c r="BI212" s="337"/>
      <c r="BJ212" s="371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</row>
    <row r="213" spans="1:80" s="326" customFormat="1" ht="15" x14ac:dyDescent="0.2">
      <c r="A213" s="325"/>
      <c r="C213" s="325"/>
      <c r="E213" s="327"/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338"/>
      <c r="R213" s="327"/>
      <c r="S213" s="328"/>
      <c r="AE213" s="339"/>
      <c r="AF213" s="329"/>
      <c r="AS213" s="330"/>
      <c r="BF213" s="330"/>
      <c r="BG213" s="330"/>
      <c r="BH213" s="331"/>
      <c r="BI213" s="331"/>
      <c r="BJ213" s="371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</row>
    <row r="214" spans="1:80" s="326" customFormat="1" ht="15" x14ac:dyDescent="0.2">
      <c r="A214" s="325"/>
      <c r="C214" s="325"/>
      <c r="E214" s="327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338"/>
      <c r="R214" s="327"/>
      <c r="S214" s="328"/>
      <c r="AE214" s="339"/>
      <c r="AF214" s="329"/>
      <c r="AS214" s="330"/>
      <c r="BF214" s="330"/>
      <c r="BG214" s="330"/>
      <c r="BH214" s="331"/>
      <c r="BI214" s="331"/>
      <c r="BJ214" s="371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</row>
    <row r="215" spans="1:80" s="326" customFormat="1" ht="15" x14ac:dyDescent="0.2">
      <c r="A215" s="325"/>
      <c r="C215" s="325"/>
      <c r="E215" s="327"/>
      <c r="F215" s="327"/>
      <c r="G215" s="327"/>
      <c r="H215" s="327"/>
      <c r="I215" s="327"/>
      <c r="J215" s="327"/>
      <c r="K215" s="327"/>
      <c r="L215" s="327"/>
      <c r="M215" s="327"/>
      <c r="N215" s="327"/>
      <c r="O215" s="327"/>
      <c r="P215" s="327"/>
      <c r="Q215" s="338"/>
      <c r="R215" s="327"/>
      <c r="S215" s="328"/>
      <c r="AE215" s="339"/>
      <c r="AF215" s="329"/>
      <c r="AS215" s="330"/>
      <c r="BF215" s="330"/>
      <c r="BG215" s="330"/>
      <c r="BH215" s="331"/>
      <c r="BI215" s="331"/>
      <c r="BJ215" s="371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</row>
    <row r="216" spans="1:80" s="326" customFormat="1" ht="15" x14ac:dyDescent="0.2">
      <c r="A216" s="325"/>
      <c r="C216" s="325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38"/>
      <c r="R216" s="327"/>
      <c r="S216" s="328"/>
      <c r="AE216" s="339"/>
      <c r="AF216" s="329"/>
      <c r="AS216" s="330"/>
      <c r="BF216" s="330"/>
      <c r="BG216" s="330"/>
      <c r="BH216" s="331"/>
      <c r="BI216" s="331"/>
      <c r="BJ216" s="371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</row>
    <row r="217" spans="1:80" s="326" customFormat="1" ht="15" x14ac:dyDescent="0.2">
      <c r="A217" s="325"/>
      <c r="C217" s="325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338"/>
      <c r="R217" s="327"/>
      <c r="S217" s="328"/>
      <c r="AE217" s="339"/>
      <c r="AF217" s="329"/>
      <c r="AS217" s="330"/>
      <c r="BF217" s="330"/>
      <c r="BG217" s="330"/>
      <c r="BH217" s="331"/>
      <c r="BI217" s="331"/>
      <c r="BJ217" s="371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</row>
    <row r="218" spans="1:80" s="326" customFormat="1" ht="15" x14ac:dyDescent="0.2">
      <c r="A218" s="325"/>
      <c r="C218" s="325"/>
      <c r="E218" s="327"/>
      <c r="F218" s="327"/>
      <c r="G218" s="327"/>
      <c r="H218" s="327"/>
      <c r="I218" s="327"/>
      <c r="J218" s="327"/>
      <c r="K218" s="327"/>
      <c r="L218" s="327"/>
      <c r="M218" s="327"/>
      <c r="N218" s="327"/>
      <c r="O218" s="327"/>
      <c r="P218" s="327"/>
      <c r="Q218" s="338"/>
      <c r="R218" s="327"/>
      <c r="S218" s="328"/>
      <c r="AE218" s="339"/>
      <c r="AF218" s="329"/>
      <c r="AS218" s="330"/>
      <c r="BF218" s="330"/>
      <c r="BG218" s="330"/>
      <c r="BH218" s="331"/>
      <c r="BI218" s="331"/>
      <c r="BJ218" s="371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</row>
    <row r="219" spans="1:80" s="326" customFormat="1" ht="15" x14ac:dyDescent="0.2">
      <c r="A219" s="325"/>
      <c r="C219" s="325"/>
      <c r="E219" s="327"/>
      <c r="F219" s="327"/>
      <c r="G219" s="327"/>
      <c r="H219" s="327"/>
      <c r="I219" s="327"/>
      <c r="J219" s="327"/>
      <c r="K219" s="327"/>
      <c r="L219" s="327"/>
      <c r="M219" s="327"/>
      <c r="N219" s="327"/>
      <c r="O219" s="327"/>
      <c r="P219" s="327"/>
      <c r="Q219" s="338"/>
      <c r="R219" s="327"/>
      <c r="S219" s="328"/>
      <c r="AE219" s="339"/>
      <c r="AF219" s="329"/>
      <c r="AS219" s="330"/>
      <c r="BF219" s="330"/>
      <c r="BG219" s="330"/>
      <c r="BH219" s="331"/>
      <c r="BI219" s="331"/>
      <c r="BJ219" s="371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</row>
    <row r="220" spans="1:80" s="326" customFormat="1" ht="15" x14ac:dyDescent="0.2">
      <c r="A220" s="325"/>
      <c r="C220" s="325"/>
      <c r="E220" s="327"/>
      <c r="F220" s="327"/>
      <c r="G220" s="327"/>
      <c r="H220" s="327"/>
      <c r="I220" s="327"/>
      <c r="J220" s="327"/>
      <c r="K220" s="327"/>
      <c r="L220" s="327"/>
      <c r="M220" s="327"/>
      <c r="N220" s="327"/>
      <c r="O220" s="327"/>
      <c r="P220" s="327"/>
      <c r="Q220" s="338"/>
      <c r="R220" s="327"/>
      <c r="S220" s="328"/>
      <c r="AE220" s="339"/>
      <c r="AF220" s="329"/>
      <c r="AS220" s="330"/>
      <c r="BF220" s="330"/>
      <c r="BG220" s="330"/>
      <c r="BH220" s="331"/>
      <c r="BI220" s="331"/>
      <c r="BJ220" s="371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</row>
    <row r="221" spans="1:80" s="326" customFormat="1" ht="15" x14ac:dyDescent="0.2">
      <c r="A221" s="325"/>
      <c r="C221" s="325"/>
      <c r="E221" s="327"/>
      <c r="F221" s="327"/>
      <c r="G221" s="327"/>
      <c r="H221" s="327"/>
      <c r="I221" s="327"/>
      <c r="J221" s="327"/>
      <c r="K221" s="327"/>
      <c r="L221" s="327"/>
      <c r="M221" s="327"/>
      <c r="N221" s="327"/>
      <c r="O221" s="327"/>
      <c r="P221" s="327"/>
      <c r="Q221" s="338"/>
      <c r="R221" s="327"/>
      <c r="S221" s="328"/>
      <c r="AE221" s="339"/>
      <c r="AF221" s="329"/>
      <c r="AS221" s="330"/>
      <c r="BF221" s="330"/>
      <c r="BG221" s="330"/>
      <c r="BH221" s="331"/>
      <c r="BI221" s="331"/>
      <c r="BJ221" s="371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</row>
    <row r="222" spans="1:80" s="326" customFormat="1" ht="15" x14ac:dyDescent="0.2">
      <c r="A222" s="325"/>
      <c r="C222" s="325"/>
      <c r="E222" s="327"/>
      <c r="F222" s="327"/>
      <c r="G222" s="327"/>
      <c r="H222" s="327"/>
      <c r="I222" s="327"/>
      <c r="J222" s="327"/>
      <c r="K222" s="327"/>
      <c r="L222" s="327"/>
      <c r="M222" s="327"/>
      <c r="N222" s="327"/>
      <c r="O222" s="327"/>
      <c r="P222" s="327"/>
      <c r="Q222" s="338"/>
      <c r="R222" s="327"/>
      <c r="S222" s="328"/>
      <c r="AE222" s="339"/>
      <c r="AF222" s="329"/>
      <c r="AS222" s="330"/>
      <c r="BF222" s="330"/>
      <c r="BG222" s="330"/>
      <c r="BH222" s="331"/>
      <c r="BI222" s="331"/>
      <c r="BJ222" s="371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</row>
    <row r="223" spans="1:80" s="326" customFormat="1" ht="15" x14ac:dyDescent="0.2">
      <c r="A223" s="325"/>
      <c r="C223" s="325"/>
      <c r="E223" s="327"/>
      <c r="F223" s="327"/>
      <c r="G223" s="327"/>
      <c r="H223" s="327"/>
      <c r="I223" s="327"/>
      <c r="J223" s="327"/>
      <c r="K223" s="327"/>
      <c r="L223" s="327"/>
      <c r="M223" s="327"/>
      <c r="N223" s="327"/>
      <c r="O223" s="327"/>
      <c r="P223" s="327"/>
      <c r="Q223" s="338"/>
      <c r="R223" s="327"/>
      <c r="S223" s="328"/>
      <c r="AE223" s="339"/>
      <c r="AF223" s="329"/>
      <c r="AS223" s="330"/>
      <c r="BF223" s="330"/>
      <c r="BG223" s="330"/>
      <c r="BH223" s="331"/>
      <c r="BI223" s="331"/>
      <c r="BJ223" s="371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</row>
  </sheetData>
  <mergeCells count="360">
    <mergeCell ref="A106:B106"/>
    <mergeCell ref="A114:B114"/>
    <mergeCell ref="A122:B122"/>
    <mergeCell ref="BG91:BG93"/>
    <mergeCell ref="BH91:BH93"/>
    <mergeCell ref="BI91:BI93"/>
    <mergeCell ref="D92:D93"/>
    <mergeCell ref="E92:Q92"/>
    <mergeCell ref="S92:S93"/>
    <mergeCell ref="T92:AE92"/>
    <mergeCell ref="AF92:AF93"/>
    <mergeCell ref="AG92:AS92"/>
    <mergeCell ref="BG115:BG117"/>
    <mergeCell ref="BH115:BH117"/>
    <mergeCell ref="AG108:AS108"/>
    <mergeCell ref="A115:A117"/>
    <mergeCell ref="B115:B117"/>
    <mergeCell ref="C115:C117"/>
    <mergeCell ref="A107:A109"/>
    <mergeCell ref="B107:B109"/>
    <mergeCell ref="C107:C109"/>
    <mergeCell ref="AF107:AS107"/>
    <mergeCell ref="D108:D109"/>
    <mergeCell ref="E108:Q108"/>
    <mergeCell ref="BI83:BI85"/>
    <mergeCell ref="D84:D85"/>
    <mergeCell ref="E84:Q84"/>
    <mergeCell ref="S84:S85"/>
    <mergeCell ref="T84:AE84"/>
    <mergeCell ref="AF84:AF85"/>
    <mergeCell ref="AG84:AS84"/>
    <mergeCell ref="A90:B90"/>
    <mergeCell ref="A91:A93"/>
    <mergeCell ref="B91:B93"/>
    <mergeCell ref="C91:C93"/>
    <mergeCell ref="D91:Q91"/>
    <mergeCell ref="R91:R93"/>
    <mergeCell ref="S91:AE91"/>
    <mergeCell ref="AF91:AS91"/>
    <mergeCell ref="AT91:BF92"/>
    <mergeCell ref="A82:B82"/>
    <mergeCell ref="A83:A85"/>
    <mergeCell ref="B83:B85"/>
    <mergeCell ref="C83:C85"/>
    <mergeCell ref="D83:Q83"/>
    <mergeCell ref="R83:R85"/>
    <mergeCell ref="S83:AE83"/>
    <mergeCell ref="AF83:AS83"/>
    <mergeCell ref="AT83:BF84"/>
    <mergeCell ref="AF156:AF157"/>
    <mergeCell ref="AG156:AS156"/>
    <mergeCell ref="AT155:BF156"/>
    <mergeCell ref="AT3:BF4"/>
    <mergeCell ref="AT11:BF12"/>
    <mergeCell ref="AT27:BF28"/>
    <mergeCell ref="AT51:BF52"/>
    <mergeCell ref="AT35:BF36"/>
    <mergeCell ref="AT59:BF60"/>
    <mergeCell ref="AT43:BF44"/>
    <mergeCell ref="AT67:BF68"/>
    <mergeCell ref="AT99:BF100"/>
    <mergeCell ref="AF60:AF61"/>
    <mergeCell ref="AG60:AS60"/>
    <mergeCell ref="A155:A157"/>
    <mergeCell ref="B155:B157"/>
    <mergeCell ref="C155:C157"/>
    <mergeCell ref="D155:Q155"/>
    <mergeCell ref="R155:R157"/>
    <mergeCell ref="S155:AE155"/>
    <mergeCell ref="AF147:AS147"/>
    <mergeCell ref="AF155:AS155"/>
    <mergeCell ref="BI147:BI149"/>
    <mergeCell ref="D148:D149"/>
    <mergeCell ref="E148:Q148"/>
    <mergeCell ref="S148:S149"/>
    <mergeCell ref="T148:AE148"/>
    <mergeCell ref="AF148:AF149"/>
    <mergeCell ref="AG148:AS148"/>
    <mergeCell ref="AT147:BF148"/>
    <mergeCell ref="A154:B154"/>
    <mergeCell ref="BG155:BG157"/>
    <mergeCell ref="BH155:BH157"/>
    <mergeCell ref="BI155:BI157"/>
    <mergeCell ref="D156:D157"/>
    <mergeCell ref="E156:Q156"/>
    <mergeCell ref="S156:S157"/>
    <mergeCell ref="T156:AE156"/>
    <mergeCell ref="A146:B146"/>
    <mergeCell ref="A147:A149"/>
    <mergeCell ref="B147:B149"/>
    <mergeCell ref="C147:C149"/>
    <mergeCell ref="D147:Q147"/>
    <mergeCell ref="R147:R149"/>
    <mergeCell ref="S147:AE147"/>
    <mergeCell ref="BG139:BG141"/>
    <mergeCell ref="BH139:BH141"/>
    <mergeCell ref="BG147:BG149"/>
    <mergeCell ref="BH147:BH149"/>
    <mergeCell ref="BI139:BI141"/>
    <mergeCell ref="D140:D141"/>
    <mergeCell ref="E140:Q140"/>
    <mergeCell ref="S140:S141"/>
    <mergeCell ref="T140:AE140"/>
    <mergeCell ref="AF140:AF141"/>
    <mergeCell ref="AG140:AS140"/>
    <mergeCell ref="AT139:BF140"/>
    <mergeCell ref="A138:B138"/>
    <mergeCell ref="A139:A141"/>
    <mergeCell ref="B139:B141"/>
    <mergeCell ref="C139:C141"/>
    <mergeCell ref="D139:Q139"/>
    <mergeCell ref="R139:R141"/>
    <mergeCell ref="S139:AE139"/>
    <mergeCell ref="AF139:AS139"/>
    <mergeCell ref="BG131:BG133"/>
    <mergeCell ref="BH131:BH133"/>
    <mergeCell ref="BI131:BI133"/>
    <mergeCell ref="D132:D133"/>
    <mergeCell ref="E132:Q132"/>
    <mergeCell ref="S132:S133"/>
    <mergeCell ref="T132:AE132"/>
    <mergeCell ref="AF132:AF133"/>
    <mergeCell ref="AG132:AS132"/>
    <mergeCell ref="AT131:BF132"/>
    <mergeCell ref="A130:B130"/>
    <mergeCell ref="A131:A133"/>
    <mergeCell ref="B131:B133"/>
    <mergeCell ref="C131:C133"/>
    <mergeCell ref="D131:Q131"/>
    <mergeCell ref="R131:R133"/>
    <mergeCell ref="S131:AE131"/>
    <mergeCell ref="AF131:AS131"/>
    <mergeCell ref="D124:D125"/>
    <mergeCell ref="E124:Q124"/>
    <mergeCell ref="S124:S125"/>
    <mergeCell ref="T124:AE124"/>
    <mergeCell ref="AF124:AF125"/>
    <mergeCell ref="A123:A125"/>
    <mergeCell ref="B123:B125"/>
    <mergeCell ref="C123:C125"/>
    <mergeCell ref="D123:Q123"/>
    <mergeCell ref="R123:R125"/>
    <mergeCell ref="S123:AE123"/>
    <mergeCell ref="AG124:AS124"/>
    <mergeCell ref="AF123:AS123"/>
    <mergeCell ref="D116:D117"/>
    <mergeCell ref="E116:Q116"/>
    <mergeCell ref="S116:S117"/>
    <mergeCell ref="T116:AE116"/>
    <mergeCell ref="AF116:AF117"/>
    <mergeCell ref="AG116:AS116"/>
    <mergeCell ref="D115:Q115"/>
    <mergeCell ref="R115:R117"/>
    <mergeCell ref="S115:AE115"/>
    <mergeCell ref="AF115:AS115"/>
    <mergeCell ref="BG123:BG125"/>
    <mergeCell ref="BH123:BH125"/>
    <mergeCell ref="BI115:BI117"/>
    <mergeCell ref="BI123:BI125"/>
    <mergeCell ref="AT115:BF116"/>
    <mergeCell ref="AT123:BF124"/>
    <mergeCell ref="BG99:BG101"/>
    <mergeCell ref="BH99:BH101"/>
    <mergeCell ref="BG107:BG109"/>
    <mergeCell ref="BH107:BH109"/>
    <mergeCell ref="BI107:BI109"/>
    <mergeCell ref="A98:B98"/>
    <mergeCell ref="A99:A101"/>
    <mergeCell ref="B99:B101"/>
    <mergeCell ref="C99:C101"/>
    <mergeCell ref="D99:Q99"/>
    <mergeCell ref="BI99:BI101"/>
    <mergeCell ref="D100:D101"/>
    <mergeCell ref="E100:Q100"/>
    <mergeCell ref="S100:S101"/>
    <mergeCell ref="T100:AE100"/>
    <mergeCell ref="R99:R101"/>
    <mergeCell ref="S99:AE99"/>
    <mergeCell ref="AF99:AS99"/>
    <mergeCell ref="AF100:AF101"/>
    <mergeCell ref="D107:Q107"/>
    <mergeCell ref="S107:AE107"/>
    <mergeCell ref="AT107:BF108"/>
    <mergeCell ref="AG100:AS100"/>
    <mergeCell ref="BI67:BI69"/>
    <mergeCell ref="D68:D69"/>
    <mergeCell ref="E68:Q68"/>
    <mergeCell ref="S68:S69"/>
    <mergeCell ref="T68:AE68"/>
    <mergeCell ref="AF68:AF69"/>
    <mergeCell ref="AG68:AS68"/>
    <mergeCell ref="R67:R69"/>
    <mergeCell ref="S67:AE67"/>
    <mergeCell ref="AF67:AS67"/>
    <mergeCell ref="BG67:BG69"/>
    <mergeCell ref="BH67:BH69"/>
    <mergeCell ref="AF76:AF77"/>
    <mergeCell ref="AG76:AS76"/>
    <mergeCell ref="R107:R109"/>
    <mergeCell ref="S108:S109"/>
    <mergeCell ref="T108:AE108"/>
    <mergeCell ref="AF108:AF109"/>
    <mergeCell ref="BG83:BG85"/>
    <mergeCell ref="BH83:BH85"/>
    <mergeCell ref="C59:C61"/>
    <mergeCell ref="D59:Q59"/>
    <mergeCell ref="A66:B66"/>
    <mergeCell ref="A67:A69"/>
    <mergeCell ref="B67:B69"/>
    <mergeCell ref="C67:C69"/>
    <mergeCell ref="D67:Q67"/>
    <mergeCell ref="BI43:BI45"/>
    <mergeCell ref="D44:D45"/>
    <mergeCell ref="E44:Q44"/>
    <mergeCell ref="S44:S45"/>
    <mergeCell ref="T44:AE44"/>
    <mergeCell ref="AF44:AF45"/>
    <mergeCell ref="AG44:AS44"/>
    <mergeCell ref="R43:R45"/>
    <mergeCell ref="S43:AE43"/>
    <mergeCell ref="AF43:AS43"/>
    <mergeCell ref="BG43:BG45"/>
    <mergeCell ref="BH43:BH45"/>
    <mergeCell ref="BI59:BI61"/>
    <mergeCell ref="D60:D61"/>
    <mergeCell ref="E60:Q60"/>
    <mergeCell ref="S60:S61"/>
    <mergeCell ref="T60:AE60"/>
    <mergeCell ref="R59:R61"/>
    <mergeCell ref="S59:AE59"/>
    <mergeCell ref="AF59:AS59"/>
    <mergeCell ref="BG59:BG61"/>
    <mergeCell ref="BH59:BH61"/>
    <mergeCell ref="BH51:BH53"/>
    <mergeCell ref="BI51:BI53"/>
    <mergeCell ref="AF52:AF53"/>
    <mergeCell ref="AG52:AS52"/>
    <mergeCell ref="AF51:AS51"/>
    <mergeCell ref="BG51:BG53"/>
    <mergeCell ref="D52:D53"/>
    <mergeCell ref="E52:Q52"/>
    <mergeCell ref="S52:S53"/>
    <mergeCell ref="A42:B42"/>
    <mergeCell ref="A43:A45"/>
    <mergeCell ref="B43:B45"/>
    <mergeCell ref="C43:C45"/>
    <mergeCell ref="D43:Q43"/>
    <mergeCell ref="A50:B50"/>
    <mergeCell ref="A51:A53"/>
    <mergeCell ref="B51:B53"/>
    <mergeCell ref="C51:C53"/>
    <mergeCell ref="D51:Q51"/>
    <mergeCell ref="R51:R53"/>
    <mergeCell ref="S51:AE51"/>
    <mergeCell ref="D28:D29"/>
    <mergeCell ref="BI35:BI37"/>
    <mergeCell ref="D36:D37"/>
    <mergeCell ref="E36:Q36"/>
    <mergeCell ref="S36:S37"/>
    <mergeCell ref="T36:AE36"/>
    <mergeCell ref="AF36:AF37"/>
    <mergeCell ref="AG36:AS36"/>
    <mergeCell ref="R35:R37"/>
    <mergeCell ref="S35:AE35"/>
    <mergeCell ref="AF35:AS35"/>
    <mergeCell ref="BG35:BG37"/>
    <mergeCell ref="BH35:BH37"/>
    <mergeCell ref="D35:Q35"/>
    <mergeCell ref="BG27:BG29"/>
    <mergeCell ref="BH27:BH29"/>
    <mergeCell ref="BG11:BG13"/>
    <mergeCell ref="BH11:BH13"/>
    <mergeCell ref="A26:B26"/>
    <mergeCell ref="A11:A13"/>
    <mergeCell ref="B11:B13"/>
    <mergeCell ref="C11:C13"/>
    <mergeCell ref="D11:Q11"/>
    <mergeCell ref="A18:B18"/>
    <mergeCell ref="A19:A21"/>
    <mergeCell ref="B19:B21"/>
    <mergeCell ref="C19:C21"/>
    <mergeCell ref="D19:Q19"/>
    <mergeCell ref="R19:R21"/>
    <mergeCell ref="S19:AE19"/>
    <mergeCell ref="AF19:AS19"/>
    <mergeCell ref="AT19:BF20"/>
    <mergeCell ref="BG19:BG21"/>
    <mergeCell ref="BH19:BH21"/>
    <mergeCell ref="BI11:BI13"/>
    <mergeCell ref="D12:D13"/>
    <mergeCell ref="E12:Q12"/>
    <mergeCell ref="S12:S13"/>
    <mergeCell ref="T12:AE12"/>
    <mergeCell ref="A2:B2"/>
    <mergeCell ref="A3:A5"/>
    <mergeCell ref="B3:B5"/>
    <mergeCell ref="C3:C5"/>
    <mergeCell ref="BH3:BH5"/>
    <mergeCell ref="BI3:BI5"/>
    <mergeCell ref="D4:D5"/>
    <mergeCell ref="E4:Q4"/>
    <mergeCell ref="S4:S5"/>
    <mergeCell ref="T4:AE4"/>
    <mergeCell ref="AF4:AF5"/>
    <mergeCell ref="AG4:AS4"/>
    <mergeCell ref="D3:Q3"/>
    <mergeCell ref="R3:R5"/>
    <mergeCell ref="S3:AE3"/>
    <mergeCell ref="AF3:AS3"/>
    <mergeCell ref="BG3:BG5"/>
    <mergeCell ref="AF12:AF13"/>
    <mergeCell ref="AG12:AS12"/>
    <mergeCell ref="A10:B10"/>
    <mergeCell ref="A58:B58"/>
    <mergeCell ref="A59:A61"/>
    <mergeCell ref="B59:B61"/>
    <mergeCell ref="E28:Q28"/>
    <mergeCell ref="S28:S29"/>
    <mergeCell ref="T28:AE28"/>
    <mergeCell ref="AF28:AF29"/>
    <mergeCell ref="AG28:AS28"/>
    <mergeCell ref="A27:A29"/>
    <mergeCell ref="B27:B29"/>
    <mergeCell ref="C27:C29"/>
    <mergeCell ref="D27:Q27"/>
    <mergeCell ref="R27:R29"/>
    <mergeCell ref="S27:AE27"/>
    <mergeCell ref="AF27:AS27"/>
    <mergeCell ref="A34:B34"/>
    <mergeCell ref="A35:A37"/>
    <mergeCell ref="B35:B37"/>
    <mergeCell ref="C35:C37"/>
    <mergeCell ref="T52:AE52"/>
    <mergeCell ref="R11:R13"/>
    <mergeCell ref="S11:AE11"/>
    <mergeCell ref="AF11:AS11"/>
    <mergeCell ref="BI19:BI21"/>
    <mergeCell ref="D20:D21"/>
    <mergeCell ref="E20:Q20"/>
    <mergeCell ref="S20:S21"/>
    <mergeCell ref="T20:AE20"/>
    <mergeCell ref="AF20:AF21"/>
    <mergeCell ref="AG20:AS20"/>
    <mergeCell ref="A74:B74"/>
    <mergeCell ref="A75:A77"/>
    <mergeCell ref="B75:B77"/>
    <mergeCell ref="C75:C77"/>
    <mergeCell ref="D75:Q75"/>
    <mergeCell ref="R75:R77"/>
    <mergeCell ref="S75:AE75"/>
    <mergeCell ref="AF75:AS75"/>
    <mergeCell ref="AT75:BF76"/>
    <mergeCell ref="BG75:BG77"/>
    <mergeCell ref="BH75:BH77"/>
    <mergeCell ref="BI75:BI77"/>
    <mergeCell ref="D76:D77"/>
    <mergeCell ref="E76:Q76"/>
    <mergeCell ref="S76:S77"/>
    <mergeCell ref="T76:AE76"/>
    <mergeCell ref="BI27:BI29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1:FC533"/>
  <sheetViews>
    <sheetView topLeftCell="AK253" zoomScale="80" zoomScaleNormal="80" zoomScaleSheetLayoutView="120" workbookViewId="0">
      <selection activeCell="BK86" sqref="BK86"/>
    </sheetView>
  </sheetViews>
  <sheetFormatPr defaultRowHeight="15" x14ac:dyDescent="0.2"/>
  <cols>
    <col min="1" max="1" width="6.5" style="1" customWidth="1"/>
    <col min="2" max="2" width="71.83203125" style="143" customWidth="1"/>
    <col min="3" max="3" width="8.6640625" customWidth="1"/>
    <col min="4" max="4" width="12" style="4" customWidth="1"/>
    <col min="5" max="5" width="11.6640625" style="468" customWidth="1"/>
    <col min="6" max="6" width="11.6640625" style="4" customWidth="1"/>
    <col min="7" max="7" width="11.6640625" style="401" customWidth="1"/>
    <col min="8" max="8" width="11.6640625" style="4" customWidth="1"/>
    <col min="9" max="9" width="11.6640625" style="468" customWidth="1"/>
    <col min="10" max="22" width="11.6640625" style="4" customWidth="1"/>
    <col min="23" max="23" width="11.6640625" style="15" customWidth="1"/>
    <col min="24" max="24" width="11.6640625" style="1" customWidth="1"/>
    <col min="25" max="25" width="18" customWidth="1"/>
    <col min="26" max="26" width="16.1640625" style="1003" customWidth="1"/>
    <col min="27" max="43" width="16.1640625" customWidth="1"/>
    <col min="44" max="44" width="22.1640625" customWidth="1"/>
    <col min="45" max="45" width="22.33203125" style="1356" customWidth="1"/>
    <col min="46" max="46" width="21.83203125" customWidth="1"/>
    <col min="47" max="47" width="20.5" customWidth="1"/>
    <col min="48" max="48" width="20" customWidth="1"/>
    <col min="49" max="49" width="21.5" customWidth="1"/>
    <col min="50" max="50" width="19.6640625" customWidth="1"/>
    <col min="51" max="51" width="23.1640625" customWidth="1"/>
    <col min="52" max="52" width="19" customWidth="1"/>
    <col min="53" max="53" width="17.83203125" customWidth="1"/>
    <col min="54" max="54" width="20.1640625" customWidth="1"/>
    <col min="55" max="55" width="18.33203125" customWidth="1"/>
    <col min="56" max="62" width="19.5" customWidth="1"/>
    <col min="63" max="63" width="21.33203125" style="13" customWidth="1"/>
    <col min="64" max="64" width="20.1640625" customWidth="1"/>
    <col min="65" max="65" width="23.33203125" customWidth="1"/>
    <col min="66" max="66" width="21" customWidth="1"/>
    <col min="67" max="67" width="17.83203125" style="1364" customWidth="1"/>
    <col min="68" max="68" width="18.83203125" customWidth="1"/>
    <col min="69" max="69" width="20.1640625" customWidth="1"/>
    <col min="70" max="70" width="20.6640625" customWidth="1"/>
    <col min="71" max="71" width="19.6640625" customWidth="1"/>
    <col min="72" max="72" width="17.6640625" customWidth="1"/>
    <col min="73" max="73" width="19" customWidth="1"/>
    <col min="74" max="74" width="25.33203125" customWidth="1"/>
    <col min="75" max="75" width="19.33203125" customWidth="1"/>
    <col min="76" max="76" width="20.83203125" style="12" customWidth="1"/>
    <col min="77" max="77" width="19.5" style="13" customWidth="1"/>
    <col min="78" max="78" width="21.83203125" style="14" customWidth="1"/>
    <col min="79" max="79" width="23" style="14" customWidth="1"/>
    <col min="80" max="80" width="28.33203125" style="13" customWidth="1"/>
    <col min="81" max="81" width="17.5" style="1014" customWidth="1"/>
    <col min="82" max="82" width="17.5" style="1015" customWidth="1"/>
    <col min="83" max="83" width="17.5" style="3" customWidth="1"/>
    <col min="84" max="84" width="17.5" style="172" customWidth="1"/>
    <col min="85" max="85" width="17.5" style="426" customWidth="1"/>
    <col min="86" max="88" width="17.5" style="172" customWidth="1"/>
    <col min="89" max="89" width="17.5" style="426" customWidth="1"/>
    <col min="90" max="92" width="17.5" style="172" customWidth="1"/>
    <col min="93" max="93" width="17.5" style="426" customWidth="1"/>
    <col min="94" max="102" width="17.5" style="172" customWidth="1"/>
    <col min="103" max="103" width="17.5" style="426" customWidth="1"/>
    <col min="104" max="106" width="17.5" style="172" customWidth="1"/>
    <col min="107" max="107" width="17.5" style="426" customWidth="1"/>
    <col min="108" max="110" width="17.5" style="172" customWidth="1"/>
    <col min="111" max="111" width="17.5" style="426" customWidth="1"/>
    <col min="112" max="121" width="17.5" style="172" customWidth="1"/>
    <col min="122" max="122" width="23.5" style="172" customWidth="1"/>
    <col min="123" max="123" width="14.33203125" style="172" customWidth="1"/>
    <col min="124" max="124" width="3.6640625" style="172" customWidth="1"/>
    <col min="125" max="125" width="11.33203125" style="426" customWidth="1"/>
    <col min="126" max="126" width="4" style="172" customWidth="1"/>
    <col min="127" max="127" width="14.33203125" style="172" customWidth="1"/>
    <col min="128" max="128" width="19" style="416" bestFit="1" customWidth="1"/>
    <col min="129" max="129" width="9.33203125" style="3"/>
    <col min="130" max="130" width="28.1640625" style="3" customWidth="1"/>
    <col min="131" max="131" width="24.6640625" style="3" customWidth="1"/>
    <col min="132" max="140" width="9.33203125" style="3"/>
  </cols>
  <sheetData>
    <row r="1" spans="1:157" s="262" customFormat="1" ht="24.75" customHeight="1" x14ac:dyDescent="0.2">
      <c r="A1" s="1754" t="s">
        <v>8</v>
      </c>
      <c r="B1" s="1755"/>
      <c r="C1" s="244" t="s">
        <v>154</v>
      </c>
      <c r="D1" s="245"/>
      <c r="E1" s="462"/>
      <c r="F1" s="245"/>
      <c r="G1" s="292"/>
      <c r="H1" s="245"/>
      <c r="I1" s="462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994"/>
      <c r="AA1" s="246"/>
      <c r="AB1" s="246"/>
      <c r="AC1" s="246"/>
      <c r="AD1" s="246"/>
      <c r="AE1" s="246"/>
      <c r="AF1" s="246"/>
      <c r="AG1" s="991">
        <f>12*50000+32*100000</f>
        <v>3800000</v>
      </c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5"/>
      <c r="AS1" s="1350"/>
      <c r="AT1" s="246"/>
      <c r="AU1" s="246"/>
      <c r="AV1" s="246"/>
      <c r="AW1" s="246"/>
      <c r="AX1" s="246"/>
      <c r="AY1" s="246"/>
      <c r="AZ1" s="246"/>
      <c r="BA1" s="246"/>
      <c r="BB1" s="246"/>
      <c r="BC1" s="246"/>
      <c r="BD1" s="246"/>
      <c r="BE1" s="246"/>
      <c r="BF1" s="246"/>
      <c r="BG1" s="246"/>
      <c r="BH1" s="246"/>
      <c r="BI1" s="246"/>
      <c r="BJ1" s="246"/>
      <c r="BK1" s="247"/>
      <c r="BL1" s="1005">
        <f>SUM(BC20:BC29)</f>
        <v>0</v>
      </c>
      <c r="BM1" s="246"/>
      <c r="BN1" s="246"/>
      <c r="BO1" s="1359"/>
      <c r="BP1" s="246"/>
      <c r="BQ1" s="246"/>
      <c r="BR1" s="246"/>
      <c r="BS1" s="246"/>
      <c r="BT1" s="246"/>
      <c r="BU1" s="246"/>
      <c r="BV1" s="246"/>
      <c r="BW1" s="246"/>
      <c r="BX1" s="388"/>
      <c r="BY1" s="247"/>
      <c r="BZ1" s="243"/>
      <c r="CA1" s="248"/>
      <c r="CB1" s="245"/>
      <c r="CC1" s="1008"/>
      <c r="CD1" s="1008"/>
      <c r="CE1" s="246"/>
      <c r="CF1" s="292"/>
      <c r="CG1" s="418"/>
      <c r="CH1" s="292"/>
      <c r="CI1" s="249"/>
      <c r="CJ1" s="292"/>
      <c r="CK1" s="418"/>
      <c r="CL1" s="292"/>
      <c r="CM1" s="249"/>
      <c r="CN1" s="292"/>
      <c r="CO1" s="418"/>
      <c r="CP1" s="292"/>
      <c r="CQ1" s="249"/>
      <c r="CR1" s="249"/>
      <c r="CS1" s="249"/>
      <c r="CT1" s="249"/>
      <c r="CU1" s="249"/>
      <c r="CV1" s="249"/>
      <c r="CW1" s="249"/>
      <c r="CX1" s="249"/>
      <c r="CY1" s="418"/>
      <c r="CZ1" s="292"/>
      <c r="DA1" s="249"/>
      <c r="DB1" s="292"/>
      <c r="DC1" s="418"/>
      <c r="DD1" s="292"/>
      <c r="DE1" s="249"/>
      <c r="DF1" s="292"/>
      <c r="DG1" s="418"/>
      <c r="DH1" s="292"/>
      <c r="DI1" s="249"/>
      <c r="DJ1" s="292"/>
      <c r="DK1" s="292"/>
      <c r="DL1" s="292"/>
      <c r="DM1" s="292"/>
      <c r="DN1" s="292"/>
      <c r="DO1" s="292"/>
      <c r="DP1" s="292"/>
      <c r="DQ1" s="292"/>
      <c r="DR1" s="292"/>
      <c r="DS1" s="249"/>
      <c r="DT1" s="292"/>
      <c r="DU1" s="418"/>
      <c r="DV1" s="292"/>
      <c r="DW1" s="249"/>
      <c r="DX1" s="292"/>
      <c r="DY1" s="246"/>
      <c r="DZ1" s="246"/>
      <c r="EA1" s="246"/>
      <c r="EB1" s="246"/>
      <c r="EC1" s="247"/>
      <c r="ED1" s="247"/>
      <c r="EE1" s="247"/>
      <c r="EF1" s="243"/>
      <c r="EG1" s="248"/>
      <c r="EH1" s="247"/>
      <c r="EI1" s="247"/>
      <c r="EJ1" s="260"/>
      <c r="EK1" s="260"/>
      <c r="EL1" s="260"/>
      <c r="EM1" s="260"/>
      <c r="EN1" s="260"/>
      <c r="EO1" s="261"/>
      <c r="EP1" s="260"/>
      <c r="EQ1" s="260"/>
      <c r="ER1" s="260"/>
      <c r="ES1" s="260"/>
      <c r="ET1" s="260"/>
      <c r="EU1" s="260"/>
      <c r="EV1" s="260"/>
      <c r="EW1" s="260"/>
      <c r="EX1" s="260"/>
      <c r="EY1" s="260"/>
      <c r="EZ1" s="260"/>
      <c r="FA1" s="260"/>
    </row>
    <row r="2" spans="1:157" s="264" customFormat="1" ht="48.75" customHeight="1" x14ac:dyDescent="0.2">
      <c r="A2" s="1756" t="s">
        <v>10</v>
      </c>
      <c r="B2" s="1759" t="s">
        <v>11</v>
      </c>
      <c r="C2" s="1759" t="s">
        <v>22</v>
      </c>
      <c r="D2" s="1762" t="s">
        <v>12</v>
      </c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62"/>
      <c r="R2" s="1762"/>
      <c r="S2" s="1762"/>
      <c r="T2" s="1762"/>
      <c r="U2" s="1762"/>
      <c r="V2" s="1762"/>
      <c r="W2" s="1762"/>
      <c r="X2" s="1759" t="s">
        <v>20</v>
      </c>
      <c r="Y2" s="1763" t="s">
        <v>17</v>
      </c>
      <c r="Z2" s="1764"/>
      <c r="AA2" s="1764"/>
      <c r="AB2" s="1764"/>
      <c r="AC2" s="1764"/>
      <c r="AD2" s="1764"/>
      <c r="AE2" s="1764"/>
      <c r="AF2" s="1764"/>
      <c r="AG2" s="1764"/>
      <c r="AH2" s="1764"/>
      <c r="AI2" s="1764"/>
      <c r="AJ2" s="1764"/>
      <c r="AK2" s="1764"/>
      <c r="AL2" s="1178"/>
      <c r="AM2" s="1178"/>
      <c r="AN2" s="1178"/>
      <c r="AO2" s="1178"/>
      <c r="AP2" s="1178"/>
      <c r="AQ2" s="1178"/>
      <c r="AR2" s="1766" t="s">
        <v>6</v>
      </c>
      <c r="AS2" s="1766"/>
      <c r="AT2" s="1766"/>
      <c r="AU2" s="1766"/>
      <c r="AV2" s="1766"/>
      <c r="AW2" s="1766"/>
      <c r="AX2" s="1766"/>
      <c r="AY2" s="1766"/>
      <c r="AZ2" s="1766"/>
      <c r="BA2" s="1766"/>
      <c r="BB2" s="1766"/>
      <c r="BC2" s="1766"/>
      <c r="BD2" s="1766"/>
      <c r="BE2" s="1766"/>
      <c r="BF2" s="1766"/>
      <c r="BG2" s="1766"/>
      <c r="BH2" s="1766"/>
      <c r="BI2" s="1766"/>
      <c r="BJ2" s="1766"/>
      <c r="BK2" s="1766"/>
      <c r="BL2" s="1767" t="s">
        <v>41</v>
      </c>
      <c r="BM2" s="1768"/>
      <c r="BN2" s="1768"/>
      <c r="BO2" s="1768"/>
      <c r="BP2" s="1768"/>
      <c r="BQ2" s="1768"/>
      <c r="BR2" s="1768"/>
      <c r="BS2" s="1768"/>
      <c r="BT2" s="1768"/>
      <c r="BU2" s="1768"/>
      <c r="BV2" s="1768"/>
      <c r="BW2" s="1768"/>
      <c r="BX2" s="1769"/>
      <c r="BY2" s="1759" t="s">
        <v>38</v>
      </c>
      <c r="BZ2" s="1759" t="s">
        <v>256</v>
      </c>
      <c r="CA2" s="1746" t="s">
        <v>39</v>
      </c>
      <c r="CB2" s="243"/>
      <c r="CC2" s="135"/>
      <c r="CD2" s="135"/>
      <c r="CE2" s="135"/>
      <c r="CF2" s="135"/>
      <c r="CG2" s="1733" t="s">
        <v>41</v>
      </c>
      <c r="CH2" s="1734"/>
      <c r="CI2" s="1734"/>
      <c r="CJ2" s="1734"/>
      <c r="CK2" s="1734"/>
      <c r="CL2" s="1734"/>
      <c r="CM2" s="1734"/>
      <c r="CN2" s="1734"/>
      <c r="CO2" s="1734"/>
      <c r="CP2" s="1734"/>
      <c r="CQ2" s="1734"/>
      <c r="CR2" s="1734"/>
      <c r="CS2" s="1734"/>
      <c r="CT2" s="1734"/>
      <c r="CU2" s="1734"/>
      <c r="CV2" s="1734"/>
      <c r="CW2" s="1734"/>
      <c r="CX2" s="1734"/>
      <c r="CY2" s="1734"/>
      <c r="CZ2" s="1734"/>
      <c r="DA2" s="1734"/>
      <c r="DB2" s="1734"/>
      <c r="DC2" s="1734"/>
      <c r="DD2" s="1734"/>
      <c r="DE2" s="1734"/>
      <c r="DF2" s="1734"/>
      <c r="DG2" s="1734"/>
      <c r="DH2" s="1734"/>
      <c r="DI2" s="1734"/>
      <c r="DJ2" s="1734"/>
      <c r="DK2" s="1734"/>
      <c r="DL2" s="1734"/>
      <c r="DM2" s="1734"/>
      <c r="DN2" s="1734"/>
      <c r="DO2" s="1734"/>
      <c r="DP2" s="1734"/>
      <c r="DQ2" s="1734"/>
      <c r="DR2" s="1735"/>
      <c r="DS2" s="292"/>
      <c r="DT2" s="292"/>
      <c r="DU2" s="418"/>
      <c r="DV2" s="292"/>
      <c r="DW2" s="292"/>
      <c r="DX2" s="292"/>
      <c r="DY2" s="245"/>
      <c r="DZ2" s="245"/>
      <c r="EA2" s="245"/>
      <c r="EB2" s="245"/>
      <c r="EC2" s="245"/>
      <c r="ED2" s="245"/>
      <c r="EE2" s="245"/>
      <c r="EF2" s="245"/>
      <c r="EG2" s="245"/>
      <c r="EH2" s="263"/>
      <c r="EI2" s="263"/>
    </row>
    <row r="3" spans="1:157" s="264" customFormat="1" ht="48.75" customHeight="1" x14ac:dyDescent="0.2">
      <c r="A3" s="1757"/>
      <c r="B3" s="1760"/>
      <c r="C3" s="1760"/>
      <c r="D3" s="1749" t="s">
        <v>18</v>
      </c>
      <c r="E3" s="1751" t="s">
        <v>19</v>
      </c>
      <c r="F3" s="1752"/>
      <c r="G3" s="1752"/>
      <c r="H3" s="1752"/>
      <c r="I3" s="1752"/>
      <c r="J3" s="1752"/>
      <c r="K3" s="1752"/>
      <c r="L3" s="1752"/>
      <c r="M3" s="1752"/>
      <c r="N3" s="1752"/>
      <c r="O3" s="1752"/>
      <c r="P3" s="1752"/>
      <c r="Q3" s="1752"/>
      <c r="R3" s="1752"/>
      <c r="S3" s="1752"/>
      <c r="T3" s="1752"/>
      <c r="U3" s="1752"/>
      <c r="V3" s="1752"/>
      <c r="W3" s="1752"/>
      <c r="X3" s="1760"/>
      <c r="Y3" s="1749" t="s">
        <v>18</v>
      </c>
      <c r="Z3" s="1751" t="s">
        <v>19</v>
      </c>
      <c r="AA3" s="1752"/>
      <c r="AB3" s="1752"/>
      <c r="AC3" s="1752"/>
      <c r="AD3" s="1752"/>
      <c r="AE3" s="1752"/>
      <c r="AF3" s="1752"/>
      <c r="AG3" s="1752"/>
      <c r="AH3" s="1752"/>
      <c r="AI3" s="1752"/>
      <c r="AJ3" s="1752"/>
      <c r="AK3" s="1752"/>
      <c r="AL3" s="1179"/>
      <c r="AM3" s="1179"/>
      <c r="AN3" s="1179"/>
      <c r="AO3" s="1179"/>
      <c r="AP3" s="1179"/>
      <c r="AQ3" s="1179"/>
      <c r="AR3" s="1749" t="s">
        <v>18</v>
      </c>
      <c r="AS3" s="1751" t="s">
        <v>19</v>
      </c>
      <c r="AT3" s="1752"/>
      <c r="AU3" s="1752"/>
      <c r="AV3" s="1752"/>
      <c r="AW3" s="1752"/>
      <c r="AX3" s="1752"/>
      <c r="AY3" s="1752"/>
      <c r="AZ3" s="1752"/>
      <c r="BA3" s="1752"/>
      <c r="BB3" s="1752"/>
      <c r="BC3" s="1752"/>
      <c r="BD3" s="1752"/>
      <c r="BE3" s="1752"/>
      <c r="BF3" s="1752"/>
      <c r="BG3" s="1752"/>
      <c r="BH3" s="1752"/>
      <c r="BI3" s="1752"/>
      <c r="BJ3" s="1752"/>
      <c r="BK3" s="1753"/>
      <c r="BL3" s="1770"/>
      <c r="BM3" s="1771"/>
      <c r="BN3" s="1771"/>
      <c r="BO3" s="1771"/>
      <c r="BP3" s="1771"/>
      <c r="BQ3" s="1771"/>
      <c r="BR3" s="1771"/>
      <c r="BS3" s="1771"/>
      <c r="BT3" s="1771"/>
      <c r="BU3" s="1771"/>
      <c r="BV3" s="1771"/>
      <c r="BW3" s="1771"/>
      <c r="BX3" s="1772"/>
      <c r="BY3" s="1760"/>
      <c r="BZ3" s="1760"/>
      <c r="CA3" s="1747"/>
      <c r="CB3" s="243"/>
      <c r="CC3" s="1736">
        <f>SUM(CC5/60)</f>
        <v>0</v>
      </c>
      <c r="CD3" s="1736"/>
      <c r="CE3" s="1736"/>
      <c r="CF3" s="23"/>
      <c r="CG3" s="1737" t="s">
        <v>686</v>
      </c>
      <c r="CH3" s="1738"/>
      <c r="CI3" s="1738"/>
      <c r="CJ3" s="1738"/>
      <c r="CK3" s="1738"/>
      <c r="CL3" s="1738"/>
      <c r="CM3" s="1738"/>
      <c r="CN3" s="1738"/>
      <c r="CO3" s="1738"/>
      <c r="CP3" s="1738"/>
      <c r="CQ3" s="1738"/>
      <c r="CR3" s="1738"/>
      <c r="CS3" s="1738"/>
      <c r="CT3" s="1738"/>
      <c r="CU3" s="1738"/>
      <c r="CV3" s="1738"/>
      <c r="CW3" s="1738"/>
      <c r="CX3" s="1738"/>
      <c r="CY3" s="1739"/>
      <c r="CZ3" s="1740" t="s">
        <v>687</v>
      </c>
      <c r="DA3" s="1741"/>
      <c r="DB3" s="1741"/>
      <c r="DC3" s="1741"/>
      <c r="DD3" s="1741"/>
      <c r="DE3" s="1741"/>
      <c r="DF3" s="1741"/>
      <c r="DG3" s="1741"/>
      <c r="DH3" s="1741"/>
      <c r="DI3" s="1741"/>
      <c r="DJ3" s="1741"/>
      <c r="DK3" s="1741"/>
      <c r="DL3" s="1741"/>
      <c r="DM3" s="1741"/>
      <c r="DN3" s="1741"/>
      <c r="DO3" s="1741"/>
      <c r="DP3" s="1741"/>
      <c r="DQ3" s="1741"/>
      <c r="DR3" s="1742"/>
      <c r="DS3" s="292"/>
      <c r="DT3" s="292"/>
      <c r="DU3" s="418"/>
      <c r="DV3" s="292"/>
      <c r="DW3" s="292"/>
      <c r="DX3" s="292"/>
      <c r="DY3" s="245"/>
      <c r="DZ3" s="245"/>
      <c r="EA3" s="245"/>
      <c r="EB3" s="245"/>
      <c r="EC3" s="245"/>
      <c r="ED3" s="245"/>
      <c r="EE3" s="245"/>
      <c r="EF3" s="245"/>
      <c r="EG3" s="245"/>
      <c r="EH3" s="263"/>
      <c r="EI3" s="263"/>
    </row>
    <row r="4" spans="1:157" s="267" customFormat="1" ht="28.5" customHeight="1" x14ac:dyDescent="0.2">
      <c r="A4" s="1758"/>
      <c r="B4" s="1761"/>
      <c r="C4" s="1761"/>
      <c r="D4" s="1750"/>
      <c r="E4" s="1004">
        <v>1</v>
      </c>
      <c r="F4" s="265">
        <v>2</v>
      </c>
      <c r="G4" s="1006">
        <v>3</v>
      </c>
      <c r="H4" s="265">
        <v>4</v>
      </c>
      <c r="I4" s="265">
        <v>5</v>
      </c>
      <c r="J4" s="265">
        <v>6</v>
      </c>
      <c r="K4" s="265">
        <v>7</v>
      </c>
      <c r="L4" s="265">
        <v>8</v>
      </c>
      <c r="M4" s="265">
        <v>9</v>
      </c>
      <c r="N4" s="265">
        <v>10</v>
      </c>
      <c r="O4" s="265">
        <v>11</v>
      </c>
      <c r="P4" s="265">
        <v>12</v>
      </c>
      <c r="Q4" s="265">
        <v>13</v>
      </c>
      <c r="R4" s="265">
        <v>14</v>
      </c>
      <c r="S4" s="265">
        <v>15</v>
      </c>
      <c r="T4" s="265">
        <v>16</v>
      </c>
      <c r="U4" s="265">
        <v>17</v>
      </c>
      <c r="V4" s="265">
        <v>18</v>
      </c>
      <c r="W4" s="265" t="s">
        <v>21</v>
      </c>
      <c r="X4" s="1761"/>
      <c r="Y4" s="1750"/>
      <c r="Z4" s="1004">
        <v>1</v>
      </c>
      <c r="AA4" s="265">
        <v>2</v>
      </c>
      <c r="AB4" s="265">
        <v>3</v>
      </c>
      <c r="AC4" s="265">
        <v>4</v>
      </c>
      <c r="AD4" s="265">
        <v>5</v>
      </c>
      <c r="AE4" s="1004">
        <v>6</v>
      </c>
      <c r="AF4" s="265">
        <v>7</v>
      </c>
      <c r="AG4" s="265">
        <v>8</v>
      </c>
      <c r="AH4" s="265">
        <v>9</v>
      </c>
      <c r="AI4" s="265">
        <v>10</v>
      </c>
      <c r="AJ4" s="265">
        <v>11</v>
      </c>
      <c r="AK4" s="265">
        <v>12</v>
      </c>
      <c r="AL4" s="265">
        <v>13</v>
      </c>
      <c r="AM4" s="265">
        <v>14</v>
      </c>
      <c r="AN4" s="265">
        <v>15</v>
      </c>
      <c r="AO4" s="265">
        <v>16</v>
      </c>
      <c r="AP4" s="265">
        <v>17</v>
      </c>
      <c r="AQ4" s="265">
        <v>18</v>
      </c>
      <c r="AR4" s="1750"/>
      <c r="AS4" s="1368">
        <v>1</v>
      </c>
      <c r="AT4" s="265">
        <v>2</v>
      </c>
      <c r="AU4" s="265">
        <v>3</v>
      </c>
      <c r="AV4" s="265">
        <v>4</v>
      </c>
      <c r="AW4" s="265">
        <v>5</v>
      </c>
      <c r="AX4" s="265">
        <v>6</v>
      </c>
      <c r="AY4" s="265">
        <v>7</v>
      </c>
      <c r="AZ4" s="265">
        <v>8</v>
      </c>
      <c r="BA4" s="265">
        <v>9</v>
      </c>
      <c r="BB4" s="265">
        <v>10</v>
      </c>
      <c r="BC4" s="265">
        <v>11</v>
      </c>
      <c r="BD4" s="265">
        <v>12</v>
      </c>
      <c r="BE4" s="265">
        <v>13</v>
      </c>
      <c r="BF4" s="265">
        <v>14</v>
      </c>
      <c r="BG4" s="265">
        <v>15</v>
      </c>
      <c r="BH4" s="265">
        <v>16</v>
      </c>
      <c r="BI4" s="265">
        <v>17</v>
      </c>
      <c r="BJ4" s="265">
        <v>18</v>
      </c>
      <c r="BK4" s="265" t="s">
        <v>13</v>
      </c>
      <c r="BL4" s="266">
        <v>1</v>
      </c>
      <c r="BM4" s="266">
        <v>2</v>
      </c>
      <c r="BN4" s="266">
        <v>3</v>
      </c>
      <c r="BO4" s="266">
        <v>4</v>
      </c>
      <c r="BP4" s="266">
        <v>5</v>
      </c>
      <c r="BQ4" s="266">
        <v>6</v>
      </c>
      <c r="BR4" s="266">
        <v>7</v>
      </c>
      <c r="BS4" s="266">
        <v>8</v>
      </c>
      <c r="BT4" s="266">
        <v>9</v>
      </c>
      <c r="BU4" s="266">
        <v>10</v>
      </c>
      <c r="BV4" s="266">
        <v>11</v>
      </c>
      <c r="BW4" s="266">
        <v>12</v>
      </c>
      <c r="BX4" s="265" t="s">
        <v>13</v>
      </c>
      <c r="BY4" s="1761"/>
      <c r="BZ4" s="1761"/>
      <c r="CA4" s="1748"/>
      <c r="CC4" s="1743" t="s">
        <v>19</v>
      </c>
      <c r="CD4" s="1744"/>
      <c r="CE4" s="1745"/>
      <c r="CF4" s="621"/>
      <c r="CG4" s="173">
        <v>1</v>
      </c>
      <c r="CH4" s="173">
        <v>2</v>
      </c>
      <c r="CI4" s="173">
        <v>3</v>
      </c>
      <c r="CJ4" s="173">
        <v>4</v>
      </c>
      <c r="CK4" s="173">
        <v>5</v>
      </c>
      <c r="CL4" s="173">
        <v>6</v>
      </c>
      <c r="CM4" s="173">
        <v>7</v>
      </c>
      <c r="CN4" s="173">
        <v>8</v>
      </c>
      <c r="CO4" s="173">
        <v>9</v>
      </c>
      <c r="CP4" s="173">
        <v>10</v>
      </c>
      <c r="CQ4" s="173">
        <v>11</v>
      </c>
      <c r="CR4" s="173">
        <v>12</v>
      </c>
      <c r="CS4" s="173">
        <v>13</v>
      </c>
      <c r="CT4" s="173">
        <v>14</v>
      </c>
      <c r="CU4" s="173">
        <v>15</v>
      </c>
      <c r="CV4" s="173">
        <v>16</v>
      </c>
      <c r="CW4" s="173">
        <v>17</v>
      </c>
      <c r="CX4" s="173">
        <v>18</v>
      </c>
      <c r="CY4" s="26" t="s">
        <v>13</v>
      </c>
      <c r="CZ4" s="173">
        <v>1</v>
      </c>
      <c r="DA4" s="173">
        <v>2</v>
      </c>
      <c r="DB4" s="173">
        <v>3</v>
      </c>
      <c r="DC4" s="173">
        <v>4</v>
      </c>
      <c r="DD4" s="173">
        <v>5</v>
      </c>
      <c r="DE4" s="173">
        <v>6</v>
      </c>
      <c r="DF4" s="173">
        <v>7</v>
      </c>
      <c r="DG4" s="173">
        <v>8</v>
      </c>
      <c r="DH4" s="173">
        <v>9</v>
      </c>
      <c r="DI4" s="173">
        <v>10</v>
      </c>
      <c r="DJ4" s="173">
        <v>11</v>
      </c>
      <c r="DK4" s="173">
        <v>12</v>
      </c>
      <c r="DL4" s="173">
        <v>13</v>
      </c>
      <c r="DM4" s="173">
        <v>14</v>
      </c>
      <c r="DN4" s="173">
        <v>15</v>
      </c>
      <c r="DO4" s="173">
        <v>16</v>
      </c>
      <c r="DP4" s="173">
        <v>17</v>
      </c>
      <c r="DQ4" s="173">
        <v>18</v>
      </c>
      <c r="DR4" s="26" t="s">
        <v>13</v>
      </c>
      <c r="DS4" s="413"/>
      <c r="DT4" s="413"/>
      <c r="DU4" s="422"/>
      <c r="DV4" s="413"/>
      <c r="DW4" s="413"/>
      <c r="DX4" s="413"/>
      <c r="DY4" s="395"/>
      <c r="DZ4" s="395"/>
      <c r="EA4" s="395"/>
      <c r="EB4" s="395"/>
      <c r="EC4" s="395"/>
      <c r="ED4" s="395"/>
      <c r="EE4" s="395"/>
      <c r="EF4" s="395"/>
      <c r="EG4" s="395"/>
      <c r="EH4" s="395"/>
      <c r="EI4" s="395"/>
    </row>
    <row r="5" spans="1:157" s="278" customFormat="1" ht="24.75" customHeight="1" x14ac:dyDescent="0.2">
      <c r="A5" s="786">
        <v>1</v>
      </c>
      <c r="B5" s="141" t="s">
        <v>341</v>
      </c>
      <c r="C5" s="281" t="s">
        <v>25</v>
      </c>
      <c r="D5" s="568">
        <v>26</v>
      </c>
      <c r="E5" s="270"/>
      <c r="F5" s="342"/>
      <c r="G5" s="270"/>
      <c r="H5" s="342"/>
      <c r="I5" s="342"/>
      <c r="J5" s="342"/>
      <c r="K5" s="342"/>
      <c r="L5" s="342"/>
      <c r="M5" s="342">
        <v>17</v>
      </c>
      <c r="N5" s="342"/>
      <c r="O5" s="342"/>
      <c r="P5" s="1207"/>
      <c r="Q5" s="1207"/>
      <c r="R5" s="1207"/>
      <c r="S5" s="464">
        <v>9</v>
      </c>
      <c r="T5" s="1299"/>
      <c r="U5" s="1184"/>
      <c r="V5" s="1184"/>
      <c r="W5" s="840">
        <f>SUM(E5:V5)</f>
        <v>26</v>
      </c>
      <c r="X5" s="1019" t="s">
        <v>185</v>
      </c>
      <c r="Y5" s="556">
        <v>70000</v>
      </c>
      <c r="Z5" s="569"/>
      <c r="AA5" s="569"/>
      <c r="AB5" s="569"/>
      <c r="AC5" s="569"/>
      <c r="AD5" s="569"/>
      <c r="AE5" s="569"/>
      <c r="AF5" s="569"/>
      <c r="AG5" s="569"/>
      <c r="AH5" s="569">
        <v>58000</v>
      </c>
      <c r="AI5" s="569"/>
      <c r="AJ5" s="569"/>
      <c r="AK5" s="1234"/>
      <c r="AL5" s="1234"/>
      <c r="AM5" s="1234"/>
      <c r="AN5" s="1186">
        <v>65000</v>
      </c>
      <c r="AO5" s="1505"/>
      <c r="AP5" s="1186"/>
      <c r="AQ5" s="1186"/>
      <c r="AR5" s="570">
        <f>SUM(W5*Y5)</f>
        <v>1820000</v>
      </c>
      <c r="AS5" s="1199">
        <f t="shared" ref="AS5:AS29" si="0">Z5*E5</f>
        <v>0</v>
      </c>
      <c r="AT5" s="402">
        <f t="shared" ref="AT5:AT29" si="1">AA5*F5</f>
        <v>0</v>
      </c>
      <c r="AU5" s="402">
        <f t="shared" ref="AU5:AU29" si="2">AB5*G5</f>
        <v>0</v>
      </c>
      <c r="AV5" s="402">
        <f t="shared" ref="AV5:AV29" si="3">AC5*H5</f>
        <v>0</v>
      </c>
      <c r="AW5" s="402">
        <f t="shared" ref="AW5:AW29" si="4">AD5*I5</f>
        <v>0</v>
      </c>
      <c r="AX5" s="402">
        <f t="shared" ref="AX5:AX29" si="5">AE5*J5</f>
        <v>0</v>
      </c>
      <c r="AY5" s="402">
        <f t="shared" ref="AY5:AY29" si="6">AF5*K5</f>
        <v>0</v>
      </c>
      <c r="AZ5" s="402">
        <f t="shared" ref="AZ5:AZ29" si="7">AG5*L5</f>
        <v>0</v>
      </c>
      <c r="BA5" s="402">
        <f t="shared" ref="BA5:BA29" si="8">AH5*M5</f>
        <v>986000</v>
      </c>
      <c r="BB5" s="402">
        <f t="shared" ref="BB5:BB29" si="9">AI5*N5</f>
        <v>0</v>
      </c>
      <c r="BC5" s="1213">
        <f t="shared" ref="BC5:BC29" si="10">AJ5*O5</f>
        <v>0</v>
      </c>
      <c r="BD5" s="1213">
        <f t="shared" ref="BD5:BD29" si="11">AK5*P5</f>
        <v>0</v>
      </c>
      <c r="BE5" s="1188">
        <f t="shared" ref="BE5:BE29" si="12">AL5*Q5</f>
        <v>0</v>
      </c>
      <c r="BF5" s="1188">
        <f t="shared" ref="BF5:BJ20" si="13">AM5*R5</f>
        <v>0</v>
      </c>
      <c r="BG5" s="1188">
        <f t="shared" si="13"/>
        <v>585000</v>
      </c>
      <c r="BH5" s="1584">
        <f t="shared" si="13"/>
        <v>0</v>
      </c>
      <c r="BI5" s="1188">
        <f t="shared" si="13"/>
        <v>0</v>
      </c>
      <c r="BJ5" s="1188">
        <f t="shared" si="13"/>
        <v>0</v>
      </c>
      <c r="BK5" s="403">
        <f>SUM(AS5:BJ5)</f>
        <v>1571000</v>
      </c>
      <c r="BL5" s="402">
        <f>SUM(AS5*4%)</f>
        <v>0</v>
      </c>
      <c r="BM5" s="402">
        <f>SUM(AT5*3%)</f>
        <v>0</v>
      </c>
      <c r="BN5" s="402"/>
      <c r="BO5" s="1199"/>
      <c r="BP5" s="402">
        <f t="shared" ref="BP5:BW5" si="14">SUM(AW5*14%)</f>
        <v>0</v>
      </c>
      <c r="BQ5" s="402">
        <f t="shared" si="14"/>
        <v>0</v>
      </c>
      <c r="BR5" s="402">
        <f t="shared" si="14"/>
        <v>0</v>
      </c>
      <c r="BS5" s="402">
        <f t="shared" si="14"/>
        <v>0</v>
      </c>
      <c r="BT5" s="402">
        <f t="shared" si="14"/>
        <v>138040</v>
      </c>
      <c r="BU5" s="402">
        <f t="shared" si="14"/>
        <v>0</v>
      </c>
      <c r="BV5" s="1213">
        <f t="shared" si="14"/>
        <v>0</v>
      </c>
      <c r="BW5" s="1188">
        <f t="shared" si="14"/>
        <v>0</v>
      </c>
      <c r="BX5" s="344">
        <f>SUM(BL5:BW5)</f>
        <v>138040</v>
      </c>
      <c r="BY5" s="983">
        <f>AR5-BK5-BX5</f>
        <v>110960</v>
      </c>
      <c r="BZ5" s="274">
        <f t="shared" ref="BZ5:BZ40" si="15">Y5*D5</f>
        <v>1820000</v>
      </c>
      <c r="CA5" s="275">
        <f>BZ5-BK5-BX5</f>
        <v>110960</v>
      </c>
      <c r="CB5" s="571">
        <f t="shared" ref="CB5:CB18" si="16">SUM(W5/D5)</f>
        <v>1</v>
      </c>
      <c r="CC5" s="1081"/>
      <c r="CD5" s="1081"/>
      <c r="CE5" s="1083"/>
      <c r="CF5" s="1084"/>
      <c r="CG5" s="862"/>
      <c r="CH5" s="862"/>
      <c r="CI5" s="862"/>
      <c r="CJ5" s="862"/>
      <c r="CK5" s="862"/>
      <c r="CL5" s="862"/>
      <c r="CM5" s="862"/>
      <c r="CN5" s="862"/>
      <c r="CO5" s="862"/>
      <c r="CP5" s="862"/>
      <c r="CQ5" s="1128"/>
      <c r="CR5" s="862"/>
      <c r="CS5" s="1128"/>
      <c r="CT5" s="862"/>
      <c r="CU5" s="862"/>
      <c r="CV5" s="862"/>
      <c r="CW5" s="862"/>
      <c r="CX5" s="862"/>
      <c r="CY5" s="73">
        <f t="shared" ref="CY5:CY36" si="17">SUM(CG5:CX5)</f>
        <v>0</v>
      </c>
      <c r="CZ5" s="862"/>
      <c r="DA5" s="862"/>
      <c r="DB5" s="862"/>
      <c r="DC5" s="862"/>
      <c r="DD5" s="862"/>
      <c r="DE5" s="862"/>
      <c r="DF5" s="862"/>
      <c r="DG5" s="862"/>
      <c r="DH5" s="1081"/>
      <c r="DI5" s="862"/>
      <c r="DJ5" s="862"/>
      <c r="DK5" s="862"/>
      <c r="DL5" s="862"/>
      <c r="DM5" s="862"/>
      <c r="DN5" s="862"/>
      <c r="DO5" s="862"/>
      <c r="DP5" s="862"/>
      <c r="DQ5" s="862"/>
      <c r="DR5" s="73">
        <f t="shared" ref="DR5:DR36" si="18">SUM(CZ5:DQ5)</f>
        <v>0</v>
      </c>
      <c r="DS5" s="412"/>
      <c r="DT5" s="412"/>
      <c r="DU5" s="420"/>
      <c r="DV5" s="412"/>
      <c r="DW5" s="412"/>
      <c r="DX5" s="412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</row>
    <row r="6" spans="1:157" s="278" customFormat="1" ht="24.75" customHeight="1" x14ac:dyDescent="0.2">
      <c r="A6" s="786">
        <f>A5+1</f>
        <v>2</v>
      </c>
      <c r="B6" s="141" t="s">
        <v>155</v>
      </c>
      <c r="C6" s="281" t="s">
        <v>25</v>
      </c>
      <c r="D6" s="568">
        <v>9</v>
      </c>
      <c r="E6" s="270"/>
      <c r="F6" s="342"/>
      <c r="G6" s="270"/>
      <c r="H6" s="342"/>
      <c r="I6" s="342"/>
      <c r="J6" s="342"/>
      <c r="K6" s="342"/>
      <c r="L6" s="342"/>
      <c r="M6" s="342">
        <v>9</v>
      </c>
      <c r="N6" s="342"/>
      <c r="O6" s="342"/>
      <c r="P6" s="1207"/>
      <c r="Q6" s="1207"/>
      <c r="R6" s="1207"/>
      <c r="S6" s="464"/>
      <c r="T6" s="1299"/>
      <c r="U6" s="297"/>
      <c r="V6" s="1184"/>
      <c r="W6" s="840">
        <f t="shared" ref="W6:W69" si="19">SUM(E6:V6)</f>
        <v>9</v>
      </c>
      <c r="X6" s="1019" t="s">
        <v>130</v>
      </c>
      <c r="Y6" s="556">
        <v>124900</v>
      </c>
      <c r="Z6" s="569"/>
      <c r="AA6" s="569"/>
      <c r="AB6" s="569"/>
      <c r="AC6" s="569"/>
      <c r="AD6" s="569"/>
      <c r="AE6" s="569"/>
      <c r="AF6" s="569"/>
      <c r="AG6" s="569"/>
      <c r="AH6" s="569">
        <v>110000</v>
      </c>
      <c r="AI6" s="569"/>
      <c r="AJ6" s="569"/>
      <c r="AK6" s="1234"/>
      <c r="AL6" s="1234"/>
      <c r="AM6" s="1234"/>
      <c r="AN6" s="1186"/>
      <c r="AO6" s="1505"/>
      <c r="AP6" s="1186"/>
      <c r="AQ6" s="1186"/>
      <c r="AR6" s="570">
        <f t="shared" ref="AR6:AR84" si="20">SUM(W6*Y6)</f>
        <v>1124100</v>
      </c>
      <c r="AS6" s="1199">
        <f t="shared" si="0"/>
        <v>0</v>
      </c>
      <c r="AT6" s="402">
        <f t="shared" si="1"/>
        <v>0</v>
      </c>
      <c r="AU6" s="402">
        <f t="shared" si="2"/>
        <v>0</v>
      </c>
      <c r="AV6" s="402">
        <f t="shared" si="3"/>
        <v>0</v>
      </c>
      <c r="AW6" s="402">
        <f t="shared" si="4"/>
        <v>0</v>
      </c>
      <c r="AX6" s="402">
        <f t="shared" si="5"/>
        <v>0</v>
      </c>
      <c r="AY6" s="402">
        <f t="shared" si="6"/>
        <v>0</v>
      </c>
      <c r="AZ6" s="402">
        <f t="shared" si="7"/>
        <v>0</v>
      </c>
      <c r="BA6" s="402">
        <f t="shared" si="8"/>
        <v>990000</v>
      </c>
      <c r="BB6" s="402">
        <f t="shared" si="9"/>
        <v>0</v>
      </c>
      <c r="BC6" s="1213">
        <f t="shared" si="10"/>
        <v>0</v>
      </c>
      <c r="BD6" s="1213">
        <f t="shared" si="11"/>
        <v>0</v>
      </c>
      <c r="BE6" s="1188">
        <f t="shared" si="12"/>
        <v>0</v>
      </c>
      <c r="BF6" s="1188">
        <f t="shared" si="13"/>
        <v>0</v>
      </c>
      <c r="BG6" s="1188">
        <f t="shared" si="13"/>
        <v>0</v>
      </c>
      <c r="BH6" s="1584">
        <f t="shared" si="13"/>
        <v>0</v>
      </c>
      <c r="BI6" s="1188">
        <f t="shared" si="13"/>
        <v>0</v>
      </c>
      <c r="BJ6" s="1188">
        <f t="shared" si="13"/>
        <v>0</v>
      </c>
      <c r="BK6" s="403">
        <f t="shared" ref="BK6:BK69" si="21">SUM(AS6:BJ6)</f>
        <v>990000</v>
      </c>
      <c r="BL6" s="402">
        <f>SUM(AS6*4%)</f>
        <v>0</v>
      </c>
      <c r="BM6" s="402">
        <f t="shared" ref="BM6:BM17" si="22">SUM(AT6*3%)</f>
        <v>0</v>
      </c>
      <c r="BN6" s="402">
        <f>SUM(AU6*3%)</f>
        <v>0</v>
      </c>
      <c r="BO6" s="1199">
        <f t="shared" ref="BO6:BQ12" si="23">SUM(AV6*14%)</f>
        <v>0</v>
      </c>
      <c r="BP6" s="402">
        <f t="shared" si="23"/>
        <v>0</v>
      </c>
      <c r="BQ6" s="402">
        <f t="shared" si="23"/>
        <v>0</v>
      </c>
      <c r="BR6" s="402"/>
      <c r="BS6" s="402">
        <v>0</v>
      </c>
      <c r="BT6" s="402">
        <v>134100</v>
      </c>
      <c r="BU6" s="402">
        <f t="shared" ref="BT6:BW9" si="24">SUM(BB6*14%)</f>
        <v>0</v>
      </c>
      <c r="BV6" s="1213">
        <f t="shared" si="24"/>
        <v>0</v>
      </c>
      <c r="BW6" s="1188">
        <f t="shared" si="24"/>
        <v>0</v>
      </c>
      <c r="BX6" s="344">
        <f t="shared" ref="BX6:BX84" si="25">SUM(BL6:BW6)</f>
        <v>134100</v>
      </c>
      <c r="BY6" s="983">
        <f>AR6-BK6-BX6</f>
        <v>0</v>
      </c>
      <c r="BZ6" s="274">
        <f t="shared" si="15"/>
        <v>1124100</v>
      </c>
      <c r="CA6" s="275">
        <f t="shared" ref="CA6:CA81" si="26">BZ6-BK6-BX6</f>
        <v>0</v>
      </c>
      <c r="CB6" s="571">
        <f t="shared" si="16"/>
        <v>1</v>
      </c>
      <c r="CC6" s="1081"/>
      <c r="CD6" s="1081"/>
      <c r="CE6" s="1083"/>
      <c r="CF6" s="1084"/>
      <c r="CG6" s="862"/>
      <c r="CH6" s="862"/>
      <c r="CI6" s="862"/>
      <c r="CJ6" s="862"/>
      <c r="CK6" s="862"/>
      <c r="CL6" s="862"/>
      <c r="CM6" s="862"/>
      <c r="CN6" s="862"/>
      <c r="CO6" s="862"/>
      <c r="CP6" s="862"/>
      <c r="CQ6" s="1128"/>
      <c r="CR6" s="862"/>
      <c r="CS6" s="1128"/>
      <c r="CT6" s="862"/>
      <c r="CU6" s="862"/>
      <c r="CV6" s="862"/>
      <c r="CW6" s="862"/>
      <c r="CX6" s="862"/>
      <c r="CY6" s="73">
        <f t="shared" si="17"/>
        <v>0</v>
      </c>
      <c r="CZ6" s="862"/>
      <c r="DA6" s="862"/>
      <c r="DB6" s="862"/>
      <c r="DC6" s="862"/>
      <c r="DD6" s="862"/>
      <c r="DE6" s="862"/>
      <c r="DF6" s="862"/>
      <c r="DG6" s="862"/>
      <c r="DH6" s="1081"/>
      <c r="DI6" s="862"/>
      <c r="DJ6" s="862"/>
      <c r="DK6" s="862"/>
      <c r="DL6" s="862"/>
      <c r="DM6" s="862"/>
      <c r="DN6" s="862"/>
      <c r="DO6" s="862"/>
      <c r="DP6" s="862"/>
      <c r="DQ6" s="862"/>
      <c r="DR6" s="73">
        <f t="shared" si="18"/>
        <v>0</v>
      </c>
      <c r="DS6" s="412"/>
      <c r="DT6" s="412"/>
      <c r="DU6" s="420"/>
      <c r="DV6" s="412"/>
      <c r="DW6" s="412"/>
      <c r="DX6" s="412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</row>
    <row r="7" spans="1:157" s="278" customFormat="1" ht="24.75" customHeight="1" x14ac:dyDescent="0.2">
      <c r="A7" s="786">
        <f t="shared" ref="A7:A84" si="27">A6+1</f>
        <v>3</v>
      </c>
      <c r="B7" s="141" t="s">
        <v>156</v>
      </c>
      <c r="C7" s="281" t="s">
        <v>25</v>
      </c>
      <c r="D7" s="568">
        <v>4</v>
      </c>
      <c r="E7" s="270"/>
      <c r="F7" s="342"/>
      <c r="G7" s="270"/>
      <c r="H7" s="342"/>
      <c r="I7" s="342"/>
      <c r="J7" s="342"/>
      <c r="K7" s="342"/>
      <c r="L7" s="342"/>
      <c r="M7" s="342">
        <v>4</v>
      </c>
      <c r="N7" s="342"/>
      <c r="O7" s="342"/>
      <c r="P7" s="1207"/>
      <c r="Q7" s="1207"/>
      <c r="R7" s="1207"/>
      <c r="S7" s="464"/>
      <c r="T7" s="1299"/>
      <c r="U7" s="1184"/>
      <c r="V7" s="1184"/>
      <c r="W7" s="840">
        <f t="shared" si="19"/>
        <v>4</v>
      </c>
      <c r="X7" s="1019" t="s">
        <v>130</v>
      </c>
      <c r="Y7" s="556">
        <v>153200</v>
      </c>
      <c r="Z7" s="569"/>
      <c r="AA7" s="569"/>
      <c r="AB7" s="569"/>
      <c r="AC7" s="569"/>
      <c r="AD7" s="569"/>
      <c r="AE7" s="569"/>
      <c r="AF7" s="569"/>
      <c r="AG7" s="569"/>
      <c r="AH7" s="569">
        <v>110000</v>
      </c>
      <c r="AI7" s="569"/>
      <c r="AJ7" s="569"/>
      <c r="AK7" s="1234"/>
      <c r="AL7" s="1234"/>
      <c r="AM7" s="1234"/>
      <c r="AN7" s="1186"/>
      <c r="AO7" s="1505"/>
      <c r="AP7" s="1186"/>
      <c r="AQ7" s="1186"/>
      <c r="AR7" s="570">
        <f t="shared" si="20"/>
        <v>612800</v>
      </c>
      <c r="AS7" s="1199">
        <f t="shared" si="0"/>
        <v>0</v>
      </c>
      <c r="AT7" s="402">
        <f t="shared" si="1"/>
        <v>0</v>
      </c>
      <c r="AU7" s="402">
        <f t="shared" si="2"/>
        <v>0</v>
      </c>
      <c r="AV7" s="402">
        <f t="shared" si="3"/>
        <v>0</v>
      </c>
      <c r="AW7" s="402">
        <f t="shared" si="4"/>
        <v>0</v>
      </c>
      <c r="AX7" s="402">
        <f t="shared" si="5"/>
        <v>0</v>
      </c>
      <c r="AY7" s="402">
        <f t="shared" si="6"/>
        <v>0</v>
      </c>
      <c r="AZ7" s="402">
        <f t="shared" si="7"/>
        <v>0</v>
      </c>
      <c r="BA7" s="402">
        <f t="shared" si="8"/>
        <v>440000</v>
      </c>
      <c r="BB7" s="402">
        <f t="shared" si="9"/>
        <v>0</v>
      </c>
      <c r="BC7" s="1213">
        <f t="shared" si="10"/>
        <v>0</v>
      </c>
      <c r="BD7" s="1213">
        <f t="shared" si="11"/>
        <v>0</v>
      </c>
      <c r="BE7" s="1188">
        <f t="shared" si="12"/>
        <v>0</v>
      </c>
      <c r="BF7" s="1188">
        <f t="shared" si="13"/>
        <v>0</v>
      </c>
      <c r="BG7" s="1188">
        <f t="shared" si="13"/>
        <v>0</v>
      </c>
      <c r="BH7" s="1584">
        <f t="shared" si="13"/>
        <v>0</v>
      </c>
      <c r="BI7" s="1188">
        <f t="shared" si="13"/>
        <v>0</v>
      </c>
      <c r="BJ7" s="1188">
        <f t="shared" si="13"/>
        <v>0</v>
      </c>
      <c r="BK7" s="403">
        <f t="shared" si="21"/>
        <v>440000</v>
      </c>
      <c r="BL7" s="402">
        <f>SUM(AS7*4%)</f>
        <v>0</v>
      </c>
      <c r="BM7" s="402">
        <f t="shared" si="22"/>
        <v>0</v>
      </c>
      <c r="BN7" s="402">
        <f>SUM(AU7*3%)</f>
        <v>0</v>
      </c>
      <c r="BO7" s="1199">
        <f t="shared" si="23"/>
        <v>0</v>
      </c>
      <c r="BP7" s="402">
        <f t="shared" si="23"/>
        <v>0</v>
      </c>
      <c r="BQ7" s="402">
        <f t="shared" si="23"/>
        <v>0</v>
      </c>
      <c r="BR7" s="402"/>
      <c r="BS7" s="402">
        <f t="shared" ref="BS7:BS17" si="28">SUM(AZ7*14%)</f>
        <v>0</v>
      </c>
      <c r="BT7" s="402">
        <f t="shared" si="24"/>
        <v>61600.000000000007</v>
      </c>
      <c r="BU7" s="402">
        <f t="shared" si="24"/>
        <v>0</v>
      </c>
      <c r="BV7" s="1213">
        <f t="shared" si="24"/>
        <v>0</v>
      </c>
      <c r="BW7" s="1188">
        <f t="shared" si="24"/>
        <v>0</v>
      </c>
      <c r="BX7" s="344">
        <f t="shared" si="25"/>
        <v>61600.000000000007</v>
      </c>
      <c r="BY7" s="983">
        <f t="shared" ref="BY7:BY81" si="29">AR7-BK7-BX7</f>
        <v>111200</v>
      </c>
      <c r="BZ7" s="274">
        <f t="shared" si="15"/>
        <v>612800</v>
      </c>
      <c r="CA7" s="275">
        <f t="shared" si="26"/>
        <v>111200</v>
      </c>
      <c r="CB7" s="571">
        <f t="shared" si="16"/>
        <v>1</v>
      </c>
      <c r="CC7" s="1081"/>
      <c r="CD7" s="1081"/>
      <c r="CE7" s="1083"/>
      <c r="CF7" s="1084"/>
      <c r="CG7" s="862"/>
      <c r="CH7" s="862"/>
      <c r="CI7" s="862"/>
      <c r="CJ7" s="862"/>
      <c r="CK7" s="862"/>
      <c r="CL7" s="862"/>
      <c r="CM7" s="862"/>
      <c r="CN7" s="862"/>
      <c r="CO7" s="862"/>
      <c r="CP7" s="862"/>
      <c r="CQ7" s="1128"/>
      <c r="CR7" s="862"/>
      <c r="CS7" s="1128"/>
      <c r="CT7" s="862"/>
      <c r="CU7" s="862"/>
      <c r="CV7" s="862"/>
      <c r="CW7" s="862"/>
      <c r="CX7" s="862"/>
      <c r="CY7" s="73">
        <f t="shared" si="17"/>
        <v>0</v>
      </c>
      <c r="CZ7" s="862"/>
      <c r="DA7" s="862"/>
      <c r="DB7" s="862"/>
      <c r="DC7" s="862"/>
      <c r="DD7" s="862"/>
      <c r="DE7" s="862"/>
      <c r="DF7" s="862"/>
      <c r="DG7" s="862"/>
      <c r="DH7" s="1081"/>
      <c r="DI7" s="862"/>
      <c r="DJ7" s="862"/>
      <c r="DK7" s="862"/>
      <c r="DL7" s="862"/>
      <c r="DM7" s="862"/>
      <c r="DN7" s="862"/>
      <c r="DO7" s="862"/>
      <c r="DP7" s="862"/>
      <c r="DQ7" s="862"/>
      <c r="DR7" s="73">
        <f t="shared" si="18"/>
        <v>0</v>
      </c>
      <c r="DS7" s="412"/>
      <c r="DT7" s="412"/>
      <c r="DU7" s="420"/>
      <c r="DV7" s="412"/>
      <c r="DW7" s="412"/>
      <c r="DX7" s="412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</row>
    <row r="8" spans="1:157" s="278" customFormat="1" ht="24.75" customHeight="1" x14ac:dyDescent="0.2">
      <c r="A8" s="786">
        <f t="shared" si="27"/>
        <v>4</v>
      </c>
      <c r="B8" s="141" t="s">
        <v>157</v>
      </c>
      <c r="C8" s="281" t="s">
        <v>25</v>
      </c>
      <c r="D8" s="568">
        <v>4</v>
      </c>
      <c r="E8" s="270"/>
      <c r="F8" s="342"/>
      <c r="G8" s="270"/>
      <c r="H8" s="342"/>
      <c r="I8" s="342"/>
      <c r="J8" s="342"/>
      <c r="K8" s="342"/>
      <c r="L8" s="342"/>
      <c r="M8" s="342">
        <v>4</v>
      </c>
      <c r="N8" s="342"/>
      <c r="O8" s="342"/>
      <c r="P8" s="1207"/>
      <c r="Q8" s="1207"/>
      <c r="R8" s="1207"/>
      <c r="S8" s="464"/>
      <c r="T8" s="1299"/>
      <c r="U8" s="1184"/>
      <c r="V8" s="1184"/>
      <c r="W8" s="840">
        <f t="shared" si="19"/>
        <v>4</v>
      </c>
      <c r="X8" s="1019" t="s">
        <v>130</v>
      </c>
      <c r="Y8" s="556">
        <v>153200</v>
      </c>
      <c r="Z8" s="569"/>
      <c r="AA8" s="569"/>
      <c r="AB8" s="569"/>
      <c r="AC8" s="569"/>
      <c r="AD8" s="569"/>
      <c r="AE8" s="569"/>
      <c r="AF8" s="569"/>
      <c r="AG8" s="569"/>
      <c r="AH8" s="569">
        <v>110000</v>
      </c>
      <c r="AI8" s="569"/>
      <c r="AJ8" s="569"/>
      <c r="AK8" s="1234"/>
      <c r="AL8" s="1234"/>
      <c r="AM8" s="1234"/>
      <c r="AN8" s="1186"/>
      <c r="AO8" s="1505"/>
      <c r="AP8" s="1186"/>
      <c r="AQ8" s="1186"/>
      <c r="AR8" s="570">
        <f t="shared" si="20"/>
        <v>612800</v>
      </c>
      <c r="AS8" s="1199">
        <f t="shared" si="0"/>
        <v>0</v>
      </c>
      <c r="AT8" s="402">
        <f t="shared" si="1"/>
        <v>0</v>
      </c>
      <c r="AU8" s="402">
        <f t="shared" si="2"/>
        <v>0</v>
      </c>
      <c r="AV8" s="402">
        <f t="shared" si="3"/>
        <v>0</v>
      </c>
      <c r="AW8" s="402">
        <f t="shared" si="4"/>
        <v>0</v>
      </c>
      <c r="AX8" s="402">
        <f t="shared" si="5"/>
        <v>0</v>
      </c>
      <c r="AY8" s="402">
        <f t="shared" si="6"/>
        <v>0</v>
      </c>
      <c r="AZ8" s="402">
        <f t="shared" si="7"/>
        <v>0</v>
      </c>
      <c r="BA8" s="402">
        <f t="shared" si="8"/>
        <v>440000</v>
      </c>
      <c r="BB8" s="402">
        <f t="shared" si="9"/>
        <v>0</v>
      </c>
      <c r="BC8" s="1213">
        <f t="shared" si="10"/>
        <v>0</v>
      </c>
      <c r="BD8" s="1213">
        <f t="shared" si="11"/>
        <v>0</v>
      </c>
      <c r="BE8" s="1188">
        <f t="shared" si="12"/>
        <v>0</v>
      </c>
      <c r="BF8" s="1188">
        <f t="shared" si="13"/>
        <v>0</v>
      </c>
      <c r="BG8" s="1188">
        <f t="shared" si="13"/>
        <v>0</v>
      </c>
      <c r="BH8" s="1584">
        <f t="shared" si="13"/>
        <v>0</v>
      </c>
      <c r="BI8" s="1188">
        <f t="shared" si="13"/>
        <v>0</v>
      </c>
      <c r="BJ8" s="1188">
        <f t="shared" si="13"/>
        <v>0</v>
      </c>
      <c r="BK8" s="403">
        <f t="shared" si="21"/>
        <v>440000</v>
      </c>
      <c r="BL8" s="402">
        <f>SUM(AS8*14%)</f>
        <v>0</v>
      </c>
      <c r="BM8" s="402">
        <f t="shared" si="22"/>
        <v>0</v>
      </c>
      <c r="BN8" s="402">
        <f>SUM(AU8*3%)</f>
        <v>0</v>
      </c>
      <c r="BO8" s="1199">
        <f t="shared" si="23"/>
        <v>0</v>
      </c>
      <c r="BP8" s="402">
        <f t="shared" si="23"/>
        <v>0</v>
      </c>
      <c r="BQ8" s="402">
        <f t="shared" si="23"/>
        <v>0</v>
      </c>
      <c r="BR8" s="402"/>
      <c r="BS8" s="402">
        <f t="shared" si="28"/>
        <v>0</v>
      </c>
      <c r="BT8" s="402">
        <f t="shared" si="24"/>
        <v>61600.000000000007</v>
      </c>
      <c r="BU8" s="402">
        <f t="shared" si="24"/>
        <v>0</v>
      </c>
      <c r="BV8" s="1213">
        <f t="shared" si="24"/>
        <v>0</v>
      </c>
      <c r="BW8" s="1188">
        <f t="shared" si="24"/>
        <v>0</v>
      </c>
      <c r="BX8" s="344">
        <f t="shared" si="25"/>
        <v>61600.000000000007</v>
      </c>
      <c r="BY8" s="983">
        <f t="shared" si="29"/>
        <v>111200</v>
      </c>
      <c r="BZ8" s="274">
        <f t="shared" si="15"/>
        <v>612800</v>
      </c>
      <c r="CA8" s="275">
        <f t="shared" si="26"/>
        <v>111200</v>
      </c>
      <c r="CB8" s="571">
        <f t="shared" si="16"/>
        <v>1</v>
      </c>
      <c r="CC8" s="1081"/>
      <c r="CD8" s="1081"/>
      <c r="CE8" s="1083"/>
      <c r="CF8" s="1084"/>
      <c r="CG8" s="862"/>
      <c r="CH8" s="862"/>
      <c r="CI8" s="862"/>
      <c r="CJ8" s="862"/>
      <c r="CK8" s="862"/>
      <c r="CL8" s="862"/>
      <c r="CM8" s="862"/>
      <c r="CN8" s="862"/>
      <c r="CO8" s="862"/>
      <c r="CP8" s="862"/>
      <c r="CQ8" s="1128"/>
      <c r="CR8" s="862"/>
      <c r="CS8" s="1128"/>
      <c r="CT8" s="862"/>
      <c r="CU8" s="862"/>
      <c r="CV8" s="862"/>
      <c r="CW8" s="862"/>
      <c r="CX8" s="862"/>
      <c r="CY8" s="73">
        <f t="shared" si="17"/>
        <v>0</v>
      </c>
      <c r="CZ8" s="862"/>
      <c r="DA8" s="862"/>
      <c r="DB8" s="862"/>
      <c r="DC8" s="862"/>
      <c r="DD8" s="862"/>
      <c r="DE8" s="862"/>
      <c r="DF8" s="862"/>
      <c r="DG8" s="862"/>
      <c r="DH8" s="1081"/>
      <c r="DI8" s="862"/>
      <c r="DJ8" s="862"/>
      <c r="DK8" s="862"/>
      <c r="DL8" s="862"/>
      <c r="DM8" s="862"/>
      <c r="DN8" s="862"/>
      <c r="DO8" s="862"/>
      <c r="DP8" s="862"/>
      <c r="DQ8" s="862"/>
      <c r="DR8" s="73">
        <f t="shared" si="18"/>
        <v>0</v>
      </c>
      <c r="DS8" s="412"/>
      <c r="DT8" s="412"/>
      <c r="DU8" s="420"/>
      <c r="DV8" s="412"/>
      <c r="DW8" s="412"/>
      <c r="DX8" s="412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</row>
    <row r="9" spans="1:157" s="278" customFormat="1" ht="24.75" customHeight="1" x14ac:dyDescent="0.2">
      <c r="A9" s="786">
        <f t="shared" si="27"/>
        <v>5</v>
      </c>
      <c r="B9" s="141" t="s">
        <v>158</v>
      </c>
      <c r="C9" s="281" t="s">
        <v>25</v>
      </c>
      <c r="D9" s="568">
        <v>4</v>
      </c>
      <c r="E9" s="270"/>
      <c r="F9" s="342"/>
      <c r="G9" s="270"/>
      <c r="H9" s="342"/>
      <c r="I9" s="342"/>
      <c r="J9" s="342"/>
      <c r="K9" s="342"/>
      <c r="L9" s="342"/>
      <c r="M9" s="342">
        <v>4</v>
      </c>
      <c r="N9" s="342"/>
      <c r="O9" s="342"/>
      <c r="P9" s="1207"/>
      <c r="Q9" s="1207"/>
      <c r="R9" s="1207"/>
      <c r="S9" s="464"/>
      <c r="T9" s="1299"/>
      <c r="U9" s="1184"/>
      <c r="V9" s="1184"/>
      <c r="W9" s="840">
        <f t="shared" si="19"/>
        <v>4</v>
      </c>
      <c r="X9" s="1019" t="s">
        <v>130</v>
      </c>
      <c r="Y9" s="556">
        <v>153200</v>
      </c>
      <c r="Z9" s="1018"/>
      <c r="AA9" s="1018"/>
      <c r="AB9" s="569"/>
      <c r="AC9" s="569"/>
      <c r="AD9" s="569"/>
      <c r="AE9" s="569"/>
      <c r="AF9" s="569"/>
      <c r="AG9" s="569"/>
      <c r="AH9" s="569">
        <v>110000</v>
      </c>
      <c r="AI9" s="569"/>
      <c r="AJ9" s="569"/>
      <c r="AK9" s="1234"/>
      <c r="AL9" s="1234"/>
      <c r="AM9" s="1234"/>
      <c r="AN9" s="1186"/>
      <c r="AO9" s="1505"/>
      <c r="AP9" s="1186"/>
      <c r="AQ9" s="1186"/>
      <c r="AR9" s="570">
        <f t="shared" si="20"/>
        <v>612800</v>
      </c>
      <c r="AS9" s="1199">
        <f t="shared" si="0"/>
        <v>0</v>
      </c>
      <c r="AT9" s="402">
        <f t="shared" si="1"/>
        <v>0</v>
      </c>
      <c r="AU9" s="402">
        <f t="shared" si="2"/>
        <v>0</v>
      </c>
      <c r="AV9" s="402">
        <f t="shared" si="3"/>
        <v>0</v>
      </c>
      <c r="AW9" s="402">
        <f t="shared" si="4"/>
        <v>0</v>
      </c>
      <c r="AX9" s="402">
        <f t="shared" si="5"/>
        <v>0</v>
      </c>
      <c r="AY9" s="402">
        <f t="shared" si="6"/>
        <v>0</v>
      </c>
      <c r="AZ9" s="402">
        <f t="shared" si="7"/>
        <v>0</v>
      </c>
      <c r="BA9" s="402">
        <f t="shared" si="8"/>
        <v>440000</v>
      </c>
      <c r="BB9" s="402">
        <f t="shared" si="9"/>
        <v>0</v>
      </c>
      <c r="BC9" s="1213">
        <f t="shared" si="10"/>
        <v>0</v>
      </c>
      <c r="BD9" s="1213">
        <f t="shared" si="11"/>
        <v>0</v>
      </c>
      <c r="BE9" s="1188">
        <f t="shared" si="12"/>
        <v>0</v>
      </c>
      <c r="BF9" s="1188">
        <f t="shared" si="13"/>
        <v>0</v>
      </c>
      <c r="BG9" s="1188">
        <f t="shared" si="13"/>
        <v>0</v>
      </c>
      <c r="BH9" s="1584">
        <f t="shared" si="13"/>
        <v>0</v>
      </c>
      <c r="BI9" s="1188">
        <f t="shared" si="13"/>
        <v>0</v>
      </c>
      <c r="BJ9" s="1188">
        <f t="shared" si="13"/>
        <v>0</v>
      </c>
      <c r="BK9" s="403">
        <f t="shared" si="21"/>
        <v>440000</v>
      </c>
      <c r="BL9" s="402">
        <f>SUM(AS9*14%)</f>
        <v>0</v>
      </c>
      <c r="BM9" s="402">
        <f t="shared" si="22"/>
        <v>0</v>
      </c>
      <c r="BN9" s="402">
        <f>SUM(AU9*3%)</f>
        <v>0</v>
      </c>
      <c r="BO9" s="1199">
        <f t="shared" si="23"/>
        <v>0</v>
      </c>
      <c r="BP9" s="402">
        <f t="shared" si="23"/>
        <v>0</v>
      </c>
      <c r="BQ9" s="402">
        <f t="shared" si="23"/>
        <v>0</v>
      </c>
      <c r="BR9" s="402"/>
      <c r="BS9" s="402">
        <f t="shared" si="28"/>
        <v>0</v>
      </c>
      <c r="BT9" s="402">
        <f t="shared" si="24"/>
        <v>61600.000000000007</v>
      </c>
      <c r="BU9" s="402">
        <f t="shared" si="24"/>
        <v>0</v>
      </c>
      <c r="BV9" s="1213">
        <f t="shared" si="24"/>
        <v>0</v>
      </c>
      <c r="BW9" s="1188">
        <f t="shared" si="24"/>
        <v>0</v>
      </c>
      <c r="BX9" s="344">
        <f t="shared" si="25"/>
        <v>61600.000000000007</v>
      </c>
      <c r="BY9" s="983">
        <f t="shared" si="29"/>
        <v>111200</v>
      </c>
      <c r="BZ9" s="274">
        <f t="shared" si="15"/>
        <v>612800</v>
      </c>
      <c r="CA9" s="275">
        <f t="shared" si="26"/>
        <v>111200</v>
      </c>
      <c r="CB9" s="571">
        <f t="shared" si="16"/>
        <v>1</v>
      </c>
      <c r="CC9" s="1081"/>
      <c r="CD9" s="1081"/>
      <c r="CE9" s="1083"/>
      <c r="CF9" s="1084"/>
      <c r="CG9" s="862"/>
      <c r="CH9" s="862"/>
      <c r="CI9" s="862"/>
      <c r="CJ9" s="862"/>
      <c r="CK9" s="862"/>
      <c r="CL9" s="862"/>
      <c r="CM9" s="862"/>
      <c r="CN9" s="862"/>
      <c r="CO9" s="862"/>
      <c r="CP9" s="862"/>
      <c r="CQ9" s="1128"/>
      <c r="CR9" s="862"/>
      <c r="CS9" s="1128"/>
      <c r="CT9" s="862"/>
      <c r="CU9" s="862"/>
      <c r="CV9" s="862"/>
      <c r="CW9" s="862"/>
      <c r="CX9" s="862"/>
      <c r="CY9" s="73">
        <f t="shared" si="17"/>
        <v>0</v>
      </c>
      <c r="CZ9" s="862"/>
      <c r="DA9" s="862"/>
      <c r="DB9" s="862"/>
      <c r="DC9" s="862"/>
      <c r="DD9" s="862"/>
      <c r="DE9" s="862"/>
      <c r="DF9" s="862"/>
      <c r="DG9" s="862"/>
      <c r="DH9" s="1081"/>
      <c r="DI9" s="862"/>
      <c r="DJ9" s="862"/>
      <c r="DK9" s="862"/>
      <c r="DL9" s="862"/>
      <c r="DM9" s="862"/>
      <c r="DN9" s="862"/>
      <c r="DO9" s="862"/>
      <c r="DP9" s="862"/>
      <c r="DQ9" s="862"/>
      <c r="DR9" s="73">
        <f t="shared" si="18"/>
        <v>0</v>
      </c>
      <c r="DS9" s="412"/>
      <c r="DT9" s="412"/>
      <c r="DU9" s="420"/>
      <c r="DV9" s="412"/>
      <c r="DW9" s="412"/>
      <c r="DX9" s="412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</row>
    <row r="10" spans="1:157" s="278" customFormat="1" ht="24.75" customHeight="1" x14ac:dyDescent="0.2">
      <c r="A10" s="786">
        <f t="shared" si="27"/>
        <v>6</v>
      </c>
      <c r="B10" s="141" t="s">
        <v>342</v>
      </c>
      <c r="C10" s="281" t="s">
        <v>25</v>
      </c>
      <c r="D10" s="568">
        <v>12</v>
      </c>
      <c r="E10" s="270"/>
      <c r="F10" s="342"/>
      <c r="G10" s="270"/>
      <c r="H10" s="342"/>
      <c r="I10" s="342"/>
      <c r="J10" s="342"/>
      <c r="K10" s="342"/>
      <c r="L10" s="342"/>
      <c r="M10" s="342">
        <v>5</v>
      </c>
      <c r="N10" s="342"/>
      <c r="O10" s="342"/>
      <c r="P10" s="1207"/>
      <c r="Q10" s="1207"/>
      <c r="R10" s="1207"/>
      <c r="S10" s="464"/>
      <c r="T10" s="1299"/>
      <c r="U10" s="1184"/>
      <c r="V10" s="1184"/>
      <c r="W10" s="840">
        <f t="shared" si="19"/>
        <v>5</v>
      </c>
      <c r="X10" s="1019" t="s">
        <v>2</v>
      </c>
      <c r="Y10" s="556">
        <v>37100</v>
      </c>
      <c r="Z10" s="1018"/>
      <c r="AA10" s="1018"/>
      <c r="AB10" s="569"/>
      <c r="AC10" s="569"/>
      <c r="AD10" s="569"/>
      <c r="AE10" s="569"/>
      <c r="AF10" s="569"/>
      <c r="AG10" s="569"/>
      <c r="AH10" s="569">
        <v>30000</v>
      </c>
      <c r="AI10" s="569"/>
      <c r="AJ10" s="569"/>
      <c r="AK10" s="1234"/>
      <c r="AL10" s="1234"/>
      <c r="AM10" s="1234"/>
      <c r="AN10" s="1186"/>
      <c r="AO10" s="1505"/>
      <c r="AP10" s="1186"/>
      <c r="AQ10" s="1186"/>
      <c r="AR10" s="570">
        <f t="shared" si="20"/>
        <v>185500</v>
      </c>
      <c r="AS10" s="1199">
        <f t="shared" si="0"/>
        <v>0</v>
      </c>
      <c r="AT10" s="402">
        <f t="shared" si="1"/>
        <v>0</v>
      </c>
      <c r="AU10" s="402">
        <f t="shared" si="2"/>
        <v>0</v>
      </c>
      <c r="AV10" s="402">
        <f t="shared" si="3"/>
        <v>0</v>
      </c>
      <c r="AW10" s="402">
        <f t="shared" si="4"/>
        <v>0</v>
      </c>
      <c r="AX10" s="402">
        <f t="shared" si="5"/>
        <v>0</v>
      </c>
      <c r="AY10" s="402">
        <f t="shared" si="6"/>
        <v>0</v>
      </c>
      <c r="AZ10" s="402">
        <f t="shared" si="7"/>
        <v>0</v>
      </c>
      <c r="BA10" s="402">
        <f t="shared" si="8"/>
        <v>150000</v>
      </c>
      <c r="BB10" s="402">
        <f t="shared" si="9"/>
        <v>0</v>
      </c>
      <c r="BC10" s="1213">
        <f t="shared" si="10"/>
        <v>0</v>
      </c>
      <c r="BD10" s="1213">
        <f t="shared" si="11"/>
        <v>0</v>
      </c>
      <c r="BE10" s="1188">
        <f t="shared" si="12"/>
        <v>0</v>
      </c>
      <c r="BF10" s="1188">
        <f t="shared" si="13"/>
        <v>0</v>
      </c>
      <c r="BG10" s="1188">
        <f t="shared" si="13"/>
        <v>0</v>
      </c>
      <c r="BH10" s="1584">
        <f t="shared" si="13"/>
        <v>0</v>
      </c>
      <c r="BI10" s="1188">
        <f t="shared" si="13"/>
        <v>0</v>
      </c>
      <c r="BJ10" s="1188">
        <f t="shared" si="13"/>
        <v>0</v>
      </c>
      <c r="BK10" s="403">
        <f t="shared" si="21"/>
        <v>150000</v>
      </c>
      <c r="BL10" s="402">
        <f t="shared" ref="BL10:BL17" si="30">SUM(AS10*4%)</f>
        <v>0</v>
      </c>
      <c r="BM10" s="402">
        <f t="shared" si="22"/>
        <v>0</v>
      </c>
      <c r="BN10" s="402">
        <f>SUM(AU10*14%)</f>
        <v>0</v>
      </c>
      <c r="BO10" s="1199">
        <f t="shared" si="23"/>
        <v>0</v>
      </c>
      <c r="BP10" s="402">
        <f t="shared" si="23"/>
        <v>0</v>
      </c>
      <c r="BQ10" s="402">
        <f t="shared" si="23"/>
        <v>0</v>
      </c>
      <c r="BR10" s="402">
        <f t="shared" ref="BR10:BR17" si="31">SUM(AY10*14%)</f>
        <v>0</v>
      </c>
      <c r="BS10" s="402">
        <v>0</v>
      </c>
      <c r="BT10" s="402">
        <f t="shared" ref="BT10:BT17" si="32">SUM(BA10*14%)</f>
        <v>21000.000000000004</v>
      </c>
      <c r="BU10" s="402">
        <f>SUM(BB10*3%)</f>
        <v>0</v>
      </c>
      <c r="BV10" s="1213">
        <f>SUM(BC10*14%)</f>
        <v>0</v>
      </c>
      <c r="BW10" s="1188">
        <f>SUM(BD10*14%)</f>
        <v>0</v>
      </c>
      <c r="BX10" s="344">
        <f t="shared" si="25"/>
        <v>21000.000000000004</v>
      </c>
      <c r="BY10" s="983">
        <f t="shared" si="29"/>
        <v>14499.999999999996</v>
      </c>
      <c r="BZ10" s="274">
        <f t="shared" si="15"/>
        <v>445200</v>
      </c>
      <c r="CA10" s="275">
        <f t="shared" si="26"/>
        <v>274200</v>
      </c>
      <c r="CB10" s="571">
        <f t="shared" si="16"/>
        <v>0.41666666666666669</v>
      </c>
      <c r="CC10" s="1081"/>
      <c r="CD10" s="1081"/>
      <c r="CE10" s="1083"/>
      <c r="CF10" s="1084"/>
      <c r="CG10" s="862"/>
      <c r="CH10" s="862"/>
      <c r="CI10" s="862"/>
      <c r="CJ10" s="862"/>
      <c r="CK10" s="862"/>
      <c r="CL10" s="862"/>
      <c r="CM10" s="862"/>
      <c r="CN10" s="862"/>
      <c r="CO10" s="862"/>
      <c r="CP10" s="862"/>
      <c r="CQ10" s="1128"/>
      <c r="CR10" s="862"/>
      <c r="CS10" s="1128"/>
      <c r="CT10" s="862"/>
      <c r="CU10" s="862"/>
      <c r="CV10" s="862"/>
      <c r="CW10" s="862"/>
      <c r="CX10" s="862"/>
      <c r="CY10" s="73">
        <f t="shared" si="17"/>
        <v>0</v>
      </c>
      <c r="CZ10" s="862"/>
      <c r="DA10" s="862"/>
      <c r="DB10" s="862"/>
      <c r="DC10" s="862"/>
      <c r="DD10" s="862"/>
      <c r="DE10" s="862"/>
      <c r="DF10" s="862"/>
      <c r="DG10" s="862"/>
      <c r="DH10" s="1081"/>
      <c r="DI10" s="862"/>
      <c r="DJ10" s="862"/>
      <c r="DK10" s="862"/>
      <c r="DL10" s="862"/>
      <c r="DM10" s="862"/>
      <c r="DN10" s="862"/>
      <c r="DO10" s="862"/>
      <c r="DP10" s="862"/>
      <c r="DQ10" s="862"/>
      <c r="DR10" s="73">
        <f t="shared" si="18"/>
        <v>0</v>
      </c>
      <c r="DS10" s="412"/>
      <c r="DT10" s="412"/>
      <c r="DU10" s="420"/>
      <c r="DV10" s="412"/>
      <c r="DW10" s="412"/>
      <c r="DX10" s="412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</row>
    <row r="11" spans="1:157" s="278" customFormat="1" ht="24.75" customHeight="1" x14ac:dyDescent="0.2">
      <c r="A11" s="786">
        <f t="shared" si="27"/>
        <v>7</v>
      </c>
      <c r="B11" s="141" t="s">
        <v>343</v>
      </c>
      <c r="C11" s="281" t="s">
        <v>25</v>
      </c>
      <c r="D11" s="568">
        <v>4</v>
      </c>
      <c r="E11" s="270"/>
      <c r="F11" s="342"/>
      <c r="G11" s="270"/>
      <c r="H11" s="342"/>
      <c r="I11" s="342"/>
      <c r="J11" s="342"/>
      <c r="K11" s="342"/>
      <c r="L11" s="342"/>
      <c r="M11" s="342">
        <v>4</v>
      </c>
      <c r="N11" s="342"/>
      <c r="O11" s="342"/>
      <c r="P11" s="1207"/>
      <c r="Q11" s="1207"/>
      <c r="R11" s="1207"/>
      <c r="S11" s="464"/>
      <c r="T11" s="1299"/>
      <c r="U11" s="1184"/>
      <c r="V11" s="1184"/>
      <c r="W11" s="840">
        <f t="shared" si="19"/>
        <v>4</v>
      </c>
      <c r="X11" s="1019" t="s">
        <v>2</v>
      </c>
      <c r="Y11" s="556">
        <v>30900</v>
      </c>
      <c r="Z11" s="1018"/>
      <c r="AA11" s="569"/>
      <c r="AB11" s="569"/>
      <c r="AC11" s="569"/>
      <c r="AD11" s="569"/>
      <c r="AE11" s="569"/>
      <c r="AF11" s="569"/>
      <c r="AG11" s="569"/>
      <c r="AH11" s="569">
        <v>25000</v>
      </c>
      <c r="AI11" s="569"/>
      <c r="AJ11" s="569"/>
      <c r="AK11" s="1234"/>
      <c r="AL11" s="1234"/>
      <c r="AM11" s="1234"/>
      <c r="AN11" s="1186"/>
      <c r="AO11" s="1505"/>
      <c r="AP11" s="1186"/>
      <c r="AQ11" s="1186"/>
      <c r="AR11" s="570">
        <f t="shared" si="20"/>
        <v>123600</v>
      </c>
      <c r="AS11" s="1199">
        <f t="shared" si="0"/>
        <v>0</v>
      </c>
      <c r="AT11" s="402">
        <f t="shared" si="1"/>
        <v>0</v>
      </c>
      <c r="AU11" s="402">
        <f t="shared" si="2"/>
        <v>0</v>
      </c>
      <c r="AV11" s="402">
        <f t="shared" si="3"/>
        <v>0</v>
      </c>
      <c r="AW11" s="402">
        <f t="shared" si="4"/>
        <v>0</v>
      </c>
      <c r="AX11" s="402">
        <f t="shared" si="5"/>
        <v>0</v>
      </c>
      <c r="AY11" s="402">
        <f t="shared" si="6"/>
        <v>0</v>
      </c>
      <c r="AZ11" s="402">
        <f t="shared" si="7"/>
        <v>0</v>
      </c>
      <c r="BA11" s="402">
        <f t="shared" si="8"/>
        <v>100000</v>
      </c>
      <c r="BB11" s="402">
        <f t="shared" si="9"/>
        <v>0</v>
      </c>
      <c r="BC11" s="1213">
        <f t="shared" si="10"/>
        <v>0</v>
      </c>
      <c r="BD11" s="1213">
        <f t="shared" si="11"/>
        <v>0</v>
      </c>
      <c r="BE11" s="1188">
        <f t="shared" si="12"/>
        <v>0</v>
      </c>
      <c r="BF11" s="1188">
        <f t="shared" si="13"/>
        <v>0</v>
      </c>
      <c r="BG11" s="1188">
        <f t="shared" si="13"/>
        <v>0</v>
      </c>
      <c r="BH11" s="1584">
        <f t="shared" si="13"/>
        <v>0</v>
      </c>
      <c r="BI11" s="1188">
        <f t="shared" si="13"/>
        <v>0</v>
      </c>
      <c r="BJ11" s="1188">
        <f t="shared" si="13"/>
        <v>0</v>
      </c>
      <c r="BK11" s="403">
        <f t="shared" si="21"/>
        <v>100000</v>
      </c>
      <c r="BL11" s="402">
        <f t="shared" si="30"/>
        <v>0</v>
      </c>
      <c r="BM11" s="402">
        <f t="shared" si="22"/>
        <v>0</v>
      </c>
      <c r="BN11" s="402">
        <f>SUM(AU11*14%)</f>
        <v>0</v>
      </c>
      <c r="BO11" s="1199">
        <f t="shared" si="23"/>
        <v>0</v>
      </c>
      <c r="BP11" s="402">
        <f t="shared" si="23"/>
        <v>0</v>
      </c>
      <c r="BQ11" s="402">
        <f t="shared" si="23"/>
        <v>0</v>
      </c>
      <c r="BR11" s="402">
        <f t="shared" si="31"/>
        <v>0</v>
      </c>
      <c r="BS11" s="402">
        <f t="shared" si="28"/>
        <v>0</v>
      </c>
      <c r="BT11" s="402">
        <f t="shared" si="32"/>
        <v>14000.000000000002</v>
      </c>
      <c r="BU11" s="402">
        <f t="shared" ref="BU11:BU17" si="33">SUM(BB11*14%)</f>
        <v>0</v>
      </c>
      <c r="BV11" s="1213">
        <f>SUM(BC11*14%)</f>
        <v>0</v>
      </c>
      <c r="BW11" s="1188">
        <f>SUM(BD11*14%)</f>
        <v>0</v>
      </c>
      <c r="BX11" s="344">
        <f t="shared" si="25"/>
        <v>14000.000000000002</v>
      </c>
      <c r="BY11" s="983">
        <f t="shared" si="29"/>
        <v>9599.9999999999982</v>
      </c>
      <c r="BZ11" s="274">
        <f t="shared" si="15"/>
        <v>123600</v>
      </c>
      <c r="CA11" s="275">
        <f t="shared" si="26"/>
        <v>9599.9999999999982</v>
      </c>
      <c r="CB11" s="571">
        <f t="shared" si="16"/>
        <v>1</v>
      </c>
      <c r="CC11" s="1081"/>
      <c r="CD11" s="1081"/>
      <c r="CE11" s="1083"/>
      <c r="CF11" s="1084"/>
      <c r="CG11" s="862"/>
      <c r="CH11" s="862"/>
      <c r="CI11" s="862"/>
      <c r="CJ11" s="862"/>
      <c r="CK11" s="862"/>
      <c r="CL11" s="862"/>
      <c r="CM11" s="862"/>
      <c r="CN11" s="862"/>
      <c r="CO11" s="862"/>
      <c r="CP11" s="862"/>
      <c r="CQ11" s="1128"/>
      <c r="CR11" s="862"/>
      <c r="CS11" s="1128"/>
      <c r="CT11" s="862"/>
      <c r="CU11" s="862"/>
      <c r="CV11" s="862"/>
      <c r="CW11" s="862"/>
      <c r="CX11" s="862"/>
      <c r="CY11" s="73">
        <f t="shared" si="17"/>
        <v>0</v>
      </c>
      <c r="CZ11" s="862"/>
      <c r="DA11" s="862"/>
      <c r="DB11" s="862"/>
      <c r="DC11" s="862"/>
      <c r="DD11" s="862"/>
      <c r="DE11" s="862"/>
      <c r="DF11" s="862"/>
      <c r="DG11" s="862"/>
      <c r="DH11" s="1081"/>
      <c r="DI11" s="862"/>
      <c r="DJ11" s="862"/>
      <c r="DK11" s="862"/>
      <c r="DL11" s="862"/>
      <c r="DM11" s="862"/>
      <c r="DN11" s="862"/>
      <c r="DO11" s="862"/>
      <c r="DP11" s="862"/>
      <c r="DQ11" s="862"/>
      <c r="DR11" s="73">
        <f t="shared" si="18"/>
        <v>0</v>
      </c>
      <c r="DS11" s="412"/>
      <c r="DT11" s="412"/>
      <c r="DU11" s="420"/>
      <c r="DV11" s="412"/>
      <c r="DW11" s="412"/>
      <c r="DX11" s="412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</row>
    <row r="12" spans="1:157" s="278" customFormat="1" ht="32.25" customHeight="1" x14ac:dyDescent="0.2">
      <c r="A12" s="786">
        <f t="shared" si="27"/>
        <v>8</v>
      </c>
      <c r="B12" s="141" t="s">
        <v>159</v>
      </c>
      <c r="C12" s="281" t="s">
        <v>25</v>
      </c>
      <c r="D12" s="568">
        <v>2</v>
      </c>
      <c r="E12" s="270"/>
      <c r="F12" s="342"/>
      <c r="G12" s="270"/>
      <c r="H12" s="342"/>
      <c r="I12" s="342"/>
      <c r="J12" s="342"/>
      <c r="K12" s="342"/>
      <c r="L12" s="342"/>
      <c r="M12" s="342">
        <v>2</v>
      </c>
      <c r="N12" s="342"/>
      <c r="O12" s="342"/>
      <c r="P12" s="1207"/>
      <c r="Q12" s="1207"/>
      <c r="R12" s="1207"/>
      <c r="S12" s="464"/>
      <c r="T12" s="1299"/>
      <c r="U12" s="1184"/>
      <c r="V12" s="1184"/>
      <c r="W12" s="840">
        <f t="shared" si="19"/>
        <v>2</v>
      </c>
      <c r="X12" s="1019" t="s">
        <v>34</v>
      </c>
      <c r="Y12" s="556">
        <v>74100</v>
      </c>
      <c r="Z12" s="1017"/>
      <c r="AA12" s="1017"/>
      <c r="AB12" s="569"/>
      <c r="AC12" s="569"/>
      <c r="AD12" s="569"/>
      <c r="AE12" s="569"/>
      <c r="AF12" s="569"/>
      <c r="AG12" s="569"/>
      <c r="AH12" s="569">
        <v>60000</v>
      </c>
      <c r="AI12" s="569"/>
      <c r="AJ12" s="569"/>
      <c r="AK12" s="1234"/>
      <c r="AL12" s="1234"/>
      <c r="AM12" s="1234"/>
      <c r="AN12" s="1186"/>
      <c r="AO12" s="1505"/>
      <c r="AP12" s="1186"/>
      <c r="AQ12" s="1186"/>
      <c r="AR12" s="570">
        <f t="shared" si="20"/>
        <v>148200</v>
      </c>
      <c r="AS12" s="1199">
        <f t="shared" si="0"/>
        <v>0</v>
      </c>
      <c r="AT12" s="402">
        <f t="shared" si="1"/>
        <v>0</v>
      </c>
      <c r="AU12" s="402">
        <f t="shared" si="2"/>
        <v>0</v>
      </c>
      <c r="AV12" s="402">
        <f t="shared" si="3"/>
        <v>0</v>
      </c>
      <c r="AW12" s="402">
        <f t="shared" si="4"/>
        <v>0</v>
      </c>
      <c r="AX12" s="402">
        <f t="shared" si="5"/>
        <v>0</v>
      </c>
      <c r="AY12" s="402">
        <f t="shared" si="6"/>
        <v>0</v>
      </c>
      <c r="AZ12" s="402">
        <f t="shared" si="7"/>
        <v>0</v>
      </c>
      <c r="BA12" s="402">
        <f t="shared" si="8"/>
        <v>120000</v>
      </c>
      <c r="BB12" s="402">
        <f t="shared" si="9"/>
        <v>0</v>
      </c>
      <c r="BC12" s="1213">
        <f t="shared" si="10"/>
        <v>0</v>
      </c>
      <c r="BD12" s="1213">
        <f t="shared" si="11"/>
        <v>0</v>
      </c>
      <c r="BE12" s="1188">
        <f t="shared" si="12"/>
        <v>0</v>
      </c>
      <c r="BF12" s="1188">
        <f t="shared" si="13"/>
        <v>0</v>
      </c>
      <c r="BG12" s="1188">
        <f t="shared" si="13"/>
        <v>0</v>
      </c>
      <c r="BH12" s="1584">
        <f t="shared" si="13"/>
        <v>0</v>
      </c>
      <c r="BI12" s="1188">
        <f t="shared" si="13"/>
        <v>0</v>
      </c>
      <c r="BJ12" s="1188">
        <f t="shared" si="13"/>
        <v>0</v>
      </c>
      <c r="BK12" s="403">
        <f t="shared" si="21"/>
        <v>120000</v>
      </c>
      <c r="BL12" s="402">
        <f t="shared" si="30"/>
        <v>0</v>
      </c>
      <c r="BM12" s="402">
        <f t="shared" si="22"/>
        <v>0</v>
      </c>
      <c r="BN12" s="402">
        <f>SUM(AU12*3%)</f>
        <v>0</v>
      </c>
      <c r="BO12" s="1199">
        <f t="shared" si="23"/>
        <v>0</v>
      </c>
      <c r="BP12" s="402">
        <f t="shared" si="23"/>
        <v>0</v>
      </c>
      <c r="BQ12" s="402">
        <f t="shared" si="23"/>
        <v>0</v>
      </c>
      <c r="BR12" s="402">
        <f t="shared" si="31"/>
        <v>0</v>
      </c>
      <c r="BS12" s="402">
        <f t="shared" si="28"/>
        <v>0</v>
      </c>
      <c r="BT12" s="402">
        <f t="shared" si="32"/>
        <v>16800</v>
      </c>
      <c r="BU12" s="402">
        <f t="shared" si="33"/>
        <v>0</v>
      </c>
      <c r="BV12" s="1213"/>
      <c r="BW12" s="1188">
        <f t="shared" ref="BW12:BW17" si="34">SUM(BD12*14%)</f>
        <v>0</v>
      </c>
      <c r="BX12" s="344">
        <f t="shared" si="25"/>
        <v>16800</v>
      </c>
      <c r="BY12" s="983">
        <f>AR12-BK12-BX12</f>
        <v>11400</v>
      </c>
      <c r="BZ12" s="274">
        <f t="shared" si="15"/>
        <v>148200</v>
      </c>
      <c r="CA12" s="275">
        <f t="shared" si="26"/>
        <v>11400</v>
      </c>
      <c r="CB12" s="571">
        <f t="shared" si="16"/>
        <v>1</v>
      </c>
      <c r="CC12" s="1081"/>
      <c r="CD12" s="1081"/>
      <c r="CE12" s="1083"/>
      <c r="CF12" s="1084"/>
      <c r="CG12" s="862"/>
      <c r="CH12" s="862"/>
      <c r="CI12" s="862"/>
      <c r="CJ12" s="862"/>
      <c r="CK12" s="862"/>
      <c r="CL12" s="862"/>
      <c r="CM12" s="862"/>
      <c r="CN12" s="862"/>
      <c r="CO12" s="862"/>
      <c r="CP12" s="862"/>
      <c r="CQ12" s="1128"/>
      <c r="CR12" s="862"/>
      <c r="CS12" s="1128"/>
      <c r="CT12" s="862"/>
      <c r="CU12" s="862"/>
      <c r="CV12" s="862"/>
      <c r="CW12" s="862"/>
      <c r="CX12" s="862"/>
      <c r="CY12" s="73">
        <f t="shared" si="17"/>
        <v>0</v>
      </c>
      <c r="CZ12" s="862"/>
      <c r="DA12" s="862"/>
      <c r="DB12" s="862"/>
      <c r="DC12" s="862"/>
      <c r="DD12" s="862"/>
      <c r="DE12" s="862"/>
      <c r="DF12" s="862"/>
      <c r="DG12" s="862"/>
      <c r="DH12" s="1081"/>
      <c r="DI12" s="862"/>
      <c r="DJ12" s="862"/>
      <c r="DK12" s="862"/>
      <c r="DL12" s="862"/>
      <c r="DM12" s="862"/>
      <c r="DN12" s="862"/>
      <c r="DO12" s="862"/>
      <c r="DP12" s="862"/>
      <c r="DQ12" s="862"/>
      <c r="DR12" s="73">
        <f t="shared" si="18"/>
        <v>0</v>
      </c>
      <c r="DS12" s="412"/>
      <c r="DT12" s="412"/>
      <c r="DU12" s="420"/>
      <c r="DV12" s="412"/>
      <c r="DW12" s="412"/>
      <c r="DX12" s="412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</row>
    <row r="13" spans="1:157" s="278" customFormat="1" ht="32.25" customHeight="1" x14ac:dyDescent="0.2">
      <c r="A13" s="786">
        <f t="shared" si="27"/>
        <v>9</v>
      </c>
      <c r="B13" s="141" t="s">
        <v>160</v>
      </c>
      <c r="C13" s="281" t="s">
        <v>25</v>
      </c>
      <c r="D13" s="568">
        <v>2</v>
      </c>
      <c r="E13" s="270"/>
      <c r="F13" s="342"/>
      <c r="G13" s="270"/>
      <c r="H13" s="342"/>
      <c r="I13" s="342"/>
      <c r="J13" s="342"/>
      <c r="K13" s="342"/>
      <c r="L13" s="342"/>
      <c r="M13" s="342">
        <v>2</v>
      </c>
      <c r="N13" s="342"/>
      <c r="O13" s="342"/>
      <c r="P13" s="1207"/>
      <c r="Q13" s="1207"/>
      <c r="R13" s="1207"/>
      <c r="S13" s="464"/>
      <c r="T13" s="1299"/>
      <c r="U13" s="1184"/>
      <c r="V13" s="1184"/>
      <c r="W13" s="840">
        <f t="shared" si="19"/>
        <v>2</v>
      </c>
      <c r="X13" s="1019" t="s">
        <v>34</v>
      </c>
      <c r="Y13" s="556">
        <v>65800</v>
      </c>
      <c r="Z13" s="1017"/>
      <c r="AA13" s="1017"/>
      <c r="AB13" s="1017"/>
      <c r="AC13" s="569"/>
      <c r="AD13" s="569"/>
      <c r="AE13" s="569"/>
      <c r="AF13" s="569"/>
      <c r="AG13" s="569"/>
      <c r="AH13" s="569">
        <v>55000</v>
      </c>
      <c r="AI13" s="569"/>
      <c r="AJ13" s="569"/>
      <c r="AK13" s="1234"/>
      <c r="AL13" s="1234"/>
      <c r="AM13" s="1234"/>
      <c r="AN13" s="1186"/>
      <c r="AO13" s="1505"/>
      <c r="AP13" s="1186"/>
      <c r="AQ13" s="1186"/>
      <c r="AR13" s="570">
        <f t="shared" si="20"/>
        <v>131600</v>
      </c>
      <c r="AS13" s="1199">
        <f t="shared" si="0"/>
        <v>0</v>
      </c>
      <c r="AT13" s="402">
        <f t="shared" si="1"/>
        <v>0</v>
      </c>
      <c r="AU13" s="402">
        <f t="shared" si="2"/>
        <v>0</v>
      </c>
      <c r="AV13" s="402">
        <f t="shared" si="3"/>
        <v>0</v>
      </c>
      <c r="AW13" s="402">
        <f t="shared" si="4"/>
        <v>0</v>
      </c>
      <c r="AX13" s="402">
        <f t="shared" si="5"/>
        <v>0</v>
      </c>
      <c r="AY13" s="402">
        <f t="shared" si="6"/>
        <v>0</v>
      </c>
      <c r="AZ13" s="402">
        <f t="shared" si="7"/>
        <v>0</v>
      </c>
      <c r="BA13" s="402">
        <f t="shared" si="8"/>
        <v>110000</v>
      </c>
      <c r="BB13" s="402">
        <f t="shared" si="9"/>
        <v>0</v>
      </c>
      <c r="BC13" s="1213">
        <f t="shared" si="10"/>
        <v>0</v>
      </c>
      <c r="BD13" s="1213">
        <f t="shared" si="11"/>
        <v>0</v>
      </c>
      <c r="BE13" s="1188">
        <f t="shared" si="12"/>
        <v>0</v>
      </c>
      <c r="BF13" s="1188">
        <f t="shared" si="13"/>
        <v>0</v>
      </c>
      <c r="BG13" s="1188">
        <f t="shared" si="13"/>
        <v>0</v>
      </c>
      <c r="BH13" s="1584">
        <f t="shared" si="13"/>
        <v>0</v>
      </c>
      <c r="BI13" s="1188">
        <f t="shared" si="13"/>
        <v>0</v>
      </c>
      <c r="BJ13" s="1188">
        <f t="shared" si="13"/>
        <v>0</v>
      </c>
      <c r="BK13" s="403">
        <f t="shared" si="21"/>
        <v>110000</v>
      </c>
      <c r="BL13" s="402">
        <f t="shared" si="30"/>
        <v>0</v>
      </c>
      <c r="BM13" s="402">
        <f t="shared" si="22"/>
        <v>0</v>
      </c>
      <c r="BN13" s="402"/>
      <c r="BO13" s="1199"/>
      <c r="BP13" s="402">
        <f t="shared" ref="BP13:BQ17" si="35">SUM(AW13*14%)</f>
        <v>0</v>
      </c>
      <c r="BQ13" s="402">
        <f t="shared" si="35"/>
        <v>0</v>
      </c>
      <c r="BR13" s="402">
        <f t="shared" si="31"/>
        <v>0</v>
      </c>
      <c r="BS13" s="402">
        <f t="shared" si="28"/>
        <v>0</v>
      </c>
      <c r="BT13" s="402">
        <f t="shared" si="32"/>
        <v>15400.000000000002</v>
      </c>
      <c r="BU13" s="402">
        <f t="shared" si="33"/>
        <v>0</v>
      </c>
      <c r="BV13" s="1213">
        <f>SUM(BC13*14%)</f>
        <v>0</v>
      </c>
      <c r="BW13" s="1188">
        <f t="shared" si="34"/>
        <v>0</v>
      </c>
      <c r="BX13" s="344">
        <f t="shared" si="25"/>
        <v>15400.000000000002</v>
      </c>
      <c r="BY13" s="983">
        <f t="shared" si="29"/>
        <v>6199.9999999999982</v>
      </c>
      <c r="BZ13" s="274">
        <f t="shared" si="15"/>
        <v>131600</v>
      </c>
      <c r="CA13" s="275">
        <f t="shared" si="26"/>
        <v>6199.9999999999982</v>
      </c>
      <c r="CB13" s="571">
        <f t="shared" si="16"/>
        <v>1</v>
      </c>
      <c r="CC13" s="1081"/>
      <c r="CD13" s="1081"/>
      <c r="CE13" s="1083"/>
      <c r="CF13" s="1084"/>
      <c r="CG13" s="862"/>
      <c r="CH13" s="862"/>
      <c r="CI13" s="862"/>
      <c r="CJ13" s="862"/>
      <c r="CK13" s="862"/>
      <c r="CL13" s="862"/>
      <c r="CM13" s="862"/>
      <c r="CN13" s="862"/>
      <c r="CO13" s="862"/>
      <c r="CP13" s="862"/>
      <c r="CQ13" s="1128"/>
      <c r="CR13" s="862"/>
      <c r="CS13" s="1128"/>
      <c r="CT13" s="862"/>
      <c r="CU13" s="862"/>
      <c r="CV13" s="862"/>
      <c r="CW13" s="862"/>
      <c r="CX13" s="862"/>
      <c r="CY13" s="73">
        <f t="shared" si="17"/>
        <v>0</v>
      </c>
      <c r="CZ13" s="862"/>
      <c r="DA13" s="862"/>
      <c r="DB13" s="862"/>
      <c r="DC13" s="862"/>
      <c r="DD13" s="862"/>
      <c r="DE13" s="862"/>
      <c r="DF13" s="862"/>
      <c r="DG13" s="862"/>
      <c r="DH13" s="1081"/>
      <c r="DI13" s="862"/>
      <c r="DJ13" s="862"/>
      <c r="DK13" s="862"/>
      <c r="DL13" s="862"/>
      <c r="DM13" s="862"/>
      <c r="DN13" s="862"/>
      <c r="DO13" s="862"/>
      <c r="DP13" s="862"/>
      <c r="DQ13" s="862"/>
      <c r="DR13" s="73">
        <f t="shared" si="18"/>
        <v>0</v>
      </c>
      <c r="DS13" s="412"/>
      <c r="DT13" s="412"/>
      <c r="DU13" s="420"/>
      <c r="DV13" s="412"/>
      <c r="DW13" s="412"/>
      <c r="DX13" s="412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</row>
    <row r="14" spans="1:157" s="278" customFormat="1" ht="24.75" customHeight="1" x14ac:dyDescent="0.2">
      <c r="A14" s="786">
        <f t="shared" si="27"/>
        <v>10</v>
      </c>
      <c r="B14" s="141" t="s">
        <v>344</v>
      </c>
      <c r="C14" s="281" t="s">
        <v>25</v>
      </c>
      <c r="D14" s="568">
        <v>20</v>
      </c>
      <c r="E14" s="270"/>
      <c r="F14" s="342"/>
      <c r="G14" s="270"/>
      <c r="H14" s="342"/>
      <c r="I14" s="342"/>
      <c r="J14" s="342"/>
      <c r="K14" s="342"/>
      <c r="L14" s="342"/>
      <c r="M14" s="342">
        <v>15</v>
      </c>
      <c r="N14" s="342"/>
      <c r="O14" s="342"/>
      <c r="P14" s="1207"/>
      <c r="Q14" s="1207"/>
      <c r="R14" s="1207"/>
      <c r="S14" s="464">
        <v>5</v>
      </c>
      <c r="T14" s="1299"/>
      <c r="U14" s="1184"/>
      <c r="V14" s="1184"/>
      <c r="W14" s="840">
        <f t="shared" si="19"/>
        <v>20</v>
      </c>
      <c r="X14" s="1019" t="s">
        <v>2</v>
      </c>
      <c r="Y14" s="556">
        <v>28500</v>
      </c>
      <c r="Z14" s="1018"/>
      <c r="AA14" s="1018"/>
      <c r="AB14" s="569"/>
      <c r="AC14" s="569"/>
      <c r="AD14" s="569"/>
      <c r="AE14" s="569"/>
      <c r="AF14" s="569"/>
      <c r="AG14" s="569"/>
      <c r="AH14" s="569">
        <v>25000</v>
      </c>
      <c r="AI14" s="569"/>
      <c r="AJ14" s="569"/>
      <c r="AK14" s="1234"/>
      <c r="AL14" s="1234"/>
      <c r="AM14" s="1234"/>
      <c r="AN14" s="1186">
        <v>25000</v>
      </c>
      <c r="AO14" s="1505"/>
      <c r="AP14" s="1186"/>
      <c r="AQ14" s="1186"/>
      <c r="AR14" s="570">
        <f t="shared" si="20"/>
        <v>570000</v>
      </c>
      <c r="AS14" s="1199">
        <f t="shared" si="0"/>
        <v>0</v>
      </c>
      <c r="AT14" s="402">
        <f t="shared" si="1"/>
        <v>0</v>
      </c>
      <c r="AU14" s="402">
        <f t="shared" si="2"/>
        <v>0</v>
      </c>
      <c r="AV14" s="402">
        <f t="shared" si="3"/>
        <v>0</v>
      </c>
      <c r="AW14" s="402">
        <f t="shared" si="4"/>
        <v>0</v>
      </c>
      <c r="AX14" s="402">
        <f t="shared" si="5"/>
        <v>0</v>
      </c>
      <c r="AY14" s="402">
        <f t="shared" si="6"/>
        <v>0</v>
      </c>
      <c r="AZ14" s="402">
        <f t="shared" si="7"/>
        <v>0</v>
      </c>
      <c r="BA14" s="402">
        <f t="shared" si="8"/>
        <v>375000</v>
      </c>
      <c r="BB14" s="402">
        <f t="shared" si="9"/>
        <v>0</v>
      </c>
      <c r="BC14" s="1213">
        <f t="shared" si="10"/>
        <v>0</v>
      </c>
      <c r="BD14" s="1213">
        <f t="shared" si="11"/>
        <v>0</v>
      </c>
      <c r="BE14" s="1188">
        <f t="shared" si="12"/>
        <v>0</v>
      </c>
      <c r="BF14" s="1188">
        <f t="shared" si="13"/>
        <v>0</v>
      </c>
      <c r="BG14" s="1188">
        <f t="shared" si="13"/>
        <v>125000</v>
      </c>
      <c r="BH14" s="1584">
        <f t="shared" si="13"/>
        <v>0</v>
      </c>
      <c r="BI14" s="1188">
        <f t="shared" si="13"/>
        <v>0</v>
      </c>
      <c r="BJ14" s="1188">
        <f t="shared" si="13"/>
        <v>0</v>
      </c>
      <c r="BK14" s="403">
        <f t="shared" si="21"/>
        <v>500000</v>
      </c>
      <c r="BL14" s="402">
        <f t="shared" si="30"/>
        <v>0</v>
      </c>
      <c r="BM14" s="402">
        <f t="shared" si="22"/>
        <v>0</v>
      </c>
      <c r="BN14" s="402">
        <f>SUM(AU14*3%)</f>
        <v>0</v>
      </c>
      <c r="BO14" s="1199">
        <f>SUM(AV14*14%)</f>
        <v>0</v>
      </c>
      <c r="BP14" s="402">
        <f t="shared" si="35"/>
        <v>0</v>
      </c>
      <c r="BQ14" s="402">
        <f t="shared" si="35"/>
        <v>0</v>
      </c>
      <c r="BR14" s="402">
        <f t="shared" si="31"/>
        <v>0</v>
      </c>
      <c r="BS14" s="402">
        <f t="shared" si="28"/>
        <v>0</v>
      </c>
      <c r="BT14" s="402">
        <f t="shared" si="32"/>
        <v>52500.000000000007</v>
      </c>
      <c r="BU14" s="402">
        <f t="shared" si="33"/>
        <v>0</v>
      </c>
      <c r="BV14" s="1213">
        <f>SUM(BC14*14%)</f>
        <v>0</v>
      </c>
      <c r="BW14" s="1188">
        <f t="shared" si="34"/>
        <v>0</v>
      </c>
      <c r="BX14" s="344">
        <f t="shared" si="25"/>
        <v>52500.000000000007</v>
      </c>
      <c r="BY14" s="983">
        <f t="shared" si="29"/>
        <v>17499.999999999993</v>
      </c>
      <c r="BZ14" s="274">
        <f t="shared" si="15"/>
        <v>570000</v>
      </c>
      <c r="CA14" s="275">
        <f t="shared" si="26"/>
        <v>17499.999999999993</v>
      </c>
      <c r="CB14" s="571">
        <f t="shared" si="16"/>
        <v>1</v>
      </c>
      <c r="CC14" s="1081"/>
      <c r="CD14" s="1081"/>
      <c r="CE14" s="1083"/>
      <c r="CF14" s="1084"/>
      <c r="CG14" s="862"/>
      <c r="CH14" s="862"/>
      <c r="CI14" s="862"/>
      <c r="CJ14" s="862"/>
      <c r="CK14" s="862"/>
      <c r="CL14" s="862"/>
      <c r="CM14" s="862"/>
      <c r="CN14" s="862"/>
      <c r="CO14" s="862"/>
      <c r="CP14" s="862"/>
      <c r="CQ14" s="1128"/>
      <c r="CR14" s="862"/>
      <c r="CS14" s="1128"/>
      <c r="CT14" s="862"/>
      <c r="CU14" s="862"/>
      <c r="CV14" s="862"/>
      <c r="CW14" s="862"/>
      <c r="CX14" s="862"/>
      <c r="CY14" s="73">
        <f t="shared" si="17"/>
        <v>0</v>
      </c>
      <c r="CZ14" s="862"/>
      <c r="DA14" s="862"/>
      <c r="DB14" s="862"/>
      <c r="DC14" s="862"/>
      <c r="DD14" s="862"/>
      <c r="DE14" s="862"/>
      <c r="DF14" s="862"/>
      <c r="DG14" s="862"/>
      <c r="DH14" s="1081"/>
      <c r="DI14" s="862"/>
      <c r="DJ14" s="862"/>
      <c r="DK14" s="862"/>
      <c r="DL14" s="862"/>
      <c r="DM14" s="862"/>
      <c r="DN14" s="862"/>
      <c r="DO14" s="862"/>
      <c r="DP14" s="862"/>
      <c r="DQ14" s="862"/>
      <c r="DR14" s="73">
        <f t="shared" si="18"/>
        <v>0</v>
      </c>
      <c r="DS14" s="412"/>
      <c r="DT14" s="412"/>
      <c r="DU14" s="420"/>
      <c r="DV14" s="412"/>
      <c r="DW14" s="412"/>
      <c r="DX14" s="412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</row>
    <row r="15" spans="1:157" s="278" customFormat="1" ht="24.75" customHeight="1" x14ac:dyDescent="0.2">
      <c r="A15" s="786">
        <f t="shared" si="27"/>
        <v>11</v>
      </c>
      <c r="B15" s="141" t="s">
        <v>345</v>
      </c>
      <c r="C15" s="281" t="s">
        <v>25</v>
      </c>
      <c r="D15" s="568">
        <v>10</v>
      </c>
      <c r="E15" s="270"/>
      <c r="F15" s="342"/>
      <c r="G15" s="270"/>
      <c r="H15" s="342"/>
      <c r="I15" s="342"/>
      <c r="J15" s="342"/>
      <c r="K15" s="342"/>
      <c r="L15" s="342"/>
      <c r="M15" s="342">
        <v>10</v>
      </c>
      <c r="N15" s="342"/>
      <c r="O15" s="342"/>
      <c r="P15" s="1207"/>
      <c r="Q15" s="1207"/>
      <c r="R15" s="1207"/>
      <c r="S15" s="464"/>
      <c r="T15" s="1299"/>
      <c r="U15" s="1184"/>
      <c r="V15" s="1184"/>
      <c r="W15" s="840">
        <f t="shared" si="19"/>
        <v>10</v>
      </c>
      <c r="X15" s="1019" t="s">
        <v>2</v>
      </c>
      <c r="Y15" s="556">
        <v>22700</v>
      </c>
      <c r="Z15" s="1018"/>
      <c r="AA15" s="1018"/>
      <c r="AB15" s="1018"/>
      <c r="AC15" s="569"/>
      <c r="AD15" s="569"/>
      <c r="AE15" s="569"/>
      <c r="AF15" s="569"/>
      <c r="AG15" s="569"/>
      <c r="AH15" s="569">
        <v>18000</v>
      </c>
      <c r="AI15" s="569"/>
      <c r="AJ15" s="569"/>
      <c r="AK15" s="1234"/>
      <c r="AL15" s="1234"/>
      <c r="AM15" s="1234"/>
      <c r="AN15" s="1186"/>
      <c r="AO15" s="1505"/>
      <c r="AP15" s="1186"/>
      <c r="AQ15" s="1186"/>
      <c r="AR15" s="570">
        <f t="shared" si="20"/>
        <v>227000</v>
      </c>
      <c r="AS15" s="1199">
        <f t="shared" si="0"/>
        <v>0</v>
      </c>
      <c r="AT15" s="402">
        <f t="shared" si="1"/>
        <v>0</v>
      </c>
      <c r="AU15" s="402">
        <f t="shared" si="2"/>
        <v>0</v>
      </c>
      <c r="AV15" s="402">
        <f t="shared" si="3"/>
        <v>0</v>
      </c>
      <c r="AW15" s="402">
        <f t="shared" si="4"/>
        <v>0</v>
      </c>
      <c r="AX15" s="402">
        <f t="shared" si="5"/>
        <v>0</v>
      </c>
      <c r="AY15" s="402">
        <f t="shared" si="6"/>
        <v>0</v>
      </c>
      <c r="AZ15" s="402">
        <f t="shared" si="7"/>
        <v>0</v>
      </c>
      <c r="BA15" s="402">
        <f t="shared" si="8"/>
        <v>180000</v>
      </c>
      <c r="BB15" s="402">
        <f t="shared" si="9"/>
        <v>0</v>
      </c>
      <c r="BC15" s="1213">
        <f t="shared" si="10"/>
        <v>0</v>
      </c>
      <c r="BD15" s="1213">
        <f t="shared" si="11"/>
        <v>0</v>
      </c>
      <c r="BE15" s="1188">
        <f t="shared" si="12"/>
        <v>0</v>
      </c>
      <c r="BF15" s="1188">
        <f t="shared" si="13"/>
        <v>0</v>
      </c>
      <c r="BG15" s="1188">
        <f t="shared" si="13"/>
        <v>0</v>
      </c>
      <c r="BH15" s="1584">
        <f t="shared" si="13"/>
        <v>0</v>
      </c>
      <c r="BI15" s="1188">
        <f t="shared" si="13"/>
        <v>0</v>
      </c>
      <c r="BJ15" s="1188">
        <f t="shared" si="13"/>
        <v>0</v>
      </c>
      <c r="BK15" s="403">
        <f t="shared" si="21"/>
        <v>180000</v>
      </c>
      <c r="BL15" s="402">
        <f t="shared" si="30"/>
        <v>0</v>
      </c>
      <c r="BM15" s="402">
        <f t="shared" si="22"/>
        <v>0</v>
      </c>
      <c r="BN15" s="402"/>
      <c r="BO15" s="1199"/>
      <c r="BP15" s="402">
        <f t="shared" si="35"/>
        <v>0</v>
      </c>
      <c r="BQ15" s="402">
        <f t="shared" si="35"/>
        <v>0</v>
      </c>
      <c r="BR15" s="402">
        <f t="shared" si="31"/>
        <v>0</v>
      </c>
      <c r="BS15" s="402">
        <f t="shared" si="28"/>
        <v>0</v>
      </c>
      <c r="BT15" s="402">
        <f t="shared" si="32"/>
        <v>25200.000000000004</v>
      </c>
      <c r="BU15" s="402">
        <f t="shared" si="33"/>
        <v>0</v>
      </c>
      <c r="BV15" s="1213">
        <f>SUM(BC15*14%)</f>
        <v>0</v>
      </c>
      <c r="BW15" s="1188">
        <f t="shared" si="34"/>
        <v>0</v>
      </c>
      <c r="BX15" s="344">
        <f t="shared" si="25"/>
        <v>25200.000000000004</v>
      </c>
      <c r="BY15" s="983">
        <f t="shared" si="29"/>
        <v>21799.999999999996</v>
      </c>
      <c r="BZ15" s="274">
        <f t="shared" si="15"/>
        <v>227000</v>
      </c>
      <c r="CA15" s="275">
        <f t="shared" si="26"/>
        <v>21799.999999999996</v>
      </c>
      <c r="CB15" s="571">
        <f t="shared" si="16"/>
        <v>1</v>
      </c>
      <c r="CC15" s="1081"/>
      <c r="CD15" s="1081"/>
      <c r="CE15" s="1083"/>
      <c r="CF15" s="1084"/>
      <c r="CG15" s="862"/>
      <c r="CH15" s="862"/>
      <c r="CI15" s="862"/>
      <c r="CJ15" s="862"/>
      <c r="CK15" s="862"/>
      <c r="CL15" s="862"/>
      <c r="CM15" s="862"/>
      <c r="CN15" s="862"/>
      <c r="CO15" s="862"/>
      <c r="CP15" s="862"/>
      <c r="CQ15" s="1128"/>
      <c r="CR15" s="862"/>
      <c r="CS15" s="1128"/>
      <c r="CT15" s="862"/>
      <c r="CU15" s="862"/>
      <c r="CV15" s="862"/>
      <c r="CW15" s="862"/>
      <c r="CX15" s="862"/>
      <c r="CY15" s="73">
        <f t="shared" si="17"/>
        <v>0</v>
      </c>
      <c r="CZ15" s="862"/>
      <c r="DA15" s="862"/>
      <c r="DB15" s="862"/>
      <c r="DC15" s="862"/>
      <c r="DD15" s="862"/>
      <c r="DE15" s="862"/>
      <c r="DF15" s="862"/>
      <c r="DG15" s="862"/>
      <c r="DH15" s="1081"/>
      <c r="DI15" s="862"/>
      <c r="DJ15" s="862"/>
      <c r="DK15" s="862"/>
      <c r="DL15" s="862"/>
      <c r="DM15" s="862"/>
      <c r="DN15" s="862"/>
      <c r="DO15" s="862"/>
      <c r="DP15" s="862"/>
      <c r="DQ15" s="862"/>
      <c r="DR15" s="73">
        <f t="shared" si="18"/>
        <v>0</v>
      </c>
      <c r="DS15" s="412"/>
      <c r="DT15" s="412"/>
      <c r="DU15" s="420"/>
      <c r="DV15" s="412"/>
      <c r="DW15" s="412"/>
      <c r="DX15" s="412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</row>
    <row r="16" spans="1:157" s="278" customFormat="1" ht="24.75" customHeight="1" x14ac:dyDescent="0.2">
      <c r="A16" s="786">
        <f t="shared" si="27"/>
        <v>12</v>
      </c>
      <c r="B16" s="141" t="s">
        <v>346</v>
      </c>
      <c r="C16" s="281" t="s">
        <v>25</v>
      </c>
      <c r="D16" s="568">
        <v>7</v>
      </c>
      <c r="E16" s="270"/>
      <c r="F16" s="342"/>
      <c r="G16" s="270"/>
      <c r="H16" s="342"/>
      <c r="I16" s="342"/>
      <c r="J16" s="342"/>
      <c r="K16" s="342"/>
      <c r="L16" s="342"/>
      <c r="M16" s="342">
        <v>7</v>
      </c>
      <c r="N16" s="342"/>
      <c r="O16" s="342"/>
      <c r="P16" s="1207"/>
      <c r="Q16" s="1207"/>
      <c r="R16" s="1207"/>
      <c r="S16" s="464"/>
      <c r="T16" s="1299"/>
      <c r="U16" s="1184"/>
      <c r="V16" s="1184"/>
      <c r="W16" s="840">
        <f t="shared" si="19"/>
        <v>7</v>
      </c>
      <c r="X16" s="1019" t="s">
        <v>2</v>
      </c>
      <c r="Y16" s="556">
        <v>22700</v>
      </c>
      <c r="Z16" s="1018"/>
      <c r="AA16" s="569"/>
      <c r="AB16" s="569"/>
      <c r="AC16" s="569"/>
      <c r="AD16" s="569"/>
      <c r="AE16" s="569"/>
      <c r="AF16" s="569"/>
      <c r="AG16" s="569"/>
      <c r="AH16" s="569">
        <v>18000</v>
      </c>
      <c r="AI16" s="569"/>
      <c r="AJ16" s="569"/>
      <c r="AK16" s="1234"/>
      <c r="AL16" s="1234"/>
      <c r="AM16" s="1234"/>
      <c r="AN16" s="1186"/>
      <c r="AO16" s="1505"/>
      <c r="AP16" s="1186"/>
      <c r="AQ16" s="1186"/>
      <c r="AR16" s="570">
        <f t="shared" si="20"/>
        <v>158900</v>
      </c>
      <c r="AS16" s="1199">
        <f t="shared" si="0"/>
        <v>0</v>
      </c>
      <c r="AT16" s="402">
        <f t="shared" si="1"/>
        <v>0</v>
      </c>
      <c r="AU16" s="402">
        <f t="shared" si="2"/>
        <v>0</v>
      </c>
      <c r="AV16" s="402">
        <f t="shared" si="3"/>
        <v>0</v>
      </c>
      <c r="AW16" s="402">
        <f t="shared" si="4"/>
        <v>0</v>
      </c>
      <c r="AX16" s="402">
        <f t="shared" si="5"/>
        <v>0</v>
      </c>
      <c r="AY16" s="402">
        <f t="shared" si="6"/>
        <v>0</v>
      </c>
      <c r="AZ16" s="402">
        <f t="shared" si="7"/>
        <v>0</v>
      </c>
      <c r="BA16" s="402">
        <f t="shared" si="8"/>
        <v>126000</v>
      </c>
      <c r="BB16" s="402">
        <f t="shared" si="9"/>
        <v>0</v>
      </c>
      <c r="BC16" s="1213">
        <f t="shared" si="10"/>
        <v>0</v>
      </c>
      <c r="BD16" s="1213">
        <f t="shared" si="11"/>
        <v>0</v>
      </c>
      <c r="BE16" s="1188">
        <f t="shared" si="12"/>
        <v>0</v>
      </c>
      <c r="BF16" s="1188">
        <f t="shared" si="13"/>
        <v>0</v>
      </c>
      <c r="BG16" s="1188">
        <f t="shared" si="13"/>
        <v>0</v>
      </c>
      <c r="BH16" s="1584">
        <f t="shared" si="13"/>
        <v>0</v>
      </c>
      <c r="BI16" s="1188">
        <f t="shared" si="13"/>
        <v>0</v>
      </c>
      <c r="BJ16" s="1188">
        <f t="shared" si="13"/>
        <v>0</v>
      </c>
      <c r="BK16" s="403">
        <f t="shared" si="21"/>
        <v>126000</v>
      </c>
      <c r="BL16" s="402">
        <f t="shared" si="30"/>
        <v>0</v>
      </c>
      <c r="BM16" s="402">
        <f t="shared" si="22"/>
        <v>0</v>
      </c>
      <c r="BN16" s="402"/>
      <c r="BO16" s="1199"/>
      <c r="BP16" s="402">
        <f t="shared" si="35"/>
        <v>0</v>
      </c>
      <c r="BQ16" s="402">
        <f t="shared" si="35"/>
        <v>0</v>
      </c>
      <c r="BR16" s="402">
        <f t="shared" si="31"/>
        <v>0</v>
      </c>
      <c r="BS16" s="402">
        <f t="shared" si="28"/>
        <v>0</v>
      </c>
      <c r="BT16" s="402">
        <f t="shared" si="32"/>
        <v>17640</v>
      </c>
      <c r="BU16" s="402">
        <f t="shared" si="33"/>
        <v>0</v>
      </c>
      <c r="BV16" s="1213"/>
      <c r="BW16" s="1188">
        <f t="shared" si="34"/>
        <v>0</v>
      </c>
      <c r="BX16" s="344">
        <f t="shared" si="25"/>
        <v>17640</v>
      </c>
      <c r="BY16" s="983">
        <f t="shared" si="29"/>
        <v>15260</v>
      </c>
      <c r="BZ16" s="274">
        <f t="shared" si="15"/>
        <v>158900</v>
      </c>
      <c r="CA16" s="275">
        <f t="shared" si="26"/>
        <v>15260</v>
      </c>
      <c r="CB16" s="571">
        <f t="shared" si="16"/>
        <v>1</v>
      </c>
      <c r="CC16" s="1081"/>
      <c r="CD16" s="1081"/>
      <c r="CE16" s="1083"/>
      <c r="CF16" s="1084"/>
      <c r="CG16" s="862"/>
      <c r="CH16" s="862"/>
      <c r="CI16" s="862"/>
      <c r="CJ16" s="862"/>
      <c r="CK16" s="862"/>
      <c r="CL16" s="862"/>
      <c r="CM16" s="862"/>
      <c r="CN16" s="862"/>
      <c r="CO16" s="862"/>
      <c r="CP16" s="862"/>
      <c r="CQ16" s="1128"/>
      <c r="CR16" s="862"/>
      <c r="CS16" s="1128"/>
      <c r="CT16" s="862"/>
      <c r="CU16" s="862"/>
      <c r="CV16" s="862"/>
      <c r="CW16" s="862"/>
      <c r="CX16" s="862"/>
      <c r="CY16" s="73">
        <f t="shared" si="17"/>
        <v>0</v>
      </c>
      <c r="CZ16" s="862"/>
      <c r="DA16" s="862"/>
      <c r="DB16" s="862"/>
      <c r="DC16" s="862"/>
      <c r="DD16" s="862"/>
      <c r="DE16" s="862"/>
      <c r="DF16" s="862"/>
      <c r="DG16" s="862"/>
      <c r="DH16" s="1081"/>
      <c r="DI16" s="862"/>
      <c r="DJ16" s="862"/>
      <c r="DK16" s="862"/>
      <c r="DL16" s="862"/>
      <c r="DM16" s="862"/>
      <c r="DN16" s="862"/>
      <c r="DO16" s="862"/>
      <c r="DP16" s="862"/>
      <c r="DQ16" s="862"/>
      <c r="DR16" s="73">
        <f t="shared" si="18"/>
        <v>0</v>
      </c>
      <c r="DS16" s="412"/>
      <c r="DT16" s="412"/>
      <c r="DU16" s="420"/>
      <c r="DV16" s="412"/>
      <c r="DW16" s="412"/>
      <c r="DX16" s="412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</row>
    <row r="17" spans="1:139" s="278" customFormat="1" ht="24.75" customHeight="1" x14ac:dyDescent="0.2">
      <c r="A17" s="786">
        <f t="shared" si="27"/>
        <v>13</v>
      </c>
      <c r="B17" s="141" t="s">
        <v>162</v>
      </c>
      <c r="C17" s="281" t="s">
        <v>25</v>
      </c>
      <c r="D17" s="568">
        <v>10</v>
      </c>
      <c r="E17" s="270"/>
      <c r="F17" s="342"/>
      <c r="G17" s="270"/>
      <c r="H17" s="342"/>
      <c r="I17" s="342"/>
      <c r="J17" s="342"/>
      <c r="K17" s="342"/>
      <c r="L17" s="342"/>
      <c r="M17" s="342">
        <v>10</v>
      </c>
      <c r="N17" s="342"/>
      <c r="O17" s="342"/>
      <c r="P17" s="1207"/>
      <c r="Q17" s="1207"/>
      <c r="R17" s="1207"/>
      <c r="S17" s="464"/>
      <c r="T17" s="1299"/>
      <c r="U17" s="1184"/>
      <c r="V17" s="1184"/>
      <c r="W17" s="840">
        <f t="shared" si="19"/>
        <v>10</v>
      </c>
      <c r="X17" s="1019" t="s">
        <v>2</v>
      </c>
      <c r="Y17" s="556">
        <v>11400</v>
      </c>
      <c r="Z17" s="1018"/>
      <c r="AA17" s="1018"/>
      <c r="AB17" s="569"/>
      <c r="AC17" s="569"/>
      <c r="AD17" s="569"/>
      <c r="AE17" s="569"/>
      <c r="AF17" s="569"/>
      <c r="AG17" s="569"/>
      <c r="AH17" s="569">
        <v>8000</v>
      </c>
      <c r="AI17" s="569"/>
      <c r="AJ17" s="569"/>
      <c r="AK17" s="1234"/>
      <c r="AL17" s="1234"/>
      <c r="AM17" s="1234"/>
      <c r="AN17" s="1186"/>
      <c r="AO17" s="1505"/>
      <c r="AP17" s="1186"/>
      <c r="AQ17" s="1186"/>
      <c r="AR17" s="570">
        <f t="shared" si="20"/>
        <v>114000</v>
      </c>
      <c r="AS17" s="1199">
        <f t="shared" si="0"/>
        <v>0</v>
      </c>
      <c r="AT17" s="402">
        <f t="shared" si="1"/>
        <v>0</v>
      </c>
      <c r="AU17" s="402">
        <f t="shared" si="2"/>
        <v>0</v>
      </c>
      <c r="AV17" s="402">
        <f t="shared" si="3"/>
        <v>0</v>
      </c>
      <c r="AW17" s="402">
        <f t="shared" si="4"/>
        <v>0</v>
      </c>
      <c r="AX17" s="402">
        <f t="shared" si="5"/>
        <v>0</v>
      </c>
      <c r="AY17" s="402">
        <f t="shared" si="6"/>
        <v>0</v>
      </c>
      <c r="AZ17" s="402">
        <f t="shared" si="7"/>
        <v>0</v>
      </c>
      <c r="BA17" s="402">
        <f t="shared" si="8"/>
        <v>80000</v>
      </c>
      <c r="BB17" s="402">
        <f t="shared" si="9"/>
        <v>0</v>
      </c>
      <c r="BC17" s="1213">
        <f t="shared" si="10"/>
        <v>0</v>
      </c>
      <c r="BD17" s="1213">
        <f t="shared" si="11"/>
        <v>0</v>
      </c>
      <c r="BE17" s="1188">
        <f t="shared" si="12"/>
        <v>0</v>
      </c>
      <c r="BF17" s="1188">
        <f t="shared" si="13"/>
        <v>0</v>
      </c>
      <c r="BG17" s="1188">
        <f t="shared" si="13"/>
        <v>0</v>
      </c>
      <c r="BH17" s="1584">
        <f t="shared" si="13"/>
        <v>0</v>
      </c>
      <c r="BI17" s="1188">
        <f t="shared" si="13"/>
        <v>0</v>
      </c>
      <c r="BJ17" s="1188">
        <f t="shared" si="13"/>
        <v>0</v>
      </c>
      <c r="BK17" s="403">
        <f t="shared" si="21"/>
        <v>80000</v>
      </c>
      <c r="BL17" s="402">
        <f t="shared" si="30"/>
        <v>0</v>
      </c>
      <c r="BM17" s="402">
        <f t="shared" si="22"/>
        <v>0</v>
      </c>
      <c r="BN17" s="402">
        <f>SUM(AU17*3%)</f>
        <v>0</v>
      </c>
      <c r="BO17" s="1199">
        <f>SUM(AV17*14%)</f>
        <v>0</v>
      </c>
      <c r="BP17" s="402">
        <f t="shared" si="35"/>
        <v>0</v>
      </c>
      <c r="BQ17" s="402">
        <f t="shared" si="35"/>
        <v>0</v>
      </c>
      <c r="BR17" s="402">
        <f t="shared" si="31"/>
        <v>0</v>
      </c>
      <c r="BS17" s="402">
        <f t="shared" si="28"/>
        <v>0</v>
      </c>
      <c r="BT17" s="402">
        <f t="shared" si="32"/>
        <v>11200.000000000002</v>
      </c>
      <c r="BU17" s="402">
        <f t="shared" si="33"/>
        <v>0</v>
      </c>
      <c r="BV17" s="1213">
        <f>SUM(BC17*14%)</f>
        <v>0</v>
      </c>
      <c r="BW17" s="1188">
        <f t="shared" si="34"/>
        <v>0</v>
      </c>
      <c r="BX17" s="344">
        <f t="shared" si="25"/>
        <v>11200.000000000002</v>
      </c>
      <c r="BY17" s="983">
        <f t="shared" si="29"/>
        <v>22800</v>
      </c>
      <c r="BZ17" s="274">
        <f t="shared" si="15"/>
        <v>114000</v>
      </c>
      <c r="CA17" s="275">
        <f t="shared" si="26"/>
        <v>22800</v>
      </c>
      <c r="CB17" s="571">
        <f t="shared" si="16"/>
        <v>1</v>
      </c>
      <c r="CC17" s="1081"/>
      <c r="CD17" s="1081"/>
      <c r="CE17" s="1083"/>
      <c r="CF17" s="1084"/>
      <c r="CG17" s="862"/>
      <c r="CH17" s="862"/>
      <c r="CI17" s="862"/>
      <c r="CJ17" s="862"/>
      <c r="CK17" s="862"/>
      <c r="CL17" s="862"/>
      <c r="CM17" s="862"/>
      <c r="CN17" s="862"/>
      <c r="CO17" s="862"/>
      <c r="CP17" s="862"/>
      <c r="CQ17" s="1128"/>
      <c r="CR17" s="862"/>
      <c r="CS17" s="1128"/>
      <c r="CT17" s="862"/>
      <c r="CU17" s="862"/>
      <c r="CV17" s="862"/>
      <c r="CW17" s="862"/>
      <c r="CX17" s="862"/>
      <c r="CY17" s="73">
        <f t="shared" si="17"/>
        <v>0</v>
      </c>
      <c r="CZ17" s="862"/>
      <c r="DA17" s="862"/>
      <c r="DB17" s="862"/>
      <c r="DC17" s="862"/>
      <c r="DD17" s="862"/>
      <c r="DE17" s="862"/>
      <c r="DF17" s="862"/>
      <c r="DG17" s="862"/>
      <c r="DH17" s="1081"/>
      <c r="DI17" s="862"/>
      <c r="DJ17" s="862"/>
      <c r="DK17" s="862"/>
      <c r="DL17" s="862"/>
      <c r="DM17" s="862"/>
      <c r="DN17" s="862"/>
      <c r="DO17" s="862"/>
      <c r="DP17" s="862"/>
      <c r="DQ17" s="862"/>
      <c r="DR17" s="73">
        <f t="shared" si="18"/>
        <v>0</v>
      </c>
      <c r="DS17" s="412"/>
      <c r="DT17" s="412"/>
      <c r="DU17" s="420"/>
      <c r="DV17" s="412"/>
      <c r="DW17" s="412"/>
      <c r="DX17" s="412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</row>
    <row r="18" spans="1:139" s="278" customFormat="1" ht="24.75" customHeight="1" x14ac:dyDescent="0.2">
      <c r="A18" s="786">
        <f t="shared" si="27"/>
        <v>14</v>
      </c>
      <c r="B18" s="141" t="s">
        <v>117</v>
      </c>
      <c r="C18" s="281" t="s">
        <v>25</v>
      </c>
      <c r="D18" s="568">
        <v>1</v>
      </c>
      <c r="E18" s="270"/>
      <c r="F18" s="342"/>
      <c r="G18" s="270"/>
      <c r="H18" s="342"/>
      <c r="I18" s="342"/>
      <c r="J18" s="342"/>
      <c r="K18" s="342"/>
      <c r="L18" s="342"/>
      <c r="M18" s="342"/>
      <c r="N18" s="342"/>
      <c r="O18" s="342"/>
      <c r="P18" s="1207"/>
      <c r="Q18" s="1207"/>
      <c r="R18" s="1207"/>
      <c r="S18" s="464"/>
      <c r="T18" s="1299"/>
      <c r="U18" s="1184"/>
      <c r="V18" s="1184"/>
      <c r="W18" s="840">
        <f t="shared" si="19"/>
        <v>0</v>
      </c>
      <c r="X18" s="1019" t="s">
        <v>14</v>
      </c>
      <c r="Y18" s="556">
        <v>4680</v>
      </c>
      <c r="Z18" s="1018"/>
      <c r="AA18" s="1018"/>
      <c r="AB18" s="569"/>
      <c r="AC18" s="569"/>
      <c r="AD18" s="569"/>
      <c r="AE18" s="569"/>
      <c r="AF18" s="569"/>
      <c r="AG18" s="569"/>
      <c r="AH18" s="569"/>
      <c r="AI18" s="569"/>
      <c r="AJ18" s="569"/>
      <c r="AK18" s="1234"/>
      <c r="AL18" s="1234"/>
      <c r="AM18" s="1234"/>
      <c r="AN18" s="1186"/>
      <c r="AO18" s="1505"/>
      <c r="AP18" s="1186"/>
      <c r="AQ18" s="1186"/>
      <c r="AR18" s="570">
        <f t="shared" ref="AR18" si="36">SUM(W18*Y18)</f>
        <v>0</v>
      </c>
      <c r="AS18" s="1199">
        <f t="shared" si="0"/>
        <v>0</v>
      </c>
      <c r="AT18" s="402">
        <f t="shared" si="1"/>
        <v>0</v>
      </c>
      <c r="AU18" s="402">
        <f t="shared" si="2"/>
        <v>0</v>
      </c>
      <c r="AV18" s="402">
        <f t="shared" si="3"/>
        <v>0</v>
      </c>
      <c r="AW18" s="402">
        <f t="shared" si="4"/>
        <v>0</v>
      </c>
      <c r="AX18" s="402">
        <f t="shared" si="5"/>
        <v>0</v>
      </c>
      <c r="AY18" s="402">
        <f t="shared" si="6"/>
        <v>0</v>
      </c>
      <c r="AZ18" s="402">
        <f t="shared" si="7"/>
        <v>0</v>
      </c>
      <c r="BA18" s="402">
        <f t="shared" si="8"/>
        <v>0</v>
      </c>
      <c r="BB18" s="402">
        <f t="shared" si="9"/>
        <v>0</v>
      </c>
      <c r="BC18" s="1213">
        <f t="shared" si="10"/>
        <v>0</v>
      </c>
      <c r="BD18" s="1213">
        <f t="shared" si="11"/>
        <v>0</v>
      </c>
      <c r="BE18" s="1188">
        <f t="shared" si="12"/>
        <v>0</v>
      </c>
      <c r="BF18" s="1188">
        <f t="shared" si="13"/>
        <v>0</v>
      </c>
      <c r="BG18" s="1188">
        <f t="shared" si="13"/>
        <v>0</v>
      </c>
      <c r="BH18" s="1584">
        <f t="shared" si="13"/>
        <v>0</v>
      </c>
      <c r="BI18" s="1188">
        <f t="shared" si="13"/>
        <v>0</v>
      </c>
      <c r="BJ18" s="1188">
        <f t="shared" si="13"/>
        <v>0</v>
      </c>
      <c r="BK18" s="403">
        <f t="shared" si="21"/>
        <v>0</v>
      </c>
      <c r="BL18" s="402">
        <f t="shared" ref="BL18" si="37">SUM(AS18*4%)</f>
        <v>0</v>
      </c>
      <c r="BM18" s="402">
        <f t="shared" ref="BM18" si="38">SUM(AT18*3%)</f>
        <v>0</v>
      </c>
      <c r="BN18" s="402">
        <f>SUM(AU18*3%)</f>
        <v>0</v>
      </c>
      <c r="BO18" s="1199">
        <f t="shared" ref="BO18" si="39">SUM(AV18*14%)</f>
        <v>0</v>
      </c>
      <c r="BP18" s="402">
        <f t="shared" ref="BP18" si="40">SUM(AW18*14%)</f>
        <v>0</v>
      </c>
      <c r="BQ18" s="402">
        <f t="shared" ref="BQ18" si="41">SUM(AX18*14%)</f>
        <v>0</v>
      </c>
      <c r="BR18" s="402">
        <f t="shared" ref="BR18" si="42">SUM(AY18*3%)</f>
        <v>0</v>
      </c>
      <c r="BS18" s="402">
        <f t="shared" ref="BS18" si="43">SUM(AZ18*3%)</f>
        <v>0</v>
      </c>
      <c r="BT18" s="402">
        <f t="shared" ref="BT18" si="44">SUM(BA18*14%)</f>
        <v>0</v>
      </c>
      <c r="BU18" s="402">
        <f t="shared" ref="BU18" si="45">SUM(BB18*14%)</f>
        <v>0</v>
      </c>
      <c r="BV18" s="1213">
        <f t="shared" ref="BV18" si="46">SUM(BC18*14%)</f>
        <v>0</v>
      </c>
      <c r="BW18" s="1188">
        <f t="shared" ref="BW18" si="47">SUM(BD18*14%)</f>
        <v>0</v>
      </c>
      <c r="BX18" s="344">
        <f t="shared" ref="BX18" si="48">SUM(BL18:BW18)</f>
        <v>0</v>
      </c>
      <c r="BY18" s="983">
        <f t="shared" ref="BY18" si="49">AR18-BK18-BX18</f>
        <v>0</v>
      </c>
      <c r="BZ18" s="274">
        <f t="shared" si="15"/>
        <v>4680</v>
      </c>
      <c r="CA18" s="275">
        <f t="shared" ref="CA18" si="50">BZ18-BK18-BX18</f>
        <v>4680</v>
      </c>
      <c r="CB18" s="571">
        <f t="shared" si="16"/>
        <v>0</v>
      </c>
      <c r="CC18" s="1081"/>
      <c r="CD18" s="1081"/>
      <c r="CE18" s="1083"/>
      <c r="CF18" s="1084"/>
      <c r="CG18" s="862"/>
      <c r="CH18" s="862"/>
      <c r="CI18" s="862"/>
      <c r="CJ18" s="862"/>
      <c r="CK18" s="862"/>
      <c r="CL18" s="862"/>
      <c r="CM18" s="862"/>
      <c r="CN18" s="862"/>
      <c r="CO18" s="862"/>
      <c r="CP18" s="862"/>
      <c r="CQ18" s="1128"/>
      <c r="CR18" s="862"/>
      <c r="CS18" s="1128"/>
      <c r="CT18" s="862"/>
      <c r="CU18" s="862"/>
      <c r="CV18" s="862"/>
      <c r="CW18" s="862"/>
      <c r="CX18" s="862"/>
      <c r="CY18" s="73">
        <f t="shared" si="17"/>
        <v>0</v>
      </c>
      <c r="CZ18" s="862"/>
      <c r="DA18" s="862"/>
      <c r="DB18" s="862"/>
      <c r="DC18" s="862"/>
      <c r="DD18" s="862"/>
      <c r="DE18" s="862"/>
      <c r="DF18" s="862"/>
      <c r="DG18" s="862"/>
      <c r="DH18" s="1081"/>
      <c r="DI18" s="862"/>
      <c r="DJ18" s="862"/>
      <c r="DK18" s="862"/>
      <c r="DL18" s="862"/>
      <c r="DM18" s="862"/>
      <c r="DN18" s="862"/>
      <c r="DO18" s="862"/>
      <c r="DP18" s="862"/>
      <c r="DQ18" s="862"/>
      <c r="DR18" s="73">
        <f t="shared" si="18"/>
        <v>0</v>
      </c>
      <c r="DS18" s="412"/>
      <c r="DT18" s="412"/>
      <c r="DU18" s="420"/>
      <c r="DV18" s="412"/>
      <c r="DW18" s="412"/>
      <c r="DX18" s="412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</row>
    <row r="19" spans="1:139" s="278" customFormat="1" ht="33.75" customHeight="1" x14ac:dyDescent="0.2">
      <c r="A19" s="786"/>
      <c r="B19" s="572" t="s">
        <v>168</v>
      </c>
      <c r="C19" s="281"/>
      <c r="D19" s="573"/>
      <c r="E19" s="1016"/>
      <c r="F19" s="342"/>
      <c r="G19" s="270"/>
      <c r="H19" s="342"/>
      <c r="I19" s="342"/>
      <c r="J19" s="342"/>
      <c r="K19" s="342"/>
      <c r="L19" s="342"/>
      <c r="M19" s="342"/>
      <c r="N19" s="342"/>
      <c r="O19" s="342"/>
      <c r="P19" s="1207"/>
      <c r="Q19" s="1207"/>
      <c r="R19" s="1207"/>
      <c r="S19" s="464"/>
      <c r="T19" s="1299"/>
      <c r="U19" s="1184"/>
      <c r="V19" s="1184"/>
      <c r="W19" s="840">
        <f t="shared" si="19"/>
        <v>0</v>
      </c>
      <c r="X19" s="574"/>
      <c r="Y19" s="1020"/>
      <c r="Z19" s="1017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1234"/>
      <c r="AL19" s="1234"/>
      <c r="AM19" s="1234"/>
      <c r="AN19" s="1186"/>
      <c r="AO19" s="1505"/>
      <c r="AP19" s="1186"/>
      <c r="AQ19" s="1186"/>
      <c r="AR19" s="570">
        <f t="shared" si="20"/>
        <v>0</v>
      </c>
      <c r="AS19" s="1365">
        <f t="shared" si="0"/>
        <v>0</v>
      </c>
      <c r="AT19" s="575">
        <f t="shared" si="1"/>
        <v>0</v>
      </c>
      <c r="AU19" s="575">
        <f t="shared" si="2"/>
        <v>0</v>
      </c>
      <c r="AV19" s="575">
        <f t="shared" si="3"/>
        <v>0</v>
      </c>
      <c r="AW19" s="575">
        <f t="shared" si="4"/>
        <v>0</v>
      </c>
      <c r="AX19" s="575">
        <f t="shared" si="5"/>
        <v>0</v>
      </c>
      <c r="AY19" s="575">
        <f t="shared" si="6"/>
        <v>0</v>
      </c>
      <c r="AZ19" s="575">
        <f t="shared" si="7"/>
        <v>0</v>
      </c>
      <c r="BA19" s="575">
        <f t="shared" si="8"/>
        <v>0</v>
      </c>
      <c r="BB19" s="575">
        <f t="shared" si="9"/>
        <v>0</v>
      </c>
      <c r="BC19" s="1237">
        <f t="shared" si="10"/>
        <v>0</v>
      </c>
      <c r="BD19" s="1237">
        <f t="shared" si="11"/>
        <v>0</v>
      </c>
      <c r="BE19" s="1189">
        <f t="shared" si="12"/>
        <v>0</v>
      </c>
      <c r="BF19" s="1189">
        <f t="shared" si="13"/>
        <v>0</v>
      </c>
      <c r="BG19" s="1189">
        <f t="shared" si="13"/>
        <v>0</v>
      </c>
      <c r="BH19" s="1585">
        <f t="shared" si="13"/>
        <v>0</v>
      </c>
      <c r="BI19" s="1189">
        <f t="shared" si="13"/>
        <v>0</v>
      </c>
      <c r="BJ19" s="1189">
        <f t="shared" si="13"/>
        <v>0</v>
      </c>
      <c r="BK19" s="403">
        <f t="shared" si="21"/>
        <v>0</v>
      </c>
      <c r="BL19" s="575">
        <f t="shared" ref="BL19:BU19" si="51">AS19*X19</f>
        <v>0</v>
      </c>
      <c r="BM19" s="575">
        <f t="shared" si="51"/>
        <v>0</v>
      </c>
      <c r="BN19" s="575">
        <f t="shared" si="51"/>
        <v>0</v>
      </c>
      <c r="BO19" s="1365">
        <f t="shared" si="51"/>
        <v>0</v>
      </c>
      <c r="BP19" s="575">
        <f t="shared" si="51"/>
        <v>0</v>
      </c>
      <c r="BQ19" s="575">
        <f t="shared" si="51"/>
        <v>0</v>
      </c>
      <c r="BR19" s="575">
        <f t="shared" si="51"/>
        <v>0</v>
      </c>
      <c r="BS19" s="575">
        <f t="shared" si="51"/>
        <v>0</v>
      </c>
      <c r="BT19" s="575">
        <f t="shared" si="51"/>
        <v>0</v>
      </c>
      <c r="BU19" s="575">
        <f t="shared" si="51"/>
        <v>0</v>
      </c>
      <c r="BV19" s="1237"/>
      <c r="BW19" s="1189">
        <f>BD19*AI19</f>
        <v>0</v>
      </c>
      <c r="BX19" s="344">
        <f t="shared" si="25"/>
        <v>0</v>
      </c>
      <c r="BY19" s="983">
        <f t="shared" si="29"/>
        <v>0</v>
      </c>
      <c r="BZ19" s="274">
        <f t="shared" si="15"/>
        <v>0</v>
      </c>
      <c r="CA19" s="275">
        <f t="shared" si="26"/>
        <v>0</v>
      </c>
      <c r="CB19" s="571"/>
      <c r="CC19" s="1081"/>
      <c r="CD19" s="1081"/>
      <c r="CE19" s="1083"/>
      <c r="CF19" s="1084"/>
      <c r="CG19" s="862"/>
      <c r="CH19" s="862"/>
      <c r="CI19" s="862"/>
      <c r="CJ19" s="862"/>
      <c r="CK19" s="862"/>
      <c r="CL19" s="862"/>
      <c r="CM19" s="862"/>
      <c r="CN19" s="862"/>
      <c r="CO19" s="862"/>
      <c r="CP19" s="862"/>
      <c r="CQ19" s="1128"/>
      <c r="CR19" s="862"/>
      <c r="CS19" s="1128"/>
      <c r="CT19" s="862"/>
      <c r="CU19" s="862"/>
      <c r="CV19" s="862"/>
      <c r="CW19" s="862"/>
      <c r="CX19" s="862"/>
      <c r="CY19" s="73">
        <f t="shared" si="17"/>
        <v>0</v>
      </c>
      <c r="CZ19" s="862"/>
      <c r="DA19" s="862"/>
      <c r="DB19" s="862"/>
      <c r="DC19" s="862"/>
      <c r="DD19" s="862"/>
      <c r="DE19" s="862"/>
      <c r="DF19" s="862"/>
      <c r="DG19" s="862"/>
      <c r="DH19" s="1081"/>
      <c r="DI19" s="862"/>
      <c r="DJ19" s="862"/>
      <c r="DK19" s="862"/>
      <c r="DL19" s="862"/>
      <c r="DM19" s="862"/>
      <c r="DN19" s="862"/>
      <c r="DO19" s="862"/>
      <c r="DP19" s="862"/>
      <c r="DQ19" s="862"/>
      <c r="DR19" s="73">
        <f t="shared" si="18"/>
        <v>0</v>
      </c>
      <c r="DS19" s="412"/>
      <c r="DT19" s="412"/>
      <c r="DU19" s="420"/>
      <c r="DV19" s="412"/>
      <c r="DW19" s="412"/>
      <c r="DX19" s="412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</row>
    <row r="20" spans="1:139" s="278" customFormat="1" ht="32.25" customHeight="1" x14ac:dyDescent="0.2">
      <c r="A20" s="786">
        <v>15</v>
      </c>
      <c r="B20" s="141" t="s">
        <v>164</v>
      </c>
      <c r="C20" s="567" t="s">
        <v>25</v>
      </c>
      <c r="D20" s="568">
        <v>4</v>
      </c>
      <c r="E20" s="270"/>
      <c r="F20" s="342"/>
      <c r="G20" s="270"/>
      <c r="H20" s="342"/>
      <c r="I20" s="342"/>
      <c r="J20" s="342"/>
      <c r="K20" s="342"/>
      <c r="L20" s="342"/>
      <c r="M20" s="342"/>
      <c r="N20" s="342"/>
      <c r="O20" s="342"/>
      <c r="P20" s="1207">
        <v>4</v>
      </c>
      <c r="Q20" s="1207"/>
      <c r="R20" s="1207"/>
      <c r="S20" s="464"/>
      <c r="T20" s="1299"/>
      <c r="U20" s="1184"/>
      <c r="V20" s="1184"/>
      <c r="W20" s="840">
        <f t="shared" si="19"/>
        <v>4</v>
      </c>
      <c r="X20" s="1021" t="s">
        <v>27</v>
      </c>
      <c r="Y20" s="556">
        <v>61800</v>
      </c>
      <c r="Z20" s="1017"/>
      <c r="AA20" s="1017"/>
      <c r="AB20" s="569"/>
      <c r="AC20" s="569"/>
      <c r="AD20" s="569"/>
      <c r="AE20" s="569"/>
      <c r="AF20" s="569"/>
      <c r="AG20" s="569"/>
      <c r="AH20" s="569"/>
      <c r="AI20" s="569"/>
      <c r="AJ20" s="569"/>
      <c r="AK20" s="1234">
        <v>50000</v>
      </c>
      <c r="AL20" s="1234"/>
      <c r="AM20" s="1234"/>
      <c r="AN20" s="1186"/>
      <c r="AO20" s="1505"/>
      <c r="AP20" s="1186"/>
      <c r="AQ20" s="1186"/>
      <c r="AR20" s="570">
        <f t="shared" si="20"/>
        <v>247200</v>
      </c>
      <c r="AS20" s="1199">
        <f t="shared" si="0"/>
        <v>0</v>
      </c>
      <c r="AT20" s="402">
        <f t="shared" si="1"/>
        <v>0</v>
      </c>
      <c r="AU20" s="402">
        <f t="shared" si="2"/>
        <v>0</v>
      </c>
      <c r="AV20" s="402">
        <f t="shared" si="3"/>
        <v>0</v>
      </c>
      <c r="AW20" s="402">
        <f t="shared" si="4"/>
        <v>0</v>
      </c>
      <c r="AX20" s="402">
        <f t="shared" si="5"/>
        <v>0</v>
      </c>
      <c r="AY20" s="402">
        <f t="shared" si="6"/>
        <v>0</v>
      </c>
      <c r="AZ20" s="402">
        <f t="shared" si="7"/>
        <v>0</v>
      </c>
      <c r="BA20" s="402">
        <f t="shared" si="8"/>
        <v>0</v>
      </c>
      <c r="BB20" s="402">
        <f t="shared" si="9"/>
        <v>0</v>
      </c>
      <c r="BC20" s="1213">
        <f t="shared" si="10"/>
        <v>0</v>
      </c>
      <c r="BD20" s="1213">
        <f t="shared" si="11"/>
        <v>200000</v>
      </c>
      <c r="BE20" s="1188">
        <f t="shared" si="12"/>
        <v>0</v>
      </c>
      <c r="BF20" s="1188">
        <f t="shared" si="13"/>
        <v>0</v>
      </c>
      <c r="BG20" s="1188">
        <f t="shared" si="13"/>
        <v>0</v>
      </c>
      <c r="BH20" s="1584">
        <f t="shared" si="13"/>
        <v>0</v>
      </c>
      <c r="BI20" s="1188">
        <f t="shared" si="13"/>
        <v>0</v>
      </c>
      <c r="BJ20" s="1188">
        <f t="shared" si="13"/>
        <v>0</v>
      </c>
      <c r="BK20" s="403">
        <f t="shared" si="21"/>
        <v>200000</v>
      </c>
      <c r="BL20" s="402">
        <f t="shared" ref="BL20:BL29" si="52">SUM(AS20*4%)</f>
        <v>0</v>
      </c>
      <c r="BM20" s="402"/>
      <c r="BN20" s="402"/>
      <c r="BO20" s="1199">
        <f t="shared" ref="BO20:BU25" si="53">SUM(AV20*14%)</f>
        <v>0</v>
      </c>
      <c r="BP20" s="402">
        <f t="shared" si="53"/>
        <v>0</v>
      </c>
      <c r="BQ20" s="402">
        <f t="shared" si="53"/>
        <v>0</v>
      </c>
      <c r="BR20" s="402">
        <f t="shared" si="53"/>
        <v>0</v>
      </c>
      <c r="BS20" s="402">
        <f t="shared" si="53"/>
        <v>0</v>
      </c>
      <c r="BT20" s="402">
        <f t="shared" si="53"/>
        <v>0</v>
      </c>
      <c r="BU20" s="402">
        <f t="shared" si="53"/>
        <v>0</v>
      </c>
      <c r="BV20" s="1213">
        <f>BC20*1.5%</f>
        <v>0</v>
      </c>
      <c r="BW20" s="1188"/>
      <c r="BX20" s="344">
        <f t="shared" si="25"/>
        <v>0</v>
      </c>
      <c r="BY20" s="983">
        <f t="shared" si="29"/>
        <v>47200</v>
      </c>
      <c r="BZ20" s="274">
        <f t="shared" si="15"/>
        <v>247200</v>
      </c>
      <c r="CA20" s="275">
        <f t="shared" si="26"/>
        <v>47200</v>
      </c>
      <c r="CB20" s="571">
        <f t="shared" ref="CB20:CB28" si="54">SUM(W20/D20)</f>
        <v>1</v>
      </c>
      <c r="CC20" s="1081"/>
      <c r="CD20" s="1081"/>
      <c r="CE20" s="1083"/>
      <c r="CF20" s="1084"/>
      <c r="CG20" s="862"/>
      <c r="CH20" s="862"/>
      <c r="CI20" s="862"/>
      <c r="CJ20" s="862"/>
      <c r="CK20" s="862"/>
      <c r="CL20" s="862"/>
      <c r="CM20" s="862"/>
      <c r="CN20" s="862"/>
      <c r="CO20" s="862"/>
      <c r="CP20" s="862"/>
      <c r="CQ20" s="1128"/>
      <c r="CR20" s="862"/>
      <c r="CS20" s="1128"/>
      <c r="CT20" s="862"/>
      <c r="CU20" s="862"/>
      <c r="CV20" s="862"/>
      <c r="CW20" s="862"/>
      <c r="CX20" s="862"/>
      <c r="CY20" s="73">
        <f t="shared" si="17"/>
        <v>0</v>
      </c>
      <c r="CZ20" s="862"/>
      <c r="DA20" s="862"/>
      <c r="DB20" s="862"/>
      <c r="DC20" s="862"/>
      <c r="DD20" s="862"/>
      <c r="DE20" s="862"/>
      <c r="DF20" s="862"/>
      <c r="DG20" s="862"/>
      <c r="DH20" s="1081"/>
      <c r="DI20" s="862"/>
      <c r="DJ20" s="862"/>
      <c r="DK20" s="862"/>
      <c r="DL20" s="862"/>
      <c r="DM20" s="862"/>
      <c r="DN20" s="862"/>
      <c r="DO20" s="862"/>
      <c r="DP20" s="862"/>
      <c r="DQ20" s="862"/>
      <c r="DR20" s="73">
        <f t="shared" si="18"/>
        <v>0</v>
      </c>
      <c r="DS20" s="412"/>
      <c r="DT20" s="412"/>
      <c r="DU20" s="420"/>
      <c r="DV20" s="412"/>
      <c r="DW20" s="412"/>
      <c r="DX20" s="412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</row>
    <row r="21" spans="1:139" s="278" customFormat="1" ht="24.75" customHeight="1" x14ac:dyDescent="0.2">
      <c r="A21" s="786">
        <f t="shared" si="27"/>
        <v>16</v>
      </c>
      <c r="B21" s="141" t="s">
        <v>347</v>
      </c>
      <c r="C21" s="567" t="s">
        <v>25</v>
      </c>
      <c r="D21" s="568">
        <v>4</v>
      </c>
      <c r="E21" s="270"/>
      <c r="F21" s="342"/>
      <c r="G21" s="270"/>
      <c r="H21" s="342"/>
      <c r="I21" s="342"/>
      <c r="J21" s="342"/>
      <c r="K21" s="342"/>
      <c r="L21" s="342"/>
      <c r="M21" s="342"/>
      <c r="N21" s="342"/>
      <c r="O21" s="342"/>
      <c r="P21" s="1207">
        <v>4</v>
      </c>
      <c r="Q21" s="1207"/>
      <c r="R21" s="1207"/>
      <c r="S21" s="464"/>
      <c r="T21" s="1299"/>
      <c r="U21" s="1184"/>
      <c r="V21" s="1184"/>
      <c r="W21" s="840">
        <f t="shared" si="19"/>
        <v>4</v>
      </c>
      <c r="X21" s="1021" t="s">
        <v>27</v>
      </c>
      <c r="Y21" s="556">
        <v>26000</v>
      </c>
      <c r="Z21" s="1017"/>
      <c r="AA21" s="1017"/>
      <c r="AB21" s="569"/>
      <c r="AC21" s="569"/>
      <c r="AD21" s="569"/>
      <c r="AE21" s="569"/>
      <c r="AF21" s="569"/>
      <c r="AG21" s="569"/>
      <c r="AH21" s="569"/>
      <c r="AI21" s="569"/>
      <c r="AJ21" s="569"/>
      <c r="AK21" s="1234">
        <v>20000</v>
      </c>
      <c r="AL21" s="1234"/>
      <c r="AM21" s="1234"/>
      <c r="AN21" s="1186"/>
      <c r="AO21" s="1505"/>
      <c r="AP21" s="1186"/>
      <c r="AQ21" s="1186"/>
      <c r="AR21" s="570">
        <f t="shared" si="20"/>
        <v>104000</v>
      </c>
      <c r="AS21" s="1199">
        <f t="shared" si="0"/>
        <v>0</v>
      </c>
      <c r="AT21" s="402">
        <f t="shared" si="1"/>
        <v>0</v>
      </c>
      <c r="AU21" s="402">
        <f t="shared" si="2"/>
        <v>0</v>
      </c>
      <c r="AV21" s="402">
        <f t="shared" si="3"/>
        <v>0</v>
      </c>
      <c r="AW21" s="402">
        <f t="shared" si="4"/>
        <v>0</v>
      </c>
      <c r="AX21" s="402">
        <f t="shared" si="5"/>
        <v>0</v>
      </c>
      <c r="AY21" s="402">
        <f t="shared" si="6"/>
        <v>0</v>
      </c>
      <c r="AZ21" s="402">
        <f t="shared" si="7"/>
        <v>0</v>
      </c>
      <c r="BA21" s="402">
        <f t="shared" si="8"/>
        <v>0</v>
      </c>
      <c r="BB21" s="402">
        <f t="shared" si="9"/>
        <v>0</v>
      </c>
      <c r="BC21" s="1213">
        <f t="shared" si="10"/>
        <v>0</v>
      </c>
      <c r="BD21" s="1213">
        <f t="shared" si="11"/>
        <v>80000</v>
      </c>
      <c r="BE21" s="1188">
        <f t="shared" si="12"/>
        <v>0</v>
      </c>
      <c r="BF21" s="1188">
        <f t="shared" ref="BF21:BJ36" si="55">AM21*R21</f>
        <v>0</v>
      </c>
      <c r="BG21" s="1188">
        <f t="shared" si="55"/>
        <v>0</v>
      </c>
      <c r="BH21" s="1584">
        <f t="shared" si="55"/>
        <v>0</v>
      </c>
      <c r="BI21" s="1188">
        <f t="shared" si="55"/>
        <v>0</v>
      </c>
      <c r="BJ21" s="1188">
        <f t="shared" si="55"/>
        <v>0</v>
      </c>
      <c r="BK21" s="403">
        <f t="shared" si="21"/>
        <v>80000</v>
      </c>
      <c r="BL21" s="402">
        <f t="shared" si="52"/>
        <v>0</v>
      </c>
      <c r="BM21" s="402"/>
      <c r="BN21" s="402"/>
      <c r="BO21" s="1199">
        <f t="shared" si="53"/>
        <v>0</v>
      </c>
      <c r="BP21" s="402">
        <f t="shared" si="53"/>
        <v>0</v>
      </c>
      <c r="BQ21" s="402">
        <f t="shared" si="53"/>
        <v>0</v>
      </c>
      <c r="BR21" s="402">
        <f t="shared" si="53"/>
        <v>0</v>
      </c>
      <c r="BS21" s="402">
        <f t="shared" si="53"/>
        <v>0</v>
      </c>
      <c r="BT21" s="402">
        <f t="shared" si="53"/>
        <v>0</v>
      </c>
      <c r="BU21" s="402">
        <f t="shared" si="53"/>
        <v>0</v>
      </c>
      <c r="BV21" s="1213">
        <f t="shared" ref="BV21:BV28" si="56">BC21*1.5%</f>
        <v>0</v>
      </c>
      <c r="BW21" s="1188"/>
      <c r="BX21" s="344">
        <f t="shared" si="25"/>
        <v>0</v>
      </c>
      <c r="BY21" s="983">
        <f t="shared" si="29"/>
        <v>24000</v>
      </c>
      <c r="BZ21" s="274">
        <f t="shared" si="15"/>
        <v>104000</v>
      </c>
      <c r="CA21" s="275">
        <f t="shared" si="26"/>
        <v>24000</v>
      </c>
      <c r="CB21" s="571">
        <f t="shared" si="54"/>
        <v>1</v>
      </c>
      <c r="CC21" s="1081"/>
      <c r="CD21" s="1081"/>
      <c r="CE21" s="1083"/>
      <c r="CF21" s="1084"/>
      <c r="CG21" s="862"/>
      <c r="CH21" s="862"/>
      <c r="CI21" s="862"/>
      <c r="CJ21" s="862"/>
      <c r="CK21" s="862"/>
      <c r="CL21" s="862"/>
      <c r="CM21" s="862"/>
      <c r="CN21" s="862"/>
      <c r="CO21" s="862"/>
      <c r="CP21" s="862"/>
      <c r="CQ21" s="1128"/>
      <c r="CR21" s="862"/>
      <c r="CS21" s="1128"/>
      <c r="CT21" s="862"/>
      <c r="CU21" s="862"/>
      <c r="CV21" s="862"/>
      <c r="CW21" s="862"/>
      <c r="CX21" s="862"/>
      <c r="CY21" s="73">
        <f t="shared" si="17"/>
        <v>0</v>
      </c>
      <c r="CZ21" s="862"/>
      <c r="DA21" s="862"/>
      <c r="DB21" s="862"/>
      <c r="DC21" s="862"/>
      <c r="DD21" s="862"/>
      <c r="DE21" s="862"/>
      <c r="DF21" s="862"/>
      <c r="DG21" s="862"/>
      <c r="DH21" s="1081"/>
      <c r="DI21" s="862"/>
      <c r="DJ21" s="862"/>
      <c r="DK21" s="862"/>
      <c r="DL21" s="862"/>
      <c r="DM21" s="862"/>
      <c r="DN21" s="862"/>
      <c r="DO21" s="862"/>
      <c r="DP21" s="862"/>
      <c r="DQ21" s="862"/>
      <c r="DR21" s="73">
        <f t="shared" si="18"/>
        <v>0</v>
      </c>
      <c r="DS21" s="412"/>
      <c r="DT21" s="412"/>
      <c r="DU21" s="420"/>
      <c r="DV21" s="412"/>
      <c r="DW21" s="412"/>
      <c r="DX21" s="412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</row>
    <row r="22" spans="1:139" s="278" customFormat="1" ht="32.25" customHeight="1" x14ac:dyDescent="0.2">
      <c r="A22" s="786">
        <f t="shared" si="27"/>
        <v>17</v>
      </c>
      <c r="B22" s="141" t="s">
        <v>165</v>
      </c>
      <c r="C22" s="567" t="s">
        <v>25</v>
      </c>
      <c r="D22" s="568">
        <v>2</v>
      </c>
      <c r="E22" s="270"/>
      <c r="F22" s="342"/>
      <c r="G22" s="270"/>
      <c r="H22" s="342"/>
      <c r="I22" s="342"/>
      <c r="J22" s="342"/>
      <c r="K22" s="342"/>
      <c r="L22" s="342"/>
      <c r="M22" s="342"/>
      <c r="N22" s="342"/>
      <c r="O22" s="342"/>
      <c r="P22" s="1207">
        <v>2</v>
      </c>
      <c r="Q22" s="1207"/>
      <c r="R22" s="1207"/>
      <c r="S22" s="464"/>
      <c r="T22" s="1299"/>
      <c r="U22" s="1184"/>
      <c r="V22" s="1184"/>
      <c r="W22" s="840">
        <f t="shared" si="19"/>
        <v>2</v>
      </c>
      <c r="X22" s="1021" t="s">
        <v>27</v>
      </c>
      <c r="Y22" s="556">
        <v>34000</v>
      </c>
      <c r="Z22" s="1017"/>
      <c r="AA22" s="1017"/>
      <c r="AB22" s="569"/>
      <c r="AC22" s="569"/>
      <c r="AD22" s="569"/>
      <c r="AE22" s="569"/>
      <c r="AF22" s="569"/>
      <c r="AG22" s="569"/>
      <c r="AH22" s="569"/>
      <c r="AI22" s="569"/>
      <c r="AJ22" s="569"/>
      <c r="AK22" s="1234">
        <v>20000</v>
      </c>
      <c r="AL22" s="1234"/>
      <c r="AM22" s="1234"/>
      <c r="AN22" s="1186"/>
      <c r="AO22" s="1505"/>
      <c r="AP22" s="1186"/>
      <c r="AQ22" s="1186"/>
      <c r="AR22" s="570">
        <f t="shared" si="20"/>
        <v>68000</v>
      </c>
      <c r="AS22" s="1199">
        <f t="shared" si="0"/>
        <v>0</v>
      </c>
      <c r="AT22" s="402">
        <f t="shared" si="1"/>
        <v>0</v>
      </c>
      <c r="AU22" s="402">
        <f t="shared" si="2"/>
        <v>0</v>
      </c>
      <c r="AV22" s="402">
        <f t="shared" si="3"/>
        <v>0</v>
      </c>
      <c r="AW22" s="402">
        <f t="shared" si="4"/>
        <v>0</v>
      </c>
      <c r="AX22" s="402">
        <f t="shared" si="5"/>
        <v>0</v>
      </c>
      <c r="AY22" s="402">
        <f t="shared" si="6"/>
        <v>0</v>
      </c>
      <c r="AZ22" s="402">
        <f t="shared" si="7"/>
        <v>0</v>
      </c>
      <c r="BA22" s="402">
        <f t="shared" si="8"/>
        <v>0</v>
      </c>
      <c r="BB22" s="402">
        <f t="shared" si="9"/>
        <v>0</v>
      </c>
      <c r="BC22" s="1213">
        <f t="shared" si="10"/>
        <v>0</v>
      </c>
      <c r="BD22" s="1213">
        <f t="shared" si="11"/>
        <v>40000</v>
      </c>
      <c r="BE22" s="1188">
        <f t="shared" si="12"/>
        <v>0</v>
      </c>
      <c r="BF22" s="1188">
        <f t="shared" si="55"/>
        <v>0</v>
      </c>
      <c r="BG22" s="1188">
        <f t="shared" si="55"/>
        <v>0</v>
      </c>
      <c r="BH22" s="1584">
        <f t="shared" si="55"/>
        <v>0</v>
      </c>
      <c r="BI22" s="1188">
        <f t="shared" si="55"/>
        <v>0</v>
      </c>
      <c r="BJ22" s="1188">
        <f t="shared" si="55"/>
        <v>0</v>
      </c>
      <c r="BK22" s="403">
        <f t="shared" si="21"/>
        <v>40000</v>
      </c>
      <c r="BL22" s="402">
        <f t="shared" si="52"/>
        <v>0</v>
      </c>
      <c r="BM22" s="402"/>
      <c r="BN22" s="402"/>
      <c r="BO22" s="1199">
        <f t="shared" si="53"/>
        <v>0</v>
      </c>
      <c r="BP22" s="402">
        <f t="shared" si="53"/>
        <v>0</v>
      </c>
      <c r="BQ22" s="402">
        <f t="shared" si="53"/>
        <v>0</v>
      </c>
      <c r="BR22" s="402">
        <f t="shared" si="53"/>
        <v>0</v>
      </c>
      <c r="BS22" s="402">
        <f t="shared" si="53"/>
        <v>0</v>
      </c>
      <c r="BT22" s="402">
        <f t="shared" si="53"/>
        <v>0</v>
      </c>
      <c r="BU22" s="402">
        <f t="shared" si="53"/>
        <v>0</v>
      </c>
      <c r="BV22" s="1213">
        <f t="shared" si="56"/>
        <v>0</v>
      </c>
      <c r="BW22" s="1188"/>
      <c r="BX22" s="344">
        <f t="shared" si="25"/>
        <v>0</v>
      </c>
      <c r="BY22" s="983">
        <f t="shared" si="29"/>
        <v>28000</v>
      </c>
      <c r="BZ22" s="274">
        <f t="shared" si="15"/>
        <v>68000</v>
      </c>
      <c r="CA22" s="275">
        <f t="shared" si="26"/>
        <v>28000</v>
      </c>
      <c r="CB22" s="571">
        <f t="shared" si="54"/>
        <v>1</v>
      </c>
      <c r="CC22" s="1081"/>
      <c r="CD22" s="1081"/>
      <c r="CE22" s="1083"/>
      <c r="CF22" s="1084"/>
      <c r="CG22" s="862"/>
      <c r="CH22" s="862"/>
      <c r="CI22" s="862"/>
      <c r="CJ22" s="862"/>
      <c r="CK22" s="862"/>
      <c r="CL22" s="862"/>
      <c r="CM22" s="862"/>
      <c r="CN22" s="862"/>
      <c r="CO22" s="862"/>
      <c r="CP22" s="862"/>
      <c r="CQ22" s="1128"/>
      <c r="CR22" s="862"/>
      <c r="CS22" s="1128"/>
      <c r="CT22" s="862"/>
      <c r="CU22" s="862"/>
      <c r="CV22" s="862"/>
      <c r="CW22" s="862"/>
      <c r="CX22" s="862"/>
      <c r="CY22" s="73">
        <f t="shared" si="17"/>
        <v>0</v>
      </c>
      <c r="CZ22" s="862"/>
      <c r="DA22" s="862"/>
      <c r="DB22" s="862"/>
      <c r="DC22" s="862"/>
      <c r="DD22" s="862"/>
      <c r="DE22" s="862"/>
      <c r="DF22" s="862"/>
      <c r="DG22" s="862"/>
      <c r="DH22" s="1081"/>
      <c r="DI22" s="862"/>
      <c r="DJ22" s="862"/>
      <c r="DK22" s="862"/>
      <c r="DL22" s="862"/>
      <c r="DM22" s="862"/>
      <c r="DN22" s="862"/>
      <c r="DO22" s="862"/>
      <c r="DP22" s="862"/>
      <c r="DQ22" s="862"/>
      <c r="DR22" s="73">
        <f t="shared" si="18"/>
        <v>0</v>
      </c>
      <c r="DS22" s="412"/>
      <c r="DT22" s="412"/>
      <c r="DU22" s="420"/>
      <c r="DV22" s="412"/>
      <c r="DW22" s="412"/>
      <c r="DX22" s="412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</row>
    <row r="23" spans="1:139" s="278" customFormat="1" ht="24.75" customHeight="1" x14ac:dyDescent="0.2">
      <c r="A23" s="786">
        <f t="shared" si="27"/>
        <v>18</v>
      </c>
      <c r="B23" s="141" t="s">
        <v>166</v>
      </c>
      <c r="C23" s="567" t="s">
        <v>25</v>
      </c>
      <c r="D23" s="568">
        <f>2*12</f>
        <v>24</v>
      </c>
      <c r="E23" s="270"/>
      <c r="F23" s="342"/>
      <c r="G23" s="270"/>
      <c r="H23" s="342"/>
      <c r="I23" s="342"/>
      <c r="J23" s="342"/>
      <c r="K23" s="342"/>
      <c r="L23" s="342"/>
      <c r="M23" s="342"/>
      <c r="N23" s="342"/>
      <c r="O23" s="342"/>
      <c r="P23" s="1207">
        <v>24</v>
      </c>
      <c r="Q23" s="1207"/>
      <c r="R23" s="1207"/>
      <c r="S23" s="464"/>
      <c r="T23" s="1299"/>
      <c r="U23" s="1184"/>
      <c r="V23" s="1184"/>
      <c r="W23" s="840">
        <f t="shared" si="19"/>
        <v>24</v>
      </c>
      <c r="X23" s="1021" t="s">
        <v>1</v>
      </c>
      <c r="Y23" s="556">
        <v>19900</v>
      </c>
      <c r="Z23" s="1017"/>
      <c r="AA23" s="1017"/>
      <c r="AB23" s="569"/>
      <c r="AC23" s="569"/>
      <c r="AD23" s="569"/>
      <c r="AE23" s="569"/>
      <c r="AF23" s="569"/>
      <c r="AG23" s="569"/>
      <c r="AH23" s="569"/>
      <c r="AI23" s="569"/>
      <c r="AJ23" s="569"/>
      <c r="AK23" s="1234">
        <v>15000</v>
      </c>
      <c r="AL23" s="1234"/>
      <c r="AM23" s="1234"/>
      <c r="AN23" s="1186"/>
      <c r="AO23" s="1505"/>
      <c r="AP23" s="1186"/>
      <c r="AQ23" s="1186"/>
      <c r="AR23" s="570">
        <f t="shared" si="20"/>
        <v>477600</v>
      </c>
      <c r="AS23" s="1199">
        <f t="shared" si="0"/>
        <v>0</v>
      </c>
      <c r="AT23" s="402">
        <f t="shared" si="1"/>
        <v>0</v>
      </c>
      <c r="AU23" s="402">
        <f t="shared" si="2"/>
        <v>0</v>
      </c>
      <c r="AV23" s="402">
        <f t="shared" si="3"/>
        <v>0</v>
      </c>
      <c r="AW23" s="402">
        <f t="shared" si="4"/>
        <v>0</v>
      </c>
      <c r="AX23" s="402">
        <f t="shared" si="5"/>
        <v>0</v>
      </c>
      <c r="AY23" s="402">
        <f t="shared" si="6"/>
        <v>0</v>
      </c>
      <c r="AZ23" s="402">
        <f t="shared" si="7"/>
        <v>0</v>
      </c>
      <c r="BA23" s="402">
        <f t="shared" si="8"/>
        <v>0</v>
      </c>
      <c r="BB23" s="402">
        <f t="shared" si="9"/>
        <v>0</v>
      </c>
      <c r="BC23" s="1213">
        <f t="shared" si="10"/>
        <v>0</v>
      </c>
      <c r="BD23" s="1213">
        <f t="shared" si="11"/>
        <v>360000</v>
      </c>
      <c r="BE23" s="1188">
        <f t="shared" si="12"/>
        <v>0</v>
      </c>
      <c r="BF23" s="1188">
        <f t="shared" si="55"/>
        <v>0</v>
      </c>
      <c r="BG23" s="1188">
        <f t="shared" si="55"/>
        <v>0</v>
      </c>
      <c r="BH23" s="1584">
        <f t="shared" si="55"/>
        <v>0</v>
      </c>
      <c r="BI23" s="1188">
        <f t="shared" si="55"/>
        <v>0</v>
      </c>
      <c r="BJ23" s="1188">
        <f t="shared" si="55"/>
        <v>0</v>
      </c>
      <c r="BK23" s="403">
        <f t="shared" si="21"/>
        <v>360000</v>
      </c>
      <c r="BL23" s="402">
        <f t="shared" si="52"/>
        <v>0</v>
      </c>
      <c r="BM23" s="402"/>
      <c r="BN23" s="402"/>
      <c r="BO23" s="1199">
        <f t="shared" si="53"/>
        <v>0</v>
      </c>
      <c r="BP23" s="402">
        <f t="shared" si="53"/>
        <v>0</v>
      </c>
      <c r="BQ23" s="402">
        <f t="shared" si="53"/>
        <v>0</v>
      </c>
      <c r="BR23" s="402">
        <f t="shared" si="53"/>
        <v>0</v>
      </c>
      <c r="BS23" s="402">
        <f t="shared" si="53"/>
        <v>0</v>
      </c>
      <c r="BT23" s="402">
        <f t="shared" si="53"/>
        <v>0</v>
      </c>
      <c r="BU23" s="402">
        <f t="shared" si="53"/>
        <v>0</v>
      </c>
      <c r="BV23" s="1213">
        <f t="shared" si="56"/>
        <v>0</v>
      </c>
      <c r="BW23" s="1188"/>
      <c r="BX23" s="344">
        <f t="shared" si="25"/>
        <v>0</v>
      </c>
      <c r="BY23" s="983">
        <f t="shared" si="29"/>
        <v>117600</v>
      </c>
      <c r="BZ23" s="274">
        <f t="shared" si="15"/>
        <v>477600</v>
      </c>
      <c r="CA23" s="275">
        <f t="shared" si="26"/>
        <v>117600</v>
      </c>
      <c r="CB23" s="571">
        <f t="shared" si="54"/>
        <v>1</v>
      </c>
      <c r="CC23" s="1081"/>
      <c r="CD23" s="1081"/>
      <c r="CE23" s="1083"/>
      <c r="CF23" s="1084"/>
      <c r="CG23" s="862"/>
      <c r="CH23" s="862"/>
      <c r="CI23" s="862"/>
      <c r="CJ23" s="862"/>
      <c r="CK23" s="862"/>
      <c r="CL23" s="862"/>
      <c r="CM23" s="862"/>
      <c r="CN23" s="862"/>
      <c r="CO23" s="862"/>
      <c r="CP23" s="862"/>
      <c r="CQ23" s="1128"/>
      <c r="CR23" s="862"/>
      <c r="CS23" s="1128"/>
      <c r="CT23" s="862"/>
      <c r="CU23" s="862"/>
      <c r="CV23" s="862"/>
      <c r="CW23" s="862"/>
      <c r="CX23" s="862"/>
      <c r="CY23" s="73">
        <f t="shared" si="17"/>
        <v>0</v>
      </c>
      <c r="CZ23" s="862"/>
      <c r="DA23" s="862"/>
      <c r="DB23" s="862"/>
      <c r="DC23" s="862"/>
      <c r="DD23" s="862"/>
      <c r="DE23" s="862"/>
      <c r="DF23" s="862"/>
      <c r="DG23" s="862"/>
      <c r="DH23" s="1081"/>
      <c r="DI23" s="862"/>
      <c r="DJ23" s="862"/>
      <c r="DK23" s="862"/>
      <c r="DL23" s="862"/>
      <c r="DM23" s="862"/>
      <c r="DN23" s="862"/>
      <c r="DO23" s="862"/>
      <c r="DP23" s="862"/>
      <c r="DQ23" s="862"/>
      <c r="DR23" s="73">
        <f t="shared" si="18"/>
        <v>0</v>
      </c>
      <c r="DS23" s="412"/>
      <c r="DT23" s="412"/>
      <c r="DU23" s="420"/>
      <c r="DV23" s="412"/>
      <c r="DW23" s="412"/>
      <c r="DX23" s="412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</row>
    <row r="24" spans="1:139" s="278" customFormat="1" ht="24.75" customHeight="1" x14ac:dyDescent="0.2">
      <c r="A24" s="786">
        <f t="shared" si="27"/>
        <v>19</v>
      </c>
      <c r="B24" s="141" t="s">
        <v>348</v>
      </c>
      <c r="C24" s="567" t="s">
        <v>25</v>
      </c>
      <c r="D24" s="568">
        <v>8</v>
      </c>
      <c r="E24" s="270"/>
      <c r="F24" s="342"/>
      <c r="G24" s="270"/>
      <c r="H24" s="342"/>
      <c r="I24" s="342"/>
      <c r="J24" s="342"/>
      <c r="K24" s="342"/>
      <c r="L24" s="342"/>
      <c r="M24" s="342"/>
      <c r="N24" s="342"/>
      <c r="O24" s="342"/>
      <c r="P24" s="1207">
        <v>8</v>
      </c>
      <c r="Q24" s="1207"/>
      <c r="R24" s="1207"/>
      <c r="S24" s="464"/>
      <c r="T24" s="1299"/>
      <c r="U24" s="1184"/>
      <c r="V24" s="1184"/>
      <c r="W24" s="840">
        <f t="shared" si="19"/>
        <v>8</v>
      </c>
      <c r="X24" s="1021" t="s">
        <v>27</v>
      </c>
      <c r="Y24" s="556">
        <v>52200</v>
      </c>
      <c r="Z24" s="1018"/>
      <c r="AA24" s="1018"/>
      <c r="AB24" s="569"/>
      <c r="AC24" s="569"/>
      <c r="AD24" s="569"/>
      <c r="AE24" s="569"/>
      <c r="AF24" s="569"/>
      <c r="AG24" s="569"/>
      <c r="AH24" s="569"/>
      <c r="AI24" s="569"/>
      <c r="AJ24" s="569"/>
      <c r="AK24" s="1234">
        <v>30000</v>
      </c>
      <c r="AL24" s="1234"/>
      <c r="AM24" s="1234"/>
      <c r="AN24" s="1186"/>
      <c r="AO24" s="1505"/>
      <c r="AP24" s="1186"/>
      <c r="AQ24" s="1186"/>
      <c r="AR24" s="570">
        <f t="shared" si="20"/>
        <v>417600</v>
      </c>
      <c r="AS24" s="1199">
        <f t="shared" si="0"/>
        <v>0</v>
      </c>
      <c r="AT24" s="402">
        <f t="shared" si="1"/>
        <v>0</v>
      </c>
      <c r="AU24" s="402">
        <f t="shared" si="2"/>
        <v>0</v>
      </c>
      <c r="AV24" s="402">
        <f t="shared" si="3"/>
        <v>0</v>
      </c>
      <c r="AW24" s="402">
        <f t="shared" si="4"/>
        <v>0</v>
      </c>
      <c r="AX24" s="402">
        <f t="shared" si="5"/>
        <v>0</v>
      </c>
      <c r="AY24" s="402">
        <f t="shared" si="6"/>
        <v>0</v>
      </c>
      <c r="AZ24" s="402">
        <f t="shared" si="7"/>
        <v>0</v>
      </c>
      <c r="BA24" s="402">
        <f t="shared" si="8"/>
        <v>0</v>
      </c>
      <c r="BB24" s="402">
        <f t="shared" si="9"/>
        <v>0</v>
      </c>
      <c r="BC24" s="1213">
        <f t="shared" si="10"/>
        <v>0</v>
      </c>
      <c r="BD24" s="1213">
        <f t="shared" si="11"/>
        <v>240000</v>
      </c>
      <c r="BE24" s="1188">
        <f t="shared" si="12"/>
        <v>0</v>
      </c>
      <c r="BF24" s="1188">
        <f t="shared" si="55"/>
        <v>0</v>
      </c>
      <c r="BG24" s="1188">
        <f t="shared" si="55"/>
        <v>0</v>
      </c>
      <c r="BH24" s="1584">
        <f t="shared" si="55"/>
        <v>0</v>
      </c>
      <c r="BI24" s="1188">
        <f t="shared" si="55"/>
        <v>0</v>
      </c>
      <c r="BJ24" s="1188">
        <f t="shared" si="55"/>
        <v>0</v>
      </c>
      <c r="BK24" s="403">
        <f t="shared" si="21"/>
        <v>240000</v>
      </c>
      <c r="BL24" s="402">
        <f t="shared" si="52"/>
        <v>0</v>
      </c>
      <c r="BM24" s="402"/>
      <c r="BN24" s="402"/>
      <c r="BO24" s="1199">
        <f t="shared" si="53"/>
        <v>0</v>
      </c>
      <c r="BP24" s="402">
        <f t="shared" si="53"/>
        <v>0</v>
      </c>
      <c r="BQ24" s="402">
        <f t="shared" si="53"/>
        <v>0</v>
      </c>
      <c r="BR24" s="402">
        <f t="shared" si="53"/>
        <v>0</v>
      </c>
      <c r="BS24" s="402">
        <f t="shared" si="53"/>
        <v>0</v>
      </c>
      <c r="BT24" s="402">
        <f t="shared" si="53"/>
        <v>0</v>
      </c>
      <c r="BU24" s="402">
        <f t="shared" si="53"/>
        <v>0</v>
      </c>
      <c r="BV24" s="1213">
        <f t="shared" si="56"/>
        <v>0</v>
      </c>
      <c r="BW24" s="1188"/>
      <c r="BX24" s="344">
        <f t="shared" si="25"/>
        <v>0</v>
      </c>
      <c r="BY24" s="983">
        <f t="shared" si="29"/>
        <v>177600</v>
      </c>
      <c r="BZ24" s="274">
        <f t="shared" si="15"/>
        <v>417600</v>
      </c>
      <c r="CA24" s="275">
        <f t="shared" si="26"/>
        <v>177600</v>
      </c>
      <c r="CB24" s="571">
        <f t="shared" si="54"/>
        <v>1</v>
      </c>
      <c r="CC24" s="1081"/>
      <c r="CD24" s="1081"/>
      <c r="CE24" s="1083"/>
      <c r="CF24" s="1084"/>
      <c r="CG24" s="862"/>
      <c r="CH24" s="862"/>
      <c r="CI24" s="862"/>
      <c r="CJ24" s="862"/>
      <c r="CK24" s="862"/>
      <c r="CL24" s="862"/>
      <c r="CM24" s="862"/>
      <c r="CN24" s="862"/>
      <c r="CO24" s="862"/>
      <c r="CP24" s="862"/>
      <c r="CQ24" s="1128"/>
      <c r="CR24" s="862"/>
      <c r="CS24" s="1128"/>
      <c r="CT24" s="862"/>
      <c r="CU24" s="862"/>
      <c r="CV24" s="862"/>
      <c r="CW24" s="862"/>
      <c r="CX24" s="862"/>
      <c r="CY24" s="73">
        <f t="shared" si="17"/>
        <v>0</v>
      </c>
      <c r="CZ24" s="862"/>
      <c r="DA24" s="862"/>
      <c r="DB24" s="862"/>
      <c r="DC24" s="862"/>
      <c r="DD24" s="862"/>
      <c r="DE24" s="862"/>
      <c r="DF24" s="862"/>
      <c r="DG24" s="862"/>
      <c r="DH24" s="1081"/>
      <c r="DI24" s="862"/>
      <c r="DJ24" s="862"/>
      <c r="DK24" s="862"/>
      <c r="DL24" s="862"/>
      <c r="DM24" s="862"/>
      <c r="DN24" s="862"/>
      <c r="DO24" s="862"/>
      <c r="DP24" s="862"/>
      <c r="DQ24" s="862"/>
      <c r="DR24" s="73">
        <f t="shared" si="18"/>
        <v>0</v>
      </c>
      <c r="DS24" s="412"/>
      <c r="DT24" s="412"/>
      <c r="DU24" s="420"/>
      <c r="DV24" s="412"/>
      <c r="DW24" s="412"/>
      <c r="DX24" s="412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</row>
    <row r="25" spans="1:139" s="278" customFormat="1" ht="24.75" customHeight="1" x14ac:dyDescent="0.2">
      <c r="A25" s="786">
        <f t="shared" si="27"/>
        <v>20</v>
      </c>
      <c r="B25" s="141" t="s">
        <v>167</v>
      </c>
      <c r="C25" s="567" t="s">
        <v>25</v>
      </c>
      <c r="D25" s="568">
        <v>6</v>
      </c>
      <c r="E25" s="270"/>
      <c r="F25" s="342"/>
      <c r="G25" s="270"/>
      <c r="H25" s="342"/>
      <c r="I25" s="342"/>
      <c r="J25" s="342"/>
      <c r="K25" s="342"/>
      <c r="L25" s="342"/>
      <c r="M25" s="342"/>
      <c r="N25" s="342"/>
      <c r="O25" s="342"/>
      <c r="P25" s="1207">
        <v>6</v>
      </c>
      <c r="Q25" s="1207"/>
      <c r="R25" s="1207"/>
      <c r="S25" s="464"/>
      <c r="T25" s="1299"/>
      <c r="U25" s="1184"/>
      <c r="V25" s="1184"/>
      <c r="W25" s="840">
        <f t="shared" si="19"/>
        <v>6</v>
      </c>
      <c r="X25" s="1021" t="s">
        <v>27</v>
      </c>
      <c r="Y25" s="556">
        <v>50000</v>
      </c>
      <c r="Z25" s="1018"/>
      <c r="AA25" s="1018"/>
      <c r="AB25" s="569"/>
      <c r="AC25" s="569"/>
      <c r="AD25" s="569"/>
      <c r="AE25" s="569"/>
      <c r="AF25" s="569"/>
      <c r="AG25" s="569"/>
      <c r="AH25" s="569"/>
      <c r="AI25" s="569"/>
      <c r="AJ25" s="569"/>
      <c r="AK25" s="1234">
        <v>45000</v>
      </c>
      <c r="AL25" s="1234"/>
      <c r="AM25" s="1234"/>
      <c r="AN25" s="1186"/>
      <c r="AO25" s="1505"/>
      <c r="AP25" s="1186"/>
      <c r="AQ25" s="1186"/>
      <c r="AR25" s="570">
        <f t="shared" si="20"/>
        <v>300000</v>
      </c>
      <c r="AS25" s="1199">
        <f t="shared" si="0"/>
        <v>0</v>
      </c>
      <c r="AT25" s="402">
        <f t="shared" si="1"/>
        <v>0</v>
      </c>
      <c r="AU25" s="402">
        <f t="shared" si="2"/>
        <v>0</v>
      </c>
      <c r="AV25" s="402">
        <f t="shared" si="3"/>
        <v>0</v>
      </c>
      <c r="AW25" s="402">
        <f t="shared" si="4"/>
        <v>0</v>
      </c>
      <c r="AX25" s="402">
        <f t="shared" si="5"/>
        <v>0</v>
      </c>
      <c r="AY25" s="402">
        <f t="shared" si="6"/>
        <v>0</v>
      </c>
      <c r="AZ25" s="402">
        <f t="shared" si="7"/>
        <v>0</v>
      </c>
      <c r="BA25" s="402">
        <f t="shared" si="8"/>
        <v>0</v>
      </c>
      <c r="BB25" s="402">
        <f t="shared" si="9"/>
        <v>0</v>
      </c>
      <c r="BC25" s="1213">
        <f t="shared" si="10"/>
        <v>0</v>
      </c>
      <c r="BD25" s="1213">
        <f t="shared" si="11"/>
        <v>270000</v>
      </c>
      <c r="BE25" s="1188">
        <f t="shared" si="12"/>
        <v>0</v>
      </c>
      <c r="BF25" s="1188">
        <f t="shared" si="55"/>
        <v>0</v>
      </c>
      <c r="BG25" s="1188">
        <f t="shared" si="55"/>
        <v>0</v>
      </c>
      <c r="BH25" s="1584">
        <f t="shared" si="55"/>
        <v>0</v>
      </c>
      <c r="BI25" s="1188">
        <f t="shared" si="55"/>
        <v>0</v>
      </c>
      <c r="BJ25" s="1188">
        <f t="shared" si="55"/>
        <v>0</v>
      </c>
      <c r="BK25" s="403">
        <f t="shared" si="21"/>
        <v>270000</v>
      </c>
      <c r="BL25" s="402">
        <f t="shared" si="52"/>
        <v>0</v>
      </c>
      <c r="BM25" s="402"/>
      <c r="BN25" s="402"/>
      <c r="BO25" s="1199">
        <f t="shared" si="53"/>
        <v>0</v>
      </c>
      <c r="BP25" s="402">
        <f t="shared" si="53"/>
        <v>0</v>
      </c>
      <c r="BQ25" s="402">
        <f t="shared" si="53"/>
        <v>0</v>
      </c>
      <c r="BR25" s="402">
        <f t="shared" si="53"/>
        <v>0</v>
      </c>
      <c r="BS25" s="402">
        <f t="shared" si="53"/>
        <v>0</v>
      </c>
      <c r="BT25" s="402">
        <f t="shared" si="53"/>
        <v>0</v>
      </c>
      <c r="BU25" s="402">
        <f t="shared" si="53"/>
        <v>0</v>
      </c>
      <c r="BV25" s="1213">
        <f t="shared" si="56"/>
        <v>0</v>
      </c>
      <c r="BW25" s="1188"/>
      <c r="BX25" s="344">
        <f t="shared" si="25"/>
        <v>0</v>
      </c>
      <c r="BY25" s="983">
        <f t="shared" si="29"/>
        <v>30000</v>
      </c>
      <c r="BZ25" s="274">
        <f t="shared" si="15"/>
        <v>300000</v>
      </c>
      <c r="CA25" s="275">
        <f t="shared" si="26"/>
        <v>30000</v>
      </c>
      <c r="CB25" s="571">
        <f t="shared" si="54"/>
        <v>1</v>
      </c>
      <c r="CC25" s="1081"/>
      <c r="CD25" s="1081"/>
      <c r="CE25" s="1083"/>
      <c r="CF25" s="1084"/>
      <c r="CG25" s="862"/>
      <c r="CH25" s="862"/>
      <c r="CI25" s="862"/>
      <c r="CJ25" s="862"/>
      <c r="CK25" s="862"/>
      <c r="CL25" s="862"/>
      <c r="CM25" s="862"/>
      <c r="CN25" s="862"/>
      <c r="CO25" s="862"/>
      <c r="CP25" s="862"/>
      <c r="CQ25" s="1128"/>
      <c r="CR25" s="862"/>
      <c r="CS25" s="1128"/>
      <c r="CT25" s="862"/>
      <c r="CU25" s="862"/>
      <c r="CV25" s="862"/>
      <c r="CW25" s="862"/>
      <c r="CX25" s="862"/>
      <c r="CY25" s="73">
        <f t="shared" si="17"/>
        <v>0</v>
      </c>
      <c r="CZ25" s="862"/>
      <c r="DA25" s="862"/>
      <c r="DB25" s="862"/>
      <c r="DC25" s="862"/>
      <c r="DD25" s="862"/>
      <c r="DE25" s="862"/>
      <c r="DF25" s="862"/>
      <c r="DG25" s="862"/>
      <c r="DH25" s="1081"/>
      <c r="DI25" s="862"/>
      <c r="DJ25" s="862"/>
      <c r="DK25" s="862"/>
      <c r="DL25" s="862"/>
      <c r="DM25" s="862"/>
      <c r="DN25" s="862"/>
      <c r="DO25" s="862"/>
      <c r="DP25" s="862"/>
      <c r="DQ25" s="862"/>
      <c r="DR25" s="73">
        <f t="shared" si="18"/>
        <v>0</v>
      </c>
      <c r="DS25" s="412"/>
      <c r="DT25" s="412"/>
      <c r="DU25" s="420"/>
      <c r="DV25" s="412"/>
      <c r="DW25" s="412"/>
      <c r="DX25" s="412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</row>
    <row r="26" spans="1:139" s="278" customFormat="1" ht="24.75" customHeight="1" x14ac:dyDescent="0.2">
      <c r="A26" s="786">
        <f t="shared" si="27"/>
        <v>21</v>
      </c>
      <c r="B26" s="141" t="s">
        <v>349</v>
      </c>
      <c r="C26" s="567" t="s">
        <v>25</v>
      </c>
      <c r="D26" s="568">
        <v>8</v>
      </c>
      <c r="E26" s="270"/>
      <c r="F26" s="342"/>
      <c r="G26" s="270"/>
      <c r="H26" s="342"/>
      <c r="I26" s="342"/>
      <c r="J26" s="342"/>
      <c r="K26" s="342"/>
      <c r="L26" s="342"/>
      <c r="M26" s="342"/>
      <c r="N26" s="342"/>
      <c r="O26" s="342"/>
      <c r="P26" s="1207">
        <v>8</v>
      </c>
      <c r="Q26" s="1207"/>
      <c r="R26" s="1207"/>
      <c r="S26" s="464"/>
      <c r="T26" s="1299"/>
      <c r="U26" s="1184"/>
      <c r="V26" s="1184"/>
      <c r="W26" s="840">
        <f t="shared" si="19"/>
        <v>8</v>
      </c>
      <c r="X26" s="1021" t="s">
        <v>27</v>
      </c>
      <c r="Y26" s="556">
        <v>51000</v>
      </c>
      <c r="Z26" s="1022"/>
      <c r="AA26" s="1018"/>
      <c r="AB26" s="569"/>
      <c r="AC26" s="569"/>
      <c r="AD26" s="569"/>
      <c r="AE26" s="569"/>
      <c r="AF26" s="569"/>
      <c r="AG26" s="569"/>
      <c r="AH26" s="569"/>
      <c r="AI26" s="569"/>
      <c r="AJ26" s="569"/>
      <c r="AK26" s="1234">
        <v>30000</v>
      </c>
      <c r="AL26" s="1234"/>
      <c r="AM26" s="1234"/>
      <c r="AN26" s="1186"/>
      <c r="AO26" s="1505"/>
      <c r="AP26" s="1186"/>
      <c r="AQ26" s="1186"/>
      <c r="AR26" s="570">
        <f t="shared" ref="AR26:AR28" si="57">SUM(W26*Y26)</f>
        <v>408000</v>
      </c>
      <c r="AS26" s="1199">
        <f t="shared" si="0"/>
        <v>0</v>
      </c>
      <c r="AT26" s="402">
        <f t="shared" si="1"/>
        <v>0</v>
      </c>
      <c r="AU26" s="402">
        <f t="shared" si="2"/>
        <v>0</v>
      </c>
      <c r="AV26" s="402">
        <f t="shared" si="3"/>
        <v>0</v>
      </c>
      <c r="AW26" s="402">
        <f t="shared" si="4"/>
        <v>0</v>
      </c>
      <c r="AX26" s="402">
        <f t="shared" si="5"/>
        <v>0</v>
      </c>
      <c r="AY26" s="402">
        <f t="shared" si="6"/>
        <v>0</v>
      </c>
      <c r="AZ26" s="402">
        <f t="shared" si="7"/>
        <v>0</v>
      </c>
      <c r="BA26" s="402">
        <f t="shared" si="8"/>
        <v>0</v>
      </c>
      <c r="BB26" s="402">
        <f t="shared" si="9"/>
        <v>0</v>
      </c>
      <c r="BC26" s="1213">
        <f t="shared" si="10"/>
        <v>0</v>
      </c>
      <c r="BD26" s="1213">
        <f t="shared" si="11"/>
        <v>240000</v>
      </c>
      <c r="BE26" s="1188">
        <f t="shared" si="12"/>
        <v>0</v>
      </c>
      <c r="BF26" s="1188">
        <f t="shared" si="55"/>
        <v>0</v>
      </c>
      <c r="BG26" s="1188">
        <f t="shared" si="55"/>
        <v>0</v>
      </c>
      <c r="BH26" s="1584">
        <f t="shared" si="55"/>
        <v>0</v>
      </c>
      <c r="BI26" s="1188">
        <f t="shared" si="55"/>
        <v>0</v>
      </c>
      <c r="BJ26" s="1188">
        <f t="shared" si="55"/>
        <v>0</v>
      </c>
      <c r="BK26" s="403">
        <f t="shared" si="21"/>
        <v>240000</v>
      </c>
      <c r="BL26" s="402">
        <f t="shared" ref="BL26:BL28" si="58">SUM(AS26*4%)</f>
        <v>0</v>
      </c>
      <c r="BM26" s="402"/>
      <c r="BN26" s="402"/>
      <c r="BO26" s="1199">
        <f t="shared" ref="BO26:BO28" si="59">SUM(AV26*14%)</f>
        <v>0</v>
      </c>
      <c r="BP26" s="402">
        <f t="shared" ref="BP26:BP28" si="60">SUM(AW26*14%)</f>
        <v>0</v>
      </c>
      <c r="BQ26" s="402">
        <f t="shared" ref="BQ26:BQ28" si="61">SUM(AX26*14%)</f>
        <v>0</v>
      </c>
      <c r="BR26" s="402">
        <f t="shared" ref="BR26:BR28" si="62">SUM(AY26*14%)</f>
        <v>0</v>
      </c>
      <c r="BS26" s="402">
        <f t="shared" ref="BS26:BS28" si="63">SUM(AZ26*14%)</f>
        <v>0</v>
      </c>
      <c r="BT26" s="402">
        <f t="shared" ref="BT26:BT28" si="64">SUM(BA26*14%)</f>
        <v>0</v>
      </c>
      <c r="BU26" s="402">
        <f t="shared" ref="BU26:BU28" si="65">SUM(BB26*14%)</f>
        <v>0</v>
      </c>
      <c r="BV26" s="1213">
        <f t="shared" si="56"/>
        <v>0</v>
      </c>
      <c r="BW26" s="1188"/>
      <c r="BX26" s="344">
        <f t="shared" ref="BX26:BX28" si="66">SUM(BL26:BW26)</f>
        <v>0</v>
      </c>
      <c r="BY26" s="983">
        <f t="shared" ref="BY26:BY28" si="67">AR26-BK26-BX26</f>
        <v>168000</v>
      </c>
      <c r="BZ26" s="274">
        <f t="shared" si="15"/>
        <v>408000</v>
      </c>
      <c r="CA26" s="275">
        <f t="shared" ref="CA26:CA28" si="68">BZ26-BK26-BX26</f>
        <v>168000</v>
      </c>
      <c r="CB26" s="571">
        <f t="shared" si="54"/>
        <v>1</v>
      </c>
      <c r="CC26" s="1081"/>
      <c r="CD26" s="1081"/>
      <c r="CE26" s="1083"/>
      <c r="CF26" s="1084"/>
      <c r="CG26" s="862"/>
      <c r="CH26" s="862"/>
      <c r="CI26" s="862"/>
      <c r="CJ26" s="862"/>
      <c r="CK26" s="862"/>
      <c r="CL26" s="862"/>
      <c r="CM26" s="862"/>
      <c r="CN26" s="862"/>
      <c r="CO26" s="862"/>
      <c r="CP26" s="862"/>
      <c r="CQ26" s="1128"/>
      <c r="CR26" s="862"/>
      <c r="CS26" s="1128"/>
      <c r="CT26" s="862"/>
      <c r="CU26" s="862"/>
      <c r="CV26" s="862"/>
      <c r="CW26" s="862"/>
      <c r="CX26" s="862"/>
      <c r="CY26" s="73">
        <f t="shared" si="17"/>
        <v>0</v>
      </c>
      <c r="CZ26" s="862"/>
      <c r="DA26" s="862"/>
      <c r="DB26" s="862"/>
      <c r="DC26" s="862"/>
      <c r="DD26" s="862"/>
      <c r="DE26" s="862"/>
      <c r="DF26" s="862"/>
      <c r="DG26" s="862"/>
      <c r="DH26" s="1081"/>
      <c r="DI26" s="862"/>
      <c r="DJ26" s="862"/>
      <c r="DK26" s="862"/>
      <c r="DL26" s="862"/>
      <c r="DM26" s="862"/>
      <c r="DN26" s="862"/>
      <c r="DO26" s="862"/>
      <c r="DP26" s="862"/>
      <c r="DQ26" s="862"/>
      <c r="DR26" s="73">
        <f t="shared" si="18"/>
        <v>0</v>
      </c>
      <c r="DS26" s="412"/>
      <c r="DT26" s="412"/>
      <c r="DU26" s="420"/>
      <c r="DV26" s="412"/>
      <c r="DW26" s="412"/>
      <c r="DX26" s="412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</row>
    <row r="27" spans="1:139" s="278" customFormat="1" ht="24.75" customHeight="1" x14ac:dyDescent="0.2">
      <c r="A27" s="786">
        <f t="shared" si="27"/>
        <v>22</v>
      </c>
      <c r="B27" s="141" t="s">
        <v>350</v>
      </c>
      <c r="C27" s="567" t="s">
        <v>25</v>
      </c>
      <c r="D27" s="568">
        <v>9</v>
      </c>
      <c r="E27" s="270"/>
      <c r="F27" s="342"/>
      <c r="G27" s="270"/>
      <c r="H27" s="342"/>
      <c r="I27" s="342"/>
      <c r="J27" s="342"/>
      <c r="K27" s="342"/>
      <c r="L27" s="342"/>
      <c r="M27" s="342"/>
      <c r="N27" s="342"/>
      <c r="O27" s="342"/>
      <c r="P27" s="1207">
        <v>9</v>
      </c>
      <c r="Q27" s="1207"/>
      <c r="R27" s="1207"/>
      <c r="S27" s="464"/>
      <c r="T27" s="1299"/>
      <c r="U27" s="1184"/>
      <c r="V27" s="1184"/>
      <c r="W27" s="840">
        <f t="shared" si="19"/>
        <v>9</v>
      </c>
      <c r="X27" s="1021" t="s">
        <v>27</v>
      </c>
      <c r="Y27" s="556">
        <v>34000</v>
      </c>
      <c r="Z27" s="1022"/>
      <c r="AA27" s="1018"/>
      <c r="AB27" s="569"/>
      <c r="AC27" s="569"/>
      <c r="AD27" s="569"/>
      <c r="AE27" s="569"/>
      <c r="AF27" s="569"/>
      <c r="AG27" s="569"/>
      <c r="AH27" s="569"/>
      <c r="AI27" s="569"/>
      <c r="AJ27" s="569"/>
      <c r="AK27" s="1234">
        <v>30000</v>
      </c>
      <c r="AL27" s="1234"/>
      <c r="AM27" s="1234"/>
      <c r="AN27" s="1186"/>
      <c r="AO27" s="1505"/>
      <c r="AP27" s="1186"/>
      <c r="AQ27" s="1186"/>
      <c r="AR27" s="570">
        <f t="shared" si="57"/>
        <v>306000</v>
      </c>
      <c r="AS27" s="1199">
        <f t="shared" si="0"/>
        <v>0</v>
      </c>
      <c r="AT27" s="402">
        <f t="shared" si="1"/>
        <v>0</v>
      </c>
      <c r="AU27" s="402">
        <f t="shared" si="2"/>
        <v>0</v>
      </c>
      <c r="AV27" s="402">
        <f t="shared" si="3"/>
        <v>0</v>
      </c>
      <c r="AW27" s="402">
        <f t="shared" si="4"/>
        <v>0</v>
      </c>
      <c r="AX27" s="402">
        <f t="shared" si="5"/>
        <v>0</v>
      </c>
      <c r="AY27" s="402">
        <f t="shared" si="6"/>
        <v>0</v>
      </c>
      <c r="AZ27" s="402">
        <f t="shared" si="7"/>
        <v>0</v>
      </c>
      <c r="BA27" s="402">
        <f t="shared" si="8"/>
        <v>0</v>
      </c>
      <c r="BB27" s="402">
        <f t="shared" si="9"/>
        <v>0</v>
      </c>
      <c r="BC27" s="1213">
        <f t="shared" si="10"/>
        <v>0</v>
      </c>
      <c r="BD27" s="1213">
        <f t="shared" si="11"/>
        <v>270000</v>
      </c>
      <c r="BE27" s="1188">
        <f t="shared" si="12"/>
        <v>0</v>
      </c>
      <c r="BF27" s="1188">
        <f t="shared" si="55"/>
        <v>0</v>
      </c>
      <c r="BG27" s="1188">
        <f t="shared" si="55"/>
        <v>0</v>
      </c>
      <c r="BH27" s="1584">
        <f t="shared" si="55"/>
        <v>0</v>
      </c>
      <c r="BI27" s="1188">
        <f t="shared" si="55"/>
        <v>0</v>
      </c>
      <c r="BJ27" s="1188">
        <f t="shared" si="55"/>
        <v>0</v>
      </c>
      <c r="BK27" s="403">
        <f t="shared" si="21"/>
        <v>270000</v>
      </c>
      <c r="BL27" s="402">
        <f t="shared" si="58"/>
        <v>0</v>
      </c>
      <c r="BM27" s="402"/>
      <c r="BN27" s="402"/>
      <c r="BO27" s="1199">
        <f t="shared" si="59"/>
        <v>0</v>
      </c>
      <c r="BP27" s="402">
        <f t="shared" si="60"/>
        <v>0</v>
      </c>
      <c r="BQ27" s="402">
        <f t="shared" si="61"/>
        <v>0</v>
      </c>
      <c r="BR27" s="402">
        <f t="shared" si="62"/>
        <v>0</v>
      </c>
      <c r="BS27" s="402">
        <f t="shared" si="63"/>
        <v>0</v>
      </c>
      <c r="BT27" s="402">
        <f t="shared" si="64"/>
        <v>0</v>
      </c>
      <c r="BU27" s="402">
        <f t="shared" si="65"/>
        <v>0</v>
      </c>
      <c r="BV27" s="1213">
        <f t="shared" si="56"/>
        <v>0</v>
      </c>
      <c r="BW27" s="1188"/>
      <c r="BX27" s="344">
        <f t="shared" si="66"/>
        <v>0</v>
      </c>
      <c r="BY27" s="983">
        <f t="shared" si="67"/>
        <v>36000</v>
      </c>
      <c r="BZ27" s="274">
        <f t="shared" si="15"/>
        <v>306000</v>
      </c>
      <c r="CA27" s="275">
        <f t="shared" si="68"/>
        <v>36000</v>
      </c>
      <c r="CB27" s="571">
        <f t="shared" si="54"/>
        <v>1</v>
      </c>
      <c r="CC27" s="1081"/>
      <c r="CD27" s="1081"/>
      <c r="CE27" s="1083"/>
      <c r="CF27" s="1084"/>
      <c r="CG27" s="862"/>
      <c r="CH27" s="862"/>
      <c r="CI27" s="862"/>
      <c r="CJ27" s="862"/>
      <c r="CK27" s="862"/>
      <c r="CL27" s="862"/>
      <c r="CM27" s="862"/>
      <c r="CN27" s="862"/>
      <c r="CO27" s="862"/>
      <c r="CP27" s="862"/>
      <c r="CQ27" s="1128"/>
      <c r="CR27" s="862"/>
      <c r="CS27" s="1128"/>
      <c r="CT27" s="862"/>
      <c r="CU27" s="862"/>
      <c r="CV27" s="862"/>
      <c r="CW27" s="862"/>
      <c r="CX27" s="862"/>
      <c r="CY27" s="73">
        <f t="shared" si="17"/>
        <v>0</v>
      </c>
      <c r="CZ27" s="862"/>
      <c r="DA27" s="862"/>
      <c r="DB27" s="862"/>
      <c r="DC27" s="862"/>
      <c r="DD27" s="862"/>
      <c r="DE27" s="862"/>
      <c r="DF27" s="862"/>
      <c r="DG27" s="862"/>
      <c r="DH27" s="1081"/>
      <c r="DI27" s="862"/>
      <c r="DJ27" s="862"/>
      <c r="DK27" s="862"/>
      <c r="DL27" s="862"/>
      <c r="DM27" s="862"/>
      <c r="DN27" s="862"/>
      <c r="DO27" s="862"/>
      <c r="DP27" s="862"/>
      <c r="DQ27" s="862"/>
      <c r="DR27" s="73">
        <f t="shared" si="18"/>
        <v>0</v>
      </c>
      <c r="DS27" s="412"/>
      <c r="DT27" s="412"/>
      <c r="DU27" s="420"/>
      <c r="DV27" s="412"/>
      <c r="DW27" s="412"/>
      <c r="DX27" s="412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</row>
    <row r="28" spans="1:139" s="278" customFormat="1" ht="24.75" customHeight="1" x14ac:dyDescent="0.2">
      <c r="A28" s="786">
        <f t="shared" si="27"/>
        <v>23</v>
      </c>
      <c r="B28" s="141" t="s">
        <v>351</v>
      </c>
      <c r="C28" s="567" t="s">
        <v>25</v>
      </c>
      <c r="D28" s="568">
        <v>6</v>
      </c>
      <c r="E28" s="270"/>
      <c r="F28" s="342"/>
      <c r="G28" s="270"/>
      <c r="H28" s="342"/>
      <c r="I28" s="342"/>
      <c r="J28" s="342"/>
      <c r="K28" s="342"/>
      <c r="L28" s="342"/>
      <c r="M28" s="342"/>
      <c r="N28" s="342"/>
      <c r="O28" s="342"/>
      <c r="P28" s="1207">
        <v>6</v>
      </c>
      <c r="Q28" s="1207"/>
      <c r="R28" s="1207"/>
      <c r="S28" s="464"/>
      <c r="T28" s="1299"/>
      <c r="U28" s="1184"/>
      <c r="V28" s="1184"/>
      <c r="W28" s="840">
        <f t="shared" si="19"/>
        <v>6</v>
      </c>
      <c r="X28" s="1021" t="s">
        <v>27</v>
      </c>
      <c r="Y28" s="556">
        <v>39700</v>
      </c>
      <c r="Z28" s="1022"/>
      <c r="AA28" s="1018"/>
      <c r="AB28" s="569"/>
      <c r="AC28" s="569"/>
      <c r="AD28" s="569"/>
      <c r="AE28" s="569"/>
      <c r="AF28" s="569"/>
      <c r="AG28" s="569"/>
      <c r="AH28" s="569"/>
      <c r="AI28" s="569"/>
      <c r="AJ28" s="569"/>
      <c r="AK28" s="1234">
        <v>35000</v>
      </c>
      <c r="AL28" s="1234"/>
      <c r="AM28" s="1234"/>
      <c r="AN28" s="1186"/>
      <c r="AO28" s="1505"/>
      <c r="AP28" s="1186"/>
      <c r="AQ28" s="1186"/>
      <c r="AR28" s="570">
        <f t="shared" si="57"/>
        <v>238200</v>
      </c>
      <c r="AS28" s="1199">
        <f t="shared" si="0"/>
        <v>0</v>
      </c>
      <c r="AT28" s="402">
        <f t="shared" si="1"/>
        <v>0</v>
      </c>
      <c r="AU28" s="402">
        <f t="shared" si="2"/>
        <v>0</v>
      </c>
      <c r="AV28" s="402">
        <f t="shared" si="3"/>
        <v>0</v>
      </c>
      <c r="AW28" s="402">
        <f t="shared" si="4"/>
        <v>0</v>
      </c>
      <c r="AX28" s="402">
        <f t="shared" si="5"/>
        <v>0</v>
      </c>
      <c r="AY28" s="402">
        <f t="shared" si="6"/>
        <v>0</v>
      </c>
      <c r="AZ28" s="402">
        <f t="shared" si="7"/>
        <v>0</v>
      </c>
      <c r="BA28" s="402">
        <f t="shared" si="8"/>
        <v>0</v>
      </c>
      <c r="BB28" s="402">
        <f t="shared" si="9"/>
        <v>0</v>
      </c>
      <c r="BC28" s="1213">
        <f t="shared" si="10"/>
        <v>0</v>
      </c>
      <c r="BD28" s="1213">
        <f t="shared" si="11"/>
        <v>210000</v>
      </c>
      <c r="BE28" s="1188">
        <f t="shared" si="12"/>
        <v>0</v>
      </c>
      <c r="BF28" s="1188">
        <f t="shared" si="55"/>
        <v>0</v>
      </c>
      <c r="BG28" s="1188">
        <f t="shared" si="55"/>
        <v>0</v>
      </c>
      <c r="BH28" s="1584">
        <f t="shared" si="55"/>
        <v>0</v>
      </c>
      <c r="BI28" s="1188">
        <f t="shared" si="55"/>
        <v>0</v>
      </c>
      <c r="BJ28" s="1188">
        <f t="shared" si="55"/>
        <v>0</v>
      </c>
      <c r="BK28" s="403">
        <f t="shared" si="21"/>
        <v>210000</v>
      </c>
      <c r="BL28" s="402">
        <f t="shared" si="58"/>
        <v>0</v>
      </c>
      <c r="BM28" s="402"/>
      <c r="BN28" s="402"/>
      <c r="BO28" s="1199">
        <f t="shared" si="59"/>
        <v>0</v>
      </c>
      <c r="BP28" s="402">
        <f t="shared" si="60"/>
        <v>0</v>
      </c>
      <c r="BQ28" s="402">
        <f t="shared" si="61"/>
        <v>0</v>
      </c>
      <c r="BR28" s="402">
        <f t="shared" si="62"/>
        <v>0</v>
      </c>
      <c r="BS28" s="402">
        <f t="shared" si="63"/>
        <v>0</v>
      </c>
      <c r="BT28" s="402">
        <f t="shared" si="64"/>
        <v>0</v>
      </c>
      <c r="BU28" s="402">
        <f t="shared" si="65"/>
        <v>0</v>
      </c>
      <c r="BV28" s="1213">
        <f t="shared" si="56"/>
        <v>0</v>
      </c>
      <c r="BW28" s="1188"/>
      <c r="BX28" s="344">
        <f t="shared" si="66"/>
        <v>0</v>
      </c>
      <c r="BY28" s="983">
        <f t="shared" si="67"/>
        <v>28200</v>
      </c>
      <c r="BZ28" s="274">
        <f t="shared" si="15"/>
        <v>238200</v>
      </c>
      <c r="CA28" s="275">
        <f t="shared" si="68"/>
        <v>28200</v>
      </c>
      <c r="CB28" s="571">
        <f t="shared" si="54"/>
        <v>1</v>
      </c>
      <c r="CC28" s="1081"/>
      <c r="CD28" s="1081"/>
      <c r="CE28" s="1083"/>
      <c r="CF28" s="1084"/>
      <c r="CG28" s="862"/>
      <c r="CH28" s="862"/>
      <c r="CI28" s="862"/>
      <c r="CJ28" s="862"/>
      <c r="CK28" s="862"/>
      <c r="CL28" s="862"/>
      <c r="CM28" s="862"/>
      <c r="CN28" s="862"/>
      <c r="CO28" s="862"/>
      <c r="CP28" s="862"/>
      <c r="CQ28" s="1128"/>
      <c r="CR28" s="862"/>
      <c r="CS28" s="1128"/>
      <c r="CT28" s="862"/>
      <c r="CU28" s="862"/>
      <c r="CV28" s="862"/>
      <c r="CW28" s="862"/>
      <c r="CX28" s="862"/>
      <c r="CY28" s="73">
        <f t="shared" si="17"/>
        <v>0</v>
      </c>
      <c r="CZ28" s="862"/>
      <c r="DA28" s="862"/>
      <c r="DB28" s="862"/>
      <c r="DC28" s="862"/>
      <c r="DD28" s="862"/>
      <c r="DE28" s="862"/>
      <c r="DF28" s="862"/>
      <c r="DG28" s="862"/>
      <c r="DH28" s="1081"/>
      <c r="DI28" s="862"/>
      <c r="DJ28" s="862"/>
      <c r="DK28" s="862"/>
      <c r="DL28" s="862"/>
      <c r="DM28" s="862"/>
      <c r="DN28" s="862"/>
      <c r="DO28" s="862"/>
      <c r="DP28" s="862"/>
      <c r="DQ28" s="862"/>
      <c r="DR28" s="73">
        <f t="shared" si="18"/>
        <v>0</v>
      </c>
      <c r="DS28" s="412"/>
      <c r="DT28" s="412"/>
      <c r="DU28" s="420"/>
      <c r="DV28" s="412"/>
      <c r="DW28" s="412"/>
      <c r="DX28" s="412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</row>
    <row r="29" spans="1:139" s="278" customFormat="1" ht="32.25" customHeight="1" x14ac:dyDescent="0.2">
      <c r="A29" s="786"/>
      <c r="B29" s="572" t="s">
        <v>169</v>
      </c>
      <c r="C29" s="281"/>
      <c r="D29" s="573"/>
      <c r="E29" s="270"/>
      <c r="F29" s="342"/>
      <c r="G29" s="270"/>
      <c r="H29" s="342"/>
      <c r="I29" s="342"/>
      <c r="J29" s="342"/>
      <c r="K29" s="342"/>
      <c r="L29" s="342"/>
      <c r="M29" s="342"/>
      <c r="N29" s="342"/>
      <c r="O29" s="342"/>
      <c r="P29" s="1207"/>
      <c r="Q29" s="1207"/>
      <c r="R29" s="1207"/>
      <c r="S29" s="464"/>
      <c r="T29" s="1299"/>
      <c r="U29" s="1184"/>
      <c r="V29" s="1184"/>
      <c r="W29" s="840">
        <f t="shared" si="19"/>
        <v>0</v>
      </c>
      <c r="X29" s="574"/>
      <c r="Y29" s="1020"/>
      <c r="Z29" s="1017"/>
      <c r="AA29" s="1018"/>
      <c r="AB29" s="569"/>
      <c r="AC29" s="569"/>
      <c r="AD29" s="569"/>
      <c r="AE29" s="569"/>
      <c r="AF29" s="569"/>
      <c r="AG29" s="569"/>
      <c r="AH29" s="569"/>
      <c r="AI29" s="569"/>
      <c r="AJ29" s="569"/>
      <c r="AK29" s="1234"/>
      <c r="AL29" s="1234"/>
      <c r="AM29" s="1234"/>
      <c r="AN29" s="1186"/>
      <c r="AO29" s="1505"/>
      <c r="AP29" s="1186"/>
      <c r="AQ29" s="1186"/>
      <c r="AR29" s="570">
        <f t="shared" si="20"/>
        <v>0</v>
      </c>
      <c r="AS29" s="1365">
        <f t="shared" si="0"/>
        <v>0</v>
      </c>
      <c r="AT29" s="575">
        <f t="shared" si="1"/>
        <v>0</v>
      </c>
      <c r="AU29" s="575">
        <f t="shared" si="2"/>
        <v>0</v>
      </c>
      <c r="AV29" s="575">
        <f t="shared" si="3"/>
        <v>0</v>
      </c>
      <c r="AW29" s="575">
        <f t="shared" si="4"/>
        <v>0</v>
      </c>
      <c r="AX29" s="575">
        <f t="shared" si="5"/>
        <v>0</v>
      </c>
      <c r="AY29" s="575">
        <f t="shared" si="6"/>
        <v>0</v>
      </c>
      <c r="AZ29" s="575">
        <f t="shared" si="7"/>
        <v>0</v>
      </c>
      <c r="BA29" s="575">
        <f t="shared" si="8"/>
        <v>0</v>
      </c>
      <c r="BB29" s="575">
        <f t="shared" si="9"/>
        <v>0</v>
      </c>
      <c r="BC29" s="1237">
        <f t="shared" si="10"/>
        <v>0</v>
      </c>
      <c r="BD29" s="1237">
        <f t="shared" si="11"/>
        <v>0</v>
      </c>
      <c r="BE29" s="1189">
        <f t="shared" si="12"/>
        <v>0</v>
      </c>
      <c r="BF29" s="1189">
        <f t="shared" si="55"/>
        <v>0</v>
      </c>
      <c r="BG29" s="1189">
        <f t="shared" si="55"/>
        <v>0</v>
      </c>
      <c r="BH29" s="1585">
        <f t="shared" si="55"/>
        <v>0</v>
      </c>
      <c r="BI29" s="1189">
        <f t="shared" si="55"/>
        <v>0</v>
      </c>
      <c r="BJ29" s="1189">
        <f t="shared" si="55"/>
        <v>0</v>
      </c>
      <c r="BK29" s="403">
        <f t="shared" si="21"/>
        <v>0</v>
      </c>
      <c r="BL29" s="402">
        <f t="shared" si="52"/>
        <v>0</v>
      </c>
      <c r="BM29" s="575">
        <f t="shared" ref="BM29:BW29" si="69">AT29*Y29</f>
        <v>0</v>
      </c>
      <c r="BN29" s="575">
        <f t="shared" si="69"/>
        <v>0</v>
      </c>
      <c r="BO29" s="1365">
        <f t="shared" si="69"/>
        <v>0</v>
      </c>
      <c r="BP29" s="575">
        <f t="shared" si="69"/>
        <v>0</v>
      </c>
      <c r="BQ29" s="575">
        <f t="shared" si="69"/>
        <v>0</v>
      </c>
      <c r="BR29" s="575">
        <f t="shared" si="69"/>
        <v>0</v>
      </c>
      <c r="BS29" s="575">
        <f t="shared" si="69"/>
        <v>0</v>
      </c>
      <c r="BT29" s="575">
        <f t="shared" si="69"/>
        <v>0</v>
      </c>
      <c r="BU29" s="575">
        <f t="shared" si="69"/>
        <v>0</v>
      </c>
      <c r="BV29" s="1237">
        <f t="shared" si="69"/>
        <v>0</v>
      </c>
      <c r="BW29" s="1189">
        <f t="shared" si="69"/>
        <v>0</v>
      </c>
      <c r="BX29" s="344">
        <f t="shared" si="25"/>
        <v>0</v>
      </c>
      <c r="BY29" s="983">
        <f t="shared" si="29"/>
        <v>0</v>
      </c>
      <c r="BZ29" s="274">
        <f t="shared" si="15"/>
        <v>0</v>
      </c>
      <c r="CA29" s="275">
        <f t="shared" si="26"/>
        <v>0</v>
      </c>
      <c r="CB29" s="571"/>
      <c r="CC29" s="1081"/>
      <c r="CD29" s="1081"/>
      <c r="CE29" s="1083"/>
      <c r="CF29" s="1084"/>
      <c r="CG29" s="862"/>
      <c r="CH29" s="862"/>
      <c r="CI29" s="862"/>
      <c r="CJ29" s="862"/>
      <c r="CK29" s="862"/>
      <c r="CL29" s="862"/>
      <c r="CM29" s="862"/>
      <c r="CN29" s="862"/>
      <c r="CO29" s="862"/>
      <c r="CP29" s="862"/>
      <c r="CQ29" s="1128"/>
      <c r="CR29" s="862"/>
      <c r="CS29" s="1128"/>
      <c r="CT29" s="862"/>
      <c r="CU29" s="862"/>
      <c r="CV29" s="862"/>
      <c r="CW29" s="862"/>
      <c r="CX29" s="862"/>
      <c r="CY29" s="73">
        <f t="shared" si="17"/>
        <v>0</v>
      </c>
      <c r="CZ29" s="862"/>
      <c r="DA29" s="862"/>
      <c r="DB29" s="862"/>
      <c r="DC29" s="862"/>
      <c r="DD29" s="862"/>
      <c r="DE29" s="862"/>
      <c r="DF29" s="862"/>
      <c r="DG29" s="862"/>
      <c r="DH29" s="1081"/>
      <c r="DI29" s="862"/>
      <c r="DJ29" s="862"/>
      <c r="DK29" s="862"/>
      <c r="DL29" s="862"/>
      <c r="DM29" s="862"/>
      <c r="DN29" s="862"/>
      <c r="DO29" s="862"/>
      <c r="DP29" s="862"/>
      <c r="DQ29" s="862"/>
      <c r="DR29" s="73">
        <f t="shared" si="18"/>
        <v>0</v>
      </c>
      <c r="DS29" s="412"/>
      <c r="DT29" s="412"/>
      <c r="DU29" s="420"/>
      <c r="DV29" s="412"/>
      <c r="DW29" s="412"/>
      <c r="DX29" s="412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</row>
    <row r="30" spans="1:139" s="278" customFormat="1" ht="32.25" customHeight="1" x14ac:dyDescent="0.2">
      <c r="A30" s="786">
        <v>24</v>
      </c>
      <c r="B30" s="460" t="s">
        <v>170</v>
      </c>
      <c r="C30" s="281" t="s">
        <v>25</v>
      </c>
      <c r="D30" s="568">
        <f>11*2</f>
        <v>22</v>
      </c>
      <c r="E30" s="1016"/>
      <c r="F30" s="270"/>
      <c r="G30" s="270">
        <v>6</v>
      </c>
      <c r="H30" s="270"/>
      <c r="I30" s="342">
        <v>2</v>
      </c>
      <c r="J30" s="270"/>
      <c r="K30" s="342">
        <v>2</v>
      </c>
      <c r="L30" s="342"/>
      <c r="M30" s="342">
        <v>2</v>
      </c>
      <c r="N30" s="342"/>
      <c r="O30" s="342">
        <v>2</v>
      </c>
      <c r="P30" s="1207">
        <v>0</v>
      </c>
      <c r="Q30" s="464">
        <v>2</v>
      </c>
      <c r="R30" s="464">
        <v>2</v>
      </c>
      <c r="S30" s="464">
        <v>2</v>
      </c>
      <c r="T30" s="1299">
        <v>2</v>
      </c>
      <c r="U30" s="1184"/>
      <c r="V30" s="1184"/>
      <c r="W30" s="840">
        <f t="shared" si="19"/>
        <v>22</v>
      </c>
      <c r="X30" s="252" t="s">
        <v>50</v>
      </c>
      <c r="Y30" s="556">
        <v>25000</v>
      </c>
      <c r="Z30" s="1017"/>
      <c r="AA30" s="1017"/>
      <c r="AB30" s="1017">
        <v>25000</v>
      </c>
      <c r="AC30" s="1017">
        <v>25000</v>
      </c>
      <c r="AD30" s="569">
        <v>25000</v>
      </c>
      <c r="AE30" s="1017"/>
      <c r="AF30" s="569">
        <v>25000</v>
      </c>
      <c r="AG30" s="1017"/>
      <c r="AH30" s="1017">
        <v>25000</v>
      </c>
      <c r="AI30" s="569"/>
      <c r="AJ30" s="569">
        <v>25000</v>
      </c>
      <c r="AK30" s="1234">
        <v>0</v>
      </c>
      <c r="AL30" s="1234">
        <v>25000</v>
      </c>
      <c r="AM30" s="1234">
        <v>25000</v>
      </c>
      <c r="AN30" s="1186">
        <v>25000</v>
      </c>
      <c r="AO30" s="1505">
        <v>25000</v>
      </c>
      <c r="AP30" s="1186"/>
      <c r="AQ30" s="1186"/>
      <c r="AR30" s="570">
        <f t="shared" si="20"/>
        <v>550000</v>
      </c>
      <c r="AS30" s="1199">
        <f t="shared" ref="AS30:AS44" si="70">Z30*E30</f>
        <v>0</v>
      </c>
      <c r="AT30" s="402">
        <f t="shared" ref="AT30:AT44" si="71">AA30*F30</f>
        <v>0</v>
      </c>
      <c r="AU30" s="402">
        <f t="shared" ref="AU30:AU44" si="72">AB30*G30</f>
        <v>150000</v>
      </c>
      <c r="AV30" s="402">
        <f t="shared" ref="AV30:AV44" si="73">AC30*H30</f>
        <v>0</v>
      </c>
      <c r="AW30" s="402">
        <f t="shared" ref="AW30:AW44" si="74">AD30*I30</f>
        <v>50000</v>
      </c>
      <c r="AX30" s="402">
        <f t="shared" ref="AX30:AX44" si="75">AE30*J30</f>
        <v>0</v>
      </c>
      <c r="AY30" s="402">
        <f t="shared" ref="AY30:AY44" si="76">AF30*K30</f>
        <v>50000</v>
      </c>
      <c r="AZ30" s="402">
        <f t="shared" ref="AZ30:AZ44" si="77">AG30*L30</f>
        <v>0</v>
      </c>
      <c r="BA30" s="402">
        <f t="shared" ref="BA30:BC44" si="78">AH30*M30</f>
        <v>50000</v>
      </c>
      <c r="BB30" s="402">
        <f t="shared" ref="BB30:BB44" si="79">AI30*N30</f>
        <v>0</v>
      </c>
      <c r="BC30" s="402">
        <f t="shared" si="78"/>
        <v>50000</v>
      </c>
      <c r="BD30" s="1213">
        <f t="shared" ref="BD30:BD44" si="80">AK30*P30</f>
        <v>0</v>
      </c>
      <c r="BE30" s="1188">
        <f t="shared" ref="BE30:BE44" si="81">AL30*Q30</f>
        <v>50000</v>
      </c>
      <c r="BF30" s="1188">
        <f t="shared" si="55"/>
        <v>50000</v>
      </c>
      <c r="BG30" s="1188">
        <f t="shared" si="55"/>
        <v>50000</v>
      </c>
      <c r="BH30" s="1584">
        <f t="shared" si="55"/>
        <v>50000</v>
      </c>
      <c r="BI30" s="1188">
        <f t="shared" si="55"/>
        <v>0</v>
      </c>
      <c r="BJ30" s="1188">
        <f t="shared" si="55"/>
        <v>0</v>
      </c>
      <c r="BK30" s="403">
        <f t="shared" si="21"/>
        <v>550000</v>
      </c>
      <c r="BL30" s="402"/>
      <c r="BM30" s="402"/>
      <c r="BN30" s="402"/>
      <c r="BO30" s="1199"/>
      <c r="BP30" s="402"/>
      <c r="BQ30" s="402">
        <v>0</v>
      </c>
      <c r="BR30" s="402"/>
      <c r="BS30" s="402"/>
      <c r="BT30" s="402"/>
      <c r="BU30" s="402"/>
      <c r="BV30" s="1213"/>
      <c r="BW30" s="1188"/>
      <c r="BX30" s="344">
        <f t="shared" si="25"/>
        <v>0</v>
      </c>
      <c r="BY30" s="983">
        <f>AR30-BK30-BX30</f>
        <v>0</v>
      </c>
      <c r="BZ30" s="274">
        <f t="shared" si="15"/>
        <v>550000</v>
      </c>
      <c r="CA30" s="275">
        <f t="shared" si="26"/>
        <v>0</v>
      </c>
      <c r="CB30" s="571">
        <f>SUM(W30/D30)</f>
        <v>1</v>
      </c>
      <c r="CC30" s="1081"/>
      <c r="CD30" s="1081"/>
      <c r="CE30" s="1083"/>
      <c r="CF30" s="1084"/>
      <c r="CG30" s="862"/>
      <c r="CH30" s="862"/>
      <c r="CI30" s="862"/>
      <c r="CJ30" s="862"/>
      <c r="CK30" s="862"/>
      <c r="CL30" s="862"/>
      <c r="CM30" s="862"/>
      <c r="CN30" s="862"/>
      <c r="CO30" s="862"/>
      <c r="CP30" s="862"/>
      <c r="CQ30" s="1128"/>
      <c r="CR30" s="862"/>
      <c r="CS30" s="1128"/>
      <c r="CT30" s="862"/>
      <c r="CU30" s="862"/>
      <c r="CV30" s="862"/>
      <c r="CW30" s="862"/>
      <c r="CX30" s="862"/>
      <c r="CY30" s="73">
        <f t="shared" si="17"/>
        <v>0</v>
      </c>
      <c r="CZ30" s="862"/>
      <c r="DA30" s="862"/>
      <c r="DB30" s="862"/>
      <c r="DC30" s="862"/>
      <c r="DD30" s="862"/>
      <c r="DE30" s="862"/>
      <c r="DF30" s="862"/>
      <c r="DG30" s="862"/>
      <c r="DH30" s="1081"/>
      <c r="DI30" s="862"/>
      <c r="DJ30" s="862"/>
      <c r="DK30" s="862"/>
      <c r="DL30" s="862"/>
      <c r="DM30" s="862"/>
      <c r="DN30" s="862"/>
      <c r="DO30" s="862"/>
      <c r="DP30" s="862"/>
      <c r="DQ30" s="862"/>
      <c r="DR30" s="73">
        <f t="shared" si="18"/>
        <v>0</v>
      </c>
      <c r="DS30" s="412"/>
      <c r="DT30" s="412"/>
      <c r="DU30" s="420"/>
      <c r="DV30" s="412"/>
      <c r="DW30" s="412"/>
      <c r="DX30" s="412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</row>
    <row r="31" spans="1:139" s="278" customFormat="1" ht="24.75" customHeight="1" x14ac:dyDescent="0.2">
      <c r="A31" s="786">
        <f t="shared" si="27"/>
        <v>25</v>
      </c>
      <c r="B31" s="460" t="s">
        <v>171</v>
      </c>
      <c r="C31" s="281" t="s">
        <v>25</v>
      </c>
      <c r="D31" s="568">
        <f>4*12</f>
        <v>48</v>
      </c>
      <c r="E31" s="1016">
        <v>8</v>
      </c>
      <c r="F31" s="270"/>
      <c r="G31" s="270">
        <v>8</v>
      </c>
      <c r="H31" s="270"/>
      <c r="I31" s="342">
        <v>4</v>
      </c>
      <c r="J31" s="270"/>
      <c r="K31" s="342">
        <v>4</v>
      </c>
      <c r="L31" s="342"/>
      <c r="M31" s="342">
        <v>4</v>
      </c>
      <c r="N31" s="342"/>
      <c r="O31" s="342">
        <v>4</v>
      </c>
      <c r="P31" s="1207">
        <v>0</v>
      </c>
      <c r="Q31" s="464">
        <v>4</v>
      </c>
      <c r="R31" s="464">
        <v>4</v>
      </c>
      <c r="S31" s="464">
        <v>4</v>
      </c>
      <c r="T31" s="1299">
        <v>4</v>
      </c>
      <c r="U31" s="1184"/>
      <c r="V31" s="1184"/>
      <c r="W31" s="840">
        <f t="shared" si="19"/>
        <v>48</v>
      </c>
      <c r="X31" s="252" t="s">
        <v>50</v>
      </c>
      <c r="Y31" s="556">
        <v>10000</v>
      </c>
      <c r="Z31" s="1017">
        <v>5000</v>
      </c>
      <c r="AA31" s="1017"/>
      <c r="AB31" s="1017">
        <v>5000</v>
      </c>
      <c r="AC31" s="1017">
        <v>5000</v>
      </c>
      <c r="AD31" s="569">
        <v>5000</v>
      </c>
      <c r="AE31" s="1017"/>
      <c r="AF31" s="569">
        <v>5000</v>
      </c>
      <c r="AG31" s="1017"/>
      <c r="AH31" s="1017">
        <v>5000</v>
      </c>
      <c r="AI31" s="569"/>
      <c r="AJ31" s="569">
        <v>5000</v>
      </c>
      <c r="AK31" s="1234">
        <v>0</v>
      </c>
      <c r="AL31" s="1234">
        <v>5000</v>
      </c>
      <c r="AM31" s="1234">
        <v>5000</v>
      </c>
      <c r="AN31" s="1186">
        <v>5000</v>
      </c>
      <c r="AO31" s="1505">
        <v>5000</v>
      </c>
      <c r="AP31" s="1186"/>
      <c r="AQ31" s="1186"/>
      <c r="AR31" s="570">
        <f t="shared" si="20"/>
        <v>480000</v>
      </c>
      <c r="AS31" s="1199">
        <f t="shared" si="70"/>
        <v>40000</v>
      </c>
      <c r="AT31" s="402">
        <f t="shared" si="71"/>
        <v>0</v>
      </c>
      <c r="AU31" s="402">
        <f t="shared" si="72"/>
        <v>40000</v>
      </c>
      <c r="AV31" s="402">
        <f t="shared" si="73"/>
        <v>0</v>
      </c>
      <c r="AW31" s="402">
        <f t="shared" si="74"/>
        <v>20000</v>
      </c>
      <c r="AX31" s="402">
        <f t="shared" si="75"/>
        <v>0</v>
      </c>
      <c r="AY31" s="402">
        <f t="shared" si="76"/>
        <v>20000</v>
      </c>
      <c r="AZ31" s="402">
        <f t="shared" si="77"/>
        <v>0</v>
      </c>
      <c r="BA31" s="402">
        <f t="shared" si="78"/>
        <v>20000</v>
      </c>
      <c r="BB31" s="402">
        <f t="shared" si="79"/>
        <v>0</v>
      </c>
      <c r="BC31" s="402">
        <f t="shared" si="78"/>
        <v>20000</v>
      </c>
      <c r="BD31" s="1213">
        <f t="shared" si="80"/>
        <v>0</v>
      </c>
      <c r="BE31" s="1188">
        <f t="shared" si="81"/>
        <v>20000</v>
      </c>
      <c r="BF31" s="1188">
        <f t="shared" si="55"/>
        <v>20000</v>
      </c>
      <c r="BG31" s="1188">
        <f t="shared" si="55"/>
        <v>20000</v>
      </c>
      <c r="BH31" s="1584">
        <f t="shared" si="55"/>
        <v>20000</v>
      </c>
      <c r="BI31" s="1188">
        <f t="shared" si="55"/>
        <v>0</v>
      </c>
      <c r="BJ31" s="1188">
        <f t="shared" si="55"/>
        <v>0</v>
      </c>
      <c r="BK31" s="403">
        <f t="shared" si="21"/>
        <v>240000</v>
      </c>
      <c r="BL31" s="402"/>
      <c r="BM31" s="402"/>
      <c r="BN31" s="402"/>
      <c r="BO31" s="1199"/>
      <c r="BP31" s="402"/>
      <c r="BQ31" s="402">
        <v>0</v>
      </c>
      <c r="BR31" s="402"/>
      <c r="BS31" s="402"/>
      <c r="BT31" s="402"/>
      <c r="BU31" s="402"/>
      <c r="BV31" s="1213"/>
      <c r="BW31" s="1188"/>
      <c r="BX31" s="344">
        <f t="shared" si="25"/>
        <v>0</v>
      </c>
      <c r="BY31" s="983">
        <f t="shared" si="29"/>
        <v>240000</v>
      </c>
      <c r="BZ31" s="274">
        <f t="shared" si="15"/>
        <v>480000</v>
      </c>
      <c r="CA31" s="275">
        <f t="shared" si="26"/>
        <v>240000</v>
      </c>
      <c r="CB31" s="571">
        <f>SUM(W31/D31)</f>
        <v>1</v>
      </c>
      <c r="CC31" s="1081"/>
      <c r="CD31" s="1081"/>
      <c r="CE31" s="1083"/>
      <c r="CF31" s="1084"/>
      <c r="CG31" s="862"/>
      <c r="CH31" s="862"/>
      <c r="CI31" s="862"/>
      <c r="CJ31" s="862"/>
      <c r="CK31" s="862"/>
      <c r="CL31" s="862"/>
      <c r="CM31" s="862"/>
      <c r="CN31" s="862"/>
      <c r="CO31" s="862"/>
      <c r="CP31" s="862"/>
      <c r="CQ31" s="1128"/>
      <c r="CR31" s="862"/>
      <c r="CS31" s="1128"/>
      <c r="CT31" s="862"/>
      <c r="CU31" s="862"/>
      <c r="CV31" s="862"/>
      <c r="CW31" s="862"/>
      <c r="CX31" s="862"/>
      <c r="CY31" s="73">
        <f t="shared" si="17"/>
        <v>0</v>
      </c>
      <c r="CZ31" s="862"/>
      <c r="DA31" s="862"/>
      <c r="DB31" s="862"/>
      <c r="DC31" s="862"/>
      <c r="DD31" s="862"/>
      <c r="DE31" s="862"/>
      <c r="DF31" s="862"/>
      <c r="DG31" s="862"/>
      <c r="DH31" s="1081"/>
      <c r="DI31" s="862"/>
      <c r="DJ31" s="862"/>
      <c r="DK31" s="862"/>
      <c r="DL31" s="862"/>
      <c r="DM31" s="862"/>
      <c r="DN31" s="862"/>
      <c r="DO31" s="862"/>
      <c r="DP31" s="862"/>
      <c r="DQ31" s="862"/>
      <c r="DR31" s="73">
        <f t="shared" si="18"/>
        <v>0</v>
      </c>
      <c r="DS31" s="412"/>
      <c r="DT31" s="412"/>
      <c r="DU31" s="420"/>
      <c r="DV31" s="412"/>
      <c r="DW31" s="412"/>
      <c r="DX31" s="412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</row>
    <row r="32" spans="1:139" s="278" customFormat="1" ht="32.25" customHeight="1" x14ac:dyDescent="0.2">
      <c r="A32" s="786"/>
      <c r="B32" s="894" t="s">
        <v>172</v>
      </c>
      <c r="C32" s="281"/>
      <c r="D32" s="573"/>
      <c r="E32" s="1016"/>
      <c r="F32" s="342"/>
      <c r="G32" s="270"/>
      <c r="H32" s="342"/>
      <c r="I32" s="342"/>
      <c r="J32" s="342"/>
      <c r="K32" s="342"/>
      <c r="L32" s="342"/>
      <c r="M32" s="342"/>
      <c r="N32" s="342"/>
      <c r="O32" s="342"/>
      <c r="P32" s="1207"/>
      <c r="Q32" s="464"/>
      <c r="R32" s="464"/>
      <c r="S32" s="464"/>
      <c r="T32" s="1299"/>
      <c r="U32" s="1184"/>
      <c r="V32" s="1184"/>
      <c r="W32" s="840">
        <f t="shared" si="19"/>
        <v>0</v>
      </c>
      <c r="X32" s="574"/>
      <c r="Y32" s="1020"/>
      <c r="Z32" s="1017"/>
      <c r="AA32" s="1018"/>
      <c r="AB32" s="569"/>
      <c r="AC32" s="569"/>
      <c r="AD32" s="569"/>
      <c r="AE32" s="569"/>
      <c r="AF32" s="569"/>
      <c r="AG32" s="569"/>
      <c r="AH32" s="569"/>
      <c r="AI32" s="569"/>
      <c r="AJ32" s="569"/>
      <c r="AK32" s="1234"/>
      <c r="AL32" s="1234"/>
      <c r="AM32" s="1234"/>
      <c r="AN32" s="1186"/>
      <c r="AO32" s="1505"/>
      <c r="AP32" s="1186"/>
      <c r="AQ32" s="1186"/>
      <c r="AR32" s="570">
        <f t="shared" si="20"/>
        <v>0</v>
      </c>
      <c r="AS32" s="1365">
        <f t="shared" si="70"/>
        <v>0</v>
      </c>
      <c r="AT32" s="575">
        <f t="shared" si="71"/>
        <v>0</v>
      </c>
      <c r="AU32" s="575">
        <f t="shared" si="72"/>
        <v>0</v>
      </c>
      <c r="AV32" s="575">
        <f t="shared" si="73"/>
        <v>0</v>
      </c>
      <c r="AW32" s="575">
        <f t="shared" si="74"/>
        <v>0</v>
      </c>
      <c r="AX32" s="575">
        <f t="shared" si="75"/>
        <v>0</v>
      </c>
      <c r="AY32" s="575">
        <f t="shared" si="76"/>
        <v>0</v>
      </c>
      <c r="AZ32" s="575">
        <f t="shared" si="77"/>
        <v>0</v>
      </c>
      <c r="BA32" s="575">
        <f t="shared" si="78"/>
        <v>0</v>
      </c>
      <c r="BB32" s="575">
        <f t="shared" si="79"/>
        <v>0</v>
      </c>
      <c r="BC32" s="1237">
        <f t="shared" ref="BC32:BC44" si="82">AJ32*O32</f>
        <v>0</v>
      </c>
      <c r="BD32" s="1237">
        <f t="shared" si="80"/>
        <v>0</v>
      </c>
      <c r="BE32" s="1189">
        <f t="shared" si="81"/>
        <v>0</v>
      </c>
      <c r="BF32" s="1189">
        <f t="shared" si="55"/>
        <v>0</v>
      </c>
      <c r="BG32" s="1189">
        <f t="shared" si="55"/>
        <v>0</v>
      </c>
      <c r="BH32" s="1585">
        <f t="shared" si="55"/>
        <v>0</v>
      </c>
      <c r="BI32" s="1189">
        <f t="shared" si="55"/>
        <v>0</v>
      </c>
      <c r="BJ32" s="1189">
        <f t="shared" si="55"/>
        <v>0</v>
      </c>
      <c r="BK32" s="403">
        <f t="shared" si="21"/>
        <v>0</v>
      </c>
      <c r="BL32" s="402">
        <f t="shared" ref="BL32:BL36" si="83">SUM(AS32*4%)</f>
        <v>0</v>
      </c>
      <c r="BM32" s="575">
        <f t="shared" ref="BM32:BW32" si="84">AT32*Y32</f>
        <v>0</v>
      </c>
      <c r="BN32" s="575">
        <f t="shared" si="84"/>
        <v>0</v>
      </c>
      <c r="BO32" s="1365">
        <f t="shared" si="84"/>
        <v>0</v>
      </c>
      <c r="BP32" s="575">
        <f t="shared" si="84"/>
        <v>0</v>
      </c>
      <c r="BQ32" s="575">
        <f t="shared" si="84"/>
        <v>0</v>
      </c>
      <c r="BR32" s="575">
        <f t="shared" si="84"/>
        <v>0</v>
      </c>
      <c r="BS32" s="575">
        <f t="shared" si="84"/>
        <v>0</v>
      </c>
      <c r="BT32" s="575">
        <f t="shared" si="84"/>
        <v>0</v>
      </c>
      <c r="BU32" s="575">
        <f t="shared" si="84"/>
        <v>0</v>
      </c>
      <c r="BV32" s="1237">
        <f t="shared" si="84"/>
        <v>0</v>
      </c>
      <c r="BW32" s="1189">
        <f t="shared" si="84"/>
        <v>0</v>
      </c>
      <c r="BX32" s="344">
        <f t="shared" si="25"/>
        <v>0</v>
      </c>
      <c r="BY32" s="983">
        <f t="shared" si="29"/>
        <v>0</v>
      </c>
      <c r="BZ32" s="274">
        <f t="shared" si="15"/>
        <v>0</v>
      </c>
      <c r="CA32" s="275">
        <f t="shared" si="26"/>
        <v>0</v>
      </c>
      <c r="CB32" s="571"/>
      <c r="CC32" s="1081"/>
      <c r="CD32" s="1081"/>
      <c r="CE32" s="1083"/>
      <c r="CF32" s="1084"/>
      <c r="CG32" s="862"/>
      <c r="CH32" s="862"/>
      <c r="CI32" s="862"/>
      <c r="CJ32" s="862"/>
      <c r="CK32" s="862"/>
      <c r="CL32" s="862"/>
      <c r="CM32" s="862"/>
      <c r="CN32" s="862"/>
      <c r="CO32" s="862"/>
      <c r="CP32" s="862"/>
      <c r="CQ32" s="1128"/>
      <c r="CR32" s="862"/>
      <c r="CS32" s="1128"/>
      <c r="CT32" s="862"/>
      <c r="CU32" s="862"/>
      <c r="CV32" s="862"/>
      <c r="CW32" s="862"/>
      <c r="CX32" s="862"/>
      <c r="CY32" s="73">
        <f t="shared" si="17"/>
        <v>0</v>
      </c>
      <c r="CZ32" s="862"/>
      <c r="DA32" s="862"/>
      <c r="DB32" s="862"/>
      <c r="DC32" s="862"/>
      <c r="DD32" s="862"/>
      <c r="DE32" s="862"/>
      <c r="DF32" s="862"/>
      <c r="DG32" s="862"/>
      <c r="DH32" s="1081"/>
      <c r="DI32" s="862"/>
      <c r="DJ32" s="862"/>
      <c r="DK32" s="862"/>
      <c r="DL32" s="862"/>
      <c r="DM32" s="862"/>
      <c r="DN32" s="862"/>
      <c r="DO32" s="862"/>
      <c r="DP32" s="862"/>
      <c r="DQ32" s="862"/>
      <c r="DR32" s="73">
        <f t="shared" si="18"/>
        <v>0</v>
      </c>
      <c r="DS32" s="412"/>
      <c r="DT32" s="412"/>
      <c r="DU32" s="420"/>
      <c r="DV32" s="412"/>
      <c r="DW32" s="412"/>
      <c r="DX32" s="412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</row>
    <row r="33" spans="1:139" s="278" customFormat="1" ht="24.75" customHeight="1" x14ac:dyDescent="0.2">
      <c r="A33" s="786">
        <v>26</v>
      </c>
      <c r="B33" s="460" t="s">
        <v>173</v>
      </c>
      <c r="C33" s="281" t="s">
        <v>25</v>
      </c>
      <c r="D33" s="1191">
        <v>2500</v>
      </c>
      <c r="E33" s="1192">
        <v>256</v>
      </c>
      <c r="F33" s="1192"/>
      <c r="G33" s="270">
        <v>85</v>
      </c>
      <c r="H33" s="342"/>
      <c r="I33" s="342">
        <v>250</v>
      </c>
      <c r="J33" s="342"/>
      <c r="K33" s="342">
        <v>250</v>
      </c>
      <c r="L33" s="342"/>
      <c r="M33" s="342">
        <v>250</v>
      </c>
      <c r="N33" s="342"/>
      <c r="O33" s="342">
        <v>250</v>
      </c>
      <c r="P33" s="1207">
        <v>250</v>
      </c>
      <c r="Q33" s="464"/>
      <c r="R33" s="464">
        <v>250</v>
      </c>
      <c r="S33" s="464">
        <v>250</v>
      </c>
      <c r="T33" s="1299">
        <v>250</v>
      </c>
      <c r="U33" s="1184"/>
      <c r="V33" s="1184"/>
      <c r="W33" s="840">
        <f t="shared" si="19"/>
        <v>2341</v>
      </c>
      <c r="X33" s="574" t="s">
        <v>7</v>
      </c>
      <c r="Y33" s="556">
        <v>570</v>
      </c>
      <c r="Z33" s="1017">
        <v>500</v>
      </c>
      <c r="AA33" s="1018"/>
      <c r="AB33" s="1017">
        <v>500</v>
      </c>
      <c r="AC33" s="1017">
        <v>500</v>
      </c>
      <c r="AD33" s="1017">
        <v>500</v>
      </c>
      <c r="AE33" s="1017"/>
      <c r="AF33" s="1017">
        <v>500</v>
      </c>
      <c r="AG33" s="1017"/>
      <c r="AH33" s="1017">
        <v>500</v>
      </c>
      <c r="AI33" s="569"/>
      <c r="AJ33" s="569">
        <v>500</v>
      </c>
      <c r="AK33" s="1234">
        <v>570</v>
      </c>
      <c r="AL33" s="1234"/>
      <c r="AM33" s="1234">
        <v>570</v>
      </c>
      <c r="AN33" s="1186">
        <v>570</v>
      </c>
      <c r="AO33" s="1505">
        <v>570</v>
      </c>
      <c r="AP33" s="1186"/>
      <c r="AQ33" s="1186"/>
      <c r="AR33" s="570">
        <f t="shared" si="20"/>
        <v>1334370</v>
      </c>
      <c r="AS33" s="1199">
        <f t="shared" si="70"/>
        <v>128000</v>
      </c>
      <c r="AT33" s="402">
        <f t="shared" si="71"/>
        <v>0</v>
      </c>
      <c r="AU33" s="402">
        <f t="shared" si="72"/>
        <v>42500</v>
      </c>
      <c r="AV33" s="402">
        <f t="shared" si="73"/>
        <v>0</v>
      </c>
      <c r="AW33" s="402">
        <f t="shared" si="74"/>
        <v>125000</v>
      </c>
      <c r="AX33" s="402">
        <f t="shared" si="75"/>
        <v>0</v>
      </c>
      <c r="AY33" s="402">
        <f t="shared" si="76"/>
        <v>125000</v>
      </c>
      <c r="AZ33" s="402">
        <f t="shared" si="77"/>
        <v>0</v>
      </c>
      <c r="BA33" s="402">
        <f t="shared" si="78"/>
        <v>125000</v>
      </c>
      <c r="BB33" s="402">
        <f t="shared" si="79"/>
        <v>0</v>
      </c>
      <c r="BC33" s="1213">
        <f t="shared" si="82"/>
        <v>125000</v>
      </c>
      <c r="BD33" s="1213">
        <f>AK33*P33</f>
        <v>142500</v>
      </c>
      <c r="BE33" s="1188">
        <f t="shared" si="81"/>
        <v>0</v>
      </c>
      <c r="BF33" s="1188">
        <f t="shared" si="55"/>
        <v>142500</v>
      </c>
      <c r="BG33" s="1188">
        <f t="shared" si="55"/>
        <v>142500</v>
      </c>
      <c r="BH33" s="1584">
        <f t="shared" si="55"/>
        <v>142500</v>
      </c>
      <c r="BI33" s="1188">
        <f t="shared" si="55"/>
        <v>0</v>
      </c>
      <c r="BJ33" s="1188">
        <f t="shared" si="55"/>
        <v>0</v>
      </c>
      <c r="BK33" s="403">
        <f t="shared" si="21"/>
        <v>1240500</v>
      </c>
      <c r="BL33" s="402">
        <f t="shared" si="83"/>
        <v>5120</v>
      </c>
      <c r="BM33" s="402">
        <f t="shared" ref="BM33:BS33" si="85">SUM(AT33*4%)</f>
        <v>0</v>
      </c>
      <c r="BN33" s="402">
        <f t="shared" si="85"/>
        <v>1700</v>
      </c>
      <c r="BO33" s="1199">
        <f t="shared" si="85"/>
        <v>0</v>
      </c>
      <c r="BP33" s="402">
        <f t="shared" si="85"/>
        <v>5000</v>
      </c>
      <c r="BQ33" s="402">
        <f t="shared" si="85"/>
        <v>0</v>
      </c>
      <c r="BR33" s="402">
        <f t="shared" si="85"/>
        <v>5000</v>
      </c>
      <c r="BS33" s="402">
        <f t="shared" si="85"/>
        <v>0</v>
      </c>
      <c r="BT33" s="402">
        <v>5000</v>
      </c>
      <c r="BU33" s="402">
        <f>SUM(BB33*4%)</f>
        <v>0</v>
      </c>
      <c r="BV33" s="1213">
        <v>5000</v>
      </c>
      <c r="BW33" s="402"/>
      <c r="BX33" s="344">
        <f>SUM(BL33:BW33)</f>
        <v>26820</v>
      </c>
      <c r="BY33" s="983">
        <f t="shared" si="29"/>
        <v>67050</v>
      </c>
      <c r="BZ33" s="274">
        <f t="shared" si="15"/>
        <v>1425000</v>
      </c>
      <c r="CA33" s="275">
        <f t="shared" si="26"/>
        <v>157680</v>
      </c>
      <c r="CB33" s="571">
        <f>SUM(W33/D33)</f>
        <v>0.93640000000000001</v>
      </c>
      <c r="CC33" s="862"/>
      <c r="CD33" s="862"/>
      <c r="CE33" s="1102"/>
      <c r="CF33" s="1084"/>
      <c r="CG33" s="862"/>
      <c r="CH33" s="862"/>
      <c r="CI33" s="862"/>
      <c r="CJ33" s="862"/>
      <c r="CK33" s="862"/>
      <c r="CL33" s="862"/>
      <c r="CM33" s="862"/>
      <c r="CN33" s="862"/>
      <c r="CO33" s="862"/>
      <c r="CP33" s="862"/>
      <c r="CQ33" s="1128">
        <f>SUM(BC33*2%)</f>
        <v>2500</v>
      </c>
      <c r="CR33" s="862"/>
      <c r="CS33" s="1128">
        <f>BE33*2/100</f>
        <v>0</v>
      </c>
      <c r="CT33" s="862"/>
      <c r="CU33" s="862"/>
      <c r="CV33" s="862"/>
      <c r="CW33" s="862"/>
      <c r="CX33" s="862"/>
      <c r="CY33" s="73">
        <f>SUM(CG33:CX33)</f>
        <v>2500</v>
      </c>
      <c r="CZ33" s="862"/>
      <c r="DA33" s="862"/>
      <c r="DB33" s="862"/>
      <c r="DC33" s="862"/>
      <c r="DD33" s="862"/>
      <c r="DE33" s="862"/>
      <c r="DF33" s="862"/>
      <c r="DG33" s="862"/>
      <c r="DH33" s="862"/>
      <c r="DI33" s="862"/>
      <c r="DJ33" s="862"/>
      <c r="DK33" s="862"/>
      <c r="DL33" s="862"/>
      <c r="DM33" s="862"/>
      <c r="DN33" s="862"/>
      <c r="DO33" s="862"/>
      <c r="DP33" s="862"/>
      <c r="DQ33" s="862"/>
      <c r="DR33" s="73">
        <f t="shared" si="18"/>
        <v>0</v>
      </c>
      <c r="DS33" s="412"/>
      <c r="DT33" s="412"/>
      <c r="DU33" s="420"/>
      <c r="DV33" s="412"/>
      <c r="DW33" s="412"/>
      <c r="DX33" s="412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</row>
    <row r="34" spans="1:139" s="278" customFormat="1" ht="32.25" customHeight="1" x14ac:dyDescent="0.2">
      <c r="A34" s="786"/>
      <c r="B34" s="894" t="s">
        <v>174</v>
      </c>
      <c r="C34" s="281"/>
      <c r="D34" s="573"/>
      <c r="E34" s="1016"/>
      <c r="F34" s="342"/>
      <c r="G34" s="270"/>
      <c r="H34" s="270"/>
      <c r="I34" s="342"/>
      <c r="J34" s="342"/>
      <c r="K34" s="342"/>
      <c r="L34" s="342"/>
      <c r="M34" s="342"/>
      <c r="N34" s="342"/>
      <c r="O34" s="342"/>
      <c r="P34" s="1207"/>
      <c r="Q34" s="464"/>
      <c r="R34" s="464"/>
      <c r="S34" s="464"/>
      <c r="T34" s="1299"/>
      <c r="U34" s="1184"/>
      <c r="V34" s="1184"/>
      <c r="W34" s="840">
        <f t="shared" si="19"/>
        <v>0</v>
      </c>
      <c r="X34" s="574"/>
      <c r="Y34" s="1020"/>
      <c r="Z34" s="1017"/>
      <c r="AA34" s="1018"/>
      <c r="AB34" s="569"/>
      <c r="AC34" s="569"/>
      <c r="AD34" s="569"/>
      <c r="AE34" s="569"/>
      <c r="AF34" s="569"/>
      <c r="AG34" s="569"/>
      <c r="AH34" s="569"/>
      <c r="AI34" s="569"/>
      <c r="AJ34" s="569"/>
      <c r="AK34" s="1234"/>
      <c r="AL34" s="1234"/>
      <c r="AM34" s="1234"/>
      <c r="AN34" s="1186"/>
      <c r="AO34" s="1505"/>
      <c r="AP34" s="1186"/>
      <c r="AQ34" s="1186"/>
      <c r="AR34" s="570">
        <f t="shared" si="20"/>
        <v>0</v>
      </c>
      <c r="AS34" s="1365">
        <f t="shared" si="70"/>
        <v>0</v>
      </c>
      <c r="AT34" s="575">
        <f t="shared" si="71"/>
        <v>0</v>
      </c>
      <c r="AU34" s="575">
        <f t="shared" si="72"/>
        <v>0</v>
      </c>
      <c r="AV34" s="575">
        <f t="shared" si="73"/>
        <v>0</v>
      </c>
      <c r="AW34" s="575">
        <f t="shared" si="74"/>
        <v>0</v>
      </c>
      <c r="AX34" s="575">
        <f t="shared" si="75"/>
        <v>0</v>
      </c>
      <c r="AY34" s="575">
        <f t="shared" si="76"/>
        <v>0</v>
      </c>
      <c r="AZ34" s="575">
        <f t="shared" si="77"/>
        <v>0</v>
      </c>
      <c r="BA34" s="575">
        <f t="shared" si="78"/>
        <v>0</v>
      </c>
      <c r="BB34" s="575">
        <f t="shared" si="79"/>
        <v>0</v>
      </c>
      <c r="BC34" s="1237">
        <f t="shared" si="82"/>
        <v>0</v>
      </c>
      <c r="BD34" s="1237">
        <f t="shared" si="80"/>
        <v>0</v>
      </c>
      <c r="BE34" s="1189">
        <f t="shared" si="81"/>
        <v>0</v>
      </c>
      <c r="BF34" s="1189">
        <f t="shared" si="55"/>
        <v>0</v>
      </c>
      <c r="BG34" s="1189">
        <f t="shared" si="55"/>
        <v>0</v>
      </c>
      <c r="BH34" s="1585">
        <f t="shared" si="55"/>
        <v>0</v>
      </c>
      <c r="BI34" s="1189">
        <f t="shared" si="55"/>
        <v>0</v>
      </c>
      <c r="BJ34" s="1189">
        <f t="shared" si="55"/>
        <v>0</v>
      </c>
      <c r="BK34" s="403">
        <f t="shared" si="21"/>
        <v>0</v>
      </c>
      <c r="BL34" s="402">
        <f t="shared" si="83"/>
        <v>0</v>
      </c>
      <c r="BM34" s="575">
        <f t="shared" ref="BM34:BW34" si="86">AT34*Y34</f>
        <v>0</v>
      </c>
      <c r="BN34" s="575">
        <f t="shared" si="86"/>
        <v>0</v>
      </c>
      <c r="BO34" s="1365">
        <f t="shared" si="86"/>
        <v>0</v>
      </c>
      <c r="BP34" s="575">
        <f t="shared" si="86"/>
        <v>0</v>
      </c>
      <c r="BQ34" s="575">
        <f t="shared" si="86"/>
        <v>0</v>
      </c>
      <c r="BR34" s="575">
        <f t="shared" si="86"/>
        <v>0</v>
      </c>
      <c r="BS34" s="575">
        <f t="shared" si="86"/>
        <v>0</v>
      </c>
      <c r="BT34" s="575">
        <f t="shared" si="86"/>
        <v>0</v>
      </c>
      <c r="BU34" s="575">
        <f t="shared" si="86"/>
        <v>0</v>
      </c>
      <c r="BV34" s="1237">
        <f t="shared" si="86"/>
        <v>0</v>
      </c>
      <c r="BW34" s="1189">
        <f t="shared" si="86"/>
        <v>0</v>
      </c>
      <c r="BX34" s="344">
        <f t="shared" si="25"/>
        <v>0</v>
      </c>
      <c r="BY34" s="983">
        <f t="shared" si="29"/>
        <v>0</v>
      </c>
      <c r="BZ34" s="274">
        <f t="shared" si="15"/>
        <v>0</v>
      </c>
      <c r="CA34" s="275">
        <f t="shared" si="26"/>
        <v>0</v>
      </c>
      <c r="CB34" s="571"/>
      <c r="CC34" s="862"/>
      <c r="CD34" s="862"/>
      <c r="CE34" s="1102"/>
      <c r="CF34" s="1084"/>
      <c r="CG34" s="862"/>
      <c r="CH34" s="862"/>
      <c r="CI34" s="862"/>
      <c r="CJ34" s="862"/>
      <c r="CK34" s="862"/>
      <c r="CL34" s="862"/>
      <c r="CM34" s="862"/>
      <c r="CN34" s="862"/>
      <c r="CO34" s="862"/>
      <c r="CP34" s="862"/>
      <c r="CQ34" s="1128"/>
      <c r="CR34" s="862"/>
      <c r="CS34" s="1128"/>
      <c r="CT34" s="862"/>
      <c r="CU34" s="862"/>
      <c r="CV34" s="862"/>
      <c r="CW34" s="862"/>
      <c r="CX34" s="862"/>
      <c r="CY34" s="73">
        <f t="shared" si="17"/>
        <v>0</v>
      </c>
      <c r="CZ34" s="862"/>
      <c r="DA34" s="862"/>
      <c r="DB34" s="862"/>
      <c r="DC34" s="862"/>
      <c r="DD34" s="862"/>
      <c r="DE34" s="862"/>
      <c r="DF34" s="862"/>
      <c r="DG34" s="862"/>
      <c r="DH34" s="862"/>
      <c r="DI34" s="862"/>
      <c r="DJ34" s="862"/>
      <c r="DK34" s="862"/>
      <c r="DL34" s="862"/>
      <c r="DM34" s="862"/>
      <c r="DN34" s="862"/>
      <c r="DO34" s="862"/>
      <c r="DP34" s="862"/>
      <c r="DQ34" s="862"/>
      <c r="DR34" s="73">
        <f t="shared" si="18"/>
        <v>0</v>
      </c>
      <c r="DS34" s="412"/>
      <c r="DT34" s="412"/>
      <c r="DU34" s="420"/>
      <c r="DV34" s="412"/>
      <c r="DW34" s="412"/>
      <c r="DX34" s="412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</row>
    <row r="35" spans="1:139" s="278" customFormat="1" ht="24.75" customHeight="1" x14ac:dyDescent="0.2">
      <c r="A35" s="786">
        <v>27</v>
      </c>
      <c r="B35" s="460" t="s">
        <v>175</v>
      </c>
      <c r="C35" s="281" t="s">
        <v>25</v>
      </c>
      <c r="D35" s="1193">
        <v>4080</v>
      </c>
      <c r="E35" s="573">
        <v>680</v>
      </c>
      <c r="F35" s="573"/>
      <c r="G35" s="270">
        <v>17</v>
      </c>
      <c r="H35" s="342">
        <v>309</v>
      </c>
      <c r="I35" s="342">
        <v>320</v>
      </c>
      <c r="J35" s="342"/>
      <c r="K35" s="342">
        <v>320</v>
      </c>
      <c r="L35" s="342"/>
      <c r="M35" s="342">
        <v>320</v>
      </c>
      <c r="N35" s="342"/>
      <c r="O35" s="342">
        <v>320</v>
      </c>
      <c r="P35" s="1207">
        <v>320</v>
      </c>
      <c r="Q35" s="464"/>
      <c r="R35" s="464">
        <v>320</v>
      </c>
      <c r="S35" s="464">
        <v>320</v>
      </c>
      <c r="T35" s="1299">
        <v>320</v>
      </c>
      <c r="U35" s="1184"/>
      <c r="V35" s="1184"/>
      <c r="W35" s="840">
        <f t="shared" si="19"/>
        <v>3566</v>
      </c>
      <c r="X35" s="574" t="s">
        <v>5</v>
      </c>
      <c r="Y35" s="556">
        <v>5700</v>
      </c>
      <c r="Z35" s="895">
        <v>5000</v>
      </c>
      <c r="AA35" s="1018"/>
      <c r="AB35" s="895">
        <v>5000</v>
      </c>
      <c r="AC35" s="895">
        <v>5000</v>
      </c>
      <c r="AD35" s="895">
        <v>5000</v>
      </c>
      <c r="AE35" s="895"/>
      <c r="AF35" s="895">
        <v>5000</v>
      </c>
      <c r="AG35" s="895"/>
      <c r="AH35" s="895">
        <v>5000</v>
      </c>
      <c r="AI35" s="569"/>
      <c r="AJ35" s="569">
        <v>5000</v>
      </c>
      <c r="AK35" s="1234">
        <v>5700</v>
      </c>
      <c r="AL35" s="1234"/>
      <c r="AM35" s="1234">
        <v>5700</v>
      </c>
      <c r="AN35" s="1186">
        <v>5700</v>
      </c>
      <c r="AO35" s="1505">
        <v>5700</v>
      </c>
      <c r="AP35" s="1186"/>
      <c r="AQ35" s="1186"/>
      <c r="AR35" s="570">
        <f t="shared" si="20"/>
        <v>20326200</v>
      </c>
      <c r="AS35" s="1199">
        <f t="shared" si="70"/>
        <v>3400000</v>
      </c>
      <c r="AT35" s="402">
        <f t="shared" si="71"/>
        <v>0</v>
      </c>
      <c r="AU35" s="402">
        <f t="shared" si="72"/>
        <v>85000</v>
      </c>
      <c r="AV35" s="402">
        <f t="shared" si="73"/>
        <v>1545000</v>
      </c>
      <c r="AW35" s="402">
        <f t="shared" si="74"/>
        <v>1600000</v>
      </c>
      <c r="AX35" s="402">
        <f t="shared" si="75"/>
        <v>0</v>
      </c>
      <c r="AY35" s="402">
        <f t="shared" si="76"/>
        <v>1600000</v>
      </c>
      <c r="AZ35" s="402">
        <f t="shared" si="77"/>
        <v>0</v>
      </c>
      <c r="BA35" s="402">
        <f t="shared" si="78"/>
        <v>1600000</v>
      </c>
      <c r="BB35" s="402">
        <f t="shared" si="79"/>
        <v>0</v>
      </c>
      <c r="BC35" s="1213">
        <f t="shared" si="82"/>
        <v>1600000</v>
      </c>
      <c r="BD35" s="1213">
        <f t="shared" si="80"/>
        <v>1824000</v>
      </c>
      <c r="BE35" s="1188">
        <f t="shared" si="81"/>
        <v>0</v>
      </c>
      <c r="BF35" s="1188">
        <f t="shared" si="55"/>
        <v>1824000</v>
      </c>
      <c r="BG35" s="1188">
        <f t="shared" si="55"/>
        <v>1824000</v>
      </c>
      <c r="BH35" s="1584">
        <f t="shared" si="55"/>
        <v>1824000</v>
      </c>
      <c r="BI35" s="1188">
        <f t="shared" si="55"/>
        <v>0</v>
      </c>
      <c r="BJ35" s="1188">
        <f t="shared" si="55"/>
        <v>0</v>
      </c>
      <c r="BK35" s="403">
        <f t="shared" si="21"/>
        <v>18726000</v>
      </c>
      <c r="BL35" s="402">
        <v>137600</v>
      </c>
      <c r="BM35" s="402"/>
      <c r="BN35" s="402">
        <f>SUM(AU35*4%)</f>
        <v>3400</v>
      </c>
      <c r="BO35" s="1199">
        <v>135000</v>
      </c>
      <c r="BP35" s="402">
        <f t="shared" ref="BP35:BU35" si="87">SUM(AW35*4%)</f>
        <v>64000</v>
      </c>
      <c r="BQ35" s="402">
        <f t="shared" si="87"/>
        <v>0</v>
      </c>
      <c r="BR35" s="402">
        <f t="shared" si="87"/>
        <v>64000</v>
      </c>
      <c r="BS35" s="402">
        <f t="shared" si="87"/>
        <v>0</v>
      </c>
      <c r="BT35" s="402">
        <f t="shared" si="87"/>
        <v>64000</v>
      </c>
      <c r="BU35" s="402">
        <f t="shared" si="87"/>
        <v>0</v>
      </c>
      <c r="BV35" s="1213">
        <v>64000</v>
      </c>
      <c r="BW35" s="1188"/>
      <c r="BX35" s="344">
        <f>SUM(BL35:BW35)</f>
        <v>532000</v>
      </c>
      <c r="BY35" s="983">
        <f t="shared" si="29"/>
        <v>1068200</v>
      </c>
      <c r="BZ35" s="274">
        <f t="shared" si="15"/>
        <v>23256000</v>
      </c>
      <c r="CA35" s="275">
        <f>BZ35-BK35-BX35</f>
        <v>3998000</v>
      </c>
      <c r="CB35" s="571">
        <f>SUM(W35/D35)</f>
        <v>0.87401960784313726</v>
      </c>
      <c r="CC35" s="862"/>
      <c r="CD35" s="862"/>
      <c r="CE35" s="1102"/>
      <c r="CF35" s="1084"/>
      <c r="CG35" s="862"/>
      <c r="CH35" s="862"/>
      <c r="CI35" s="862"/>
      <c r="CJ35" s="862"/>
      <c r="CK35" s="862"/>
      <c r="CL35" s="862"/>
      <c r="CM35" s="862"/>
      <c r="CN35" s="862"/>
      <c r="CO35" s="862"/>
      <c r="CP35" s="862"/>
      <c r="CQ35" s="1128">
        <f>SUM(BC35*2%)</f>
        <v>32000</v>
      </c>
      <c r="CR35" s="862"/>
      <c r="CS35" s="1128">
        <f>BE35*2/100</f>
        <v>0</v>
      </c>
      <c r="CT35" s="862"/>
      <c r="CU35" s="862"/>
      <c r="CV35" s="862"/>
      <c r="CW35" s="862"/>
      <c r="CX35" s="862"/>
      <c r="CY35" s="73">
        <f>SUM(CG35:CX35)</f>
        <v>32000</v>
      </c>
      <c r="CZ35" s="862"/>
      <c r="DA35" s="862"/>
      <c r="DB35" s="862"/>
      <c r="DC35" s="862"/>
      <c r="DD35" s="862"/>
      <c r="DE35" s="862"/>
      <c r="DF35" s="862"/>
      <c r="DG35" s="862"/>
      <c r="DH35" s="862"/>
      <c r="DI35" s="862"/>
      <c r="DJ35" s="862"/>
      <c r="DK35" s="862"/>
      <c r="DL35" s="862"/>
      <c r="DM35" s="862"/>
      <c r="DN35" s="862"/>
      <c r="DO35" s="862"/>
      <c r="DP35" s="862"/>
      <c r="DQ35" s="862"/>
      <c r="DR35" s="73">
        <f t="shared" si="18"/>
        <v>0</v>
      </c>
      <c r="DS35" s="412"/>
      <c r="DT35" s="412"/>
      <c r="DU35" s="420"/>
      <c r="DV35" s="412"/>
      <c r="DW35" s="412"/>
      <c r="DX35" s="412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</row>
    <row r="36" spans="1:139" s="278" customFormat="1" ht="32.25" customHeight="1" x14ac:dyDescent="0.2">
      <c r="A36" s="786"/>
      <c r="B36" s="894" t="s">
        <v>176</v>
      </c>
      <c r="C36" s="281"/>
      <c r="D36" s="573"/>
      <c r="E36" s="1016"/>
      <c r="F36" s="342"/>
      <c r="G36" s="270"/>
      <c r="H36" s="342"/>
      <c r="I36" s="342"/>
      <c r="J36" s="270"/>
      <c r="K36" s="342"/>
      <c r="L36" s="342"/>
      <c r="M36" s="342"/>
      <c r="N36" s="342"/>
      <c r="O36" s="342"/>
      <c r="P36" s="1207"/>
      <c r="Q36" s="464"/>
      <c r="R36" s="464"/>
      <c r="S36" s="464"/>
      <c r="T36" s="1299"/>
      <c r="U36" s="1184"/>
      <c r="V36" s="1184"/>
      <c r="W36" s="840">
        <f t="shared" si="19"/>
        <v>0</v>
      </c>
      <c r="X36" s="574"/>
      <c r="Y36" s="1020"/>
      <c r="Z36" s="1017"/>
      <c r="AA36" s="1018"/>
      <c r="AB36" s="569"/>
      <c r="AC36" s="569"/>
      <c r="AD36" s="569"/>
      <c r="AE36" s="569"/>
      <c r="AF36" s="569"/>
      <c r="AG36" s="569"/>
      <c r="AH36" s="569"/>
      <c r="AI36" s="569"/>
      <c r="AJ36" s="569"/>
      <c r="AK36" s="1234"/>
      <c r="AL36" s="1234"/>
      <c r="AM36" s="1234"/>
      <c r="AN36" s="1186"/>
      <c r="AO36" s="1505"/>
      <c r="AP36" s="1186"/>
      <c r="AQ36" s="1186"/>
      <c r="AR36" s="570">
        <f t="shared" si="20"/>
        <v>0</v>
      </c>
      <c r="AS36" s="1365">
        <f t="shared" si="70"/>
        <v>0</v>
      </c>
      <c r="AT36" s="575">
        <f t="shared" si="71"/>
        <v>0</v>
      </c>
      <c r="AU36" s="575">
        <f t="shared" si="72"/>
        <v>0</v>
      </c>
      <c r="AV36" s="575">
        <f t="shared" si="73"/>
        <v>0</v>
      </c>
      <c r="AW36" s="575">
        <f t="shared" si="74"/>
        <v>0</v>
      </c>
      <c r="AX36" s="575">
        <f t="shared" si="75"/>
        <v>0</v>
      </c>
      <c r="AY36" s="575">
        <f t="shared" si="76"/>
        <v>0</v>
      </c>
      <c r="AZ36" s="575">
        <f t="shared" si="77"/>
        <v>0</v>
      </c>
      <c r="BA36" s="575">
        <f t="shared" si="78"/>
        <v>0</v>
      </c>
      <c r="BB36" s="575">
        <f t="shared" si="79"/>
        <v>0</v>
      </c>
      <c r="BC36" s="1237">
        <f t="shared" si="82"/>
        <v>0</v>
      </c>
      <c r="BD36" s="1237">
        <f t="shared" si="80"/>
        <v>0</v>
      </c>
      <c r="BE36" s="1189">
        <f t="shared" si="81"/>
        <v>0</v>
      </c>
      <c r="BF36" s="1189">
        <f t="shared" si="55"/>
        <v>0</v>
      </c>
      <c r="BG36" s="1189">
        <f t="shared" si="55"/>
        <v>0</v>
      </c>
      <c r="BH36" s="1585">
        <f t="shared" si="55"/>
        <v>0</v>
      </c>
      <c r="BI36" s="1189">
        <f t="shared" si="55"/>
        <v>0</v>
      </c>
      <c r="BJ36" s="1189">
        <f t="shared" si="55"/>
        <v>0</v>
      </c>
      <c r="BK36" s="403">
        <f t="shared" si="21"/>
        <v>0</v>
      </c>
      <c r="BL36" s="402">
        <f t="shared" si="83"/>
        <v>0</v>
      </c>
      <c r="BM36" s="575">
        <f t="shared" ref="BM36:BW36" si="88">AT36*Y36</f>
        <v>0</v>
      </c>
      <c r="BN36" s="575">
        <f t="shared" si="88"/>
        <v>0</v>
      </c>
      <c r="BO36" s="1365">
        <f t="shared" si="88"/>
        <v>0</v>
      </c>
      <c r="BP36" s="575">
        <f t="shared" si="88"/>
        <v>0</v>
      </c>
      <c r="BQ36" s="575">
        <f t="shared" si="88"/>
        <v>0</v>
      </c>
      <c r="BR36" s="575">
        <f t="shared" si="88"/>
        <v>0</v>
      </c>
      <c r="BS36" s="575">
        <f t="shared" si="88"/>
        <v>0</v>
      </c>
      <c r="BT36" s="575">
        <f t="shared" si="88"/>
        <v>0</v>
      </c>
      <c r="BU36" s="575">
        <f t="shared" si="88"/>
        <v>0</v>
      </c>
      <c r="BV36" s="1237">
        <f t="shared" si="88"/>
        <v>0</v>
      </c>
      <c r="BW36" s="1189">
        <f t="shared" si="88"/>
        <v>0</v>
      </c>
      <c r="BX36" s="344">
        <f t="shared" si="25"/>
        <v>0</v>
      </c>
      <c r="BY36" s="983">
        <f t="shared" si="29"/>
        <v>0</v>
      </c>
      <c r="BZ36" s="274">
        <f t="shared" si="15"/>
        <v>0</v>
      </c>
      <c r="CA36" s="275">
        <f t="shared" si="26"/>
        <v>0</v>
      </c>
      <c r="CB36" s="571"/>
      <c r="CC36" s="1081"/>
      <c r="CD36" s="1081"/>
      <c r="CE36" s="1083"/>
      <c r="CF36" s="1084"/>
      <c r="CG36" s="862"/>
      <c r="CH36" s="862"/>
      <c r="CI36" s="862"/>
      <c r="CJ36" s="862"/>
      <c r="CK36" s="862"/>
      <c r="CL36" s="862"/>
      <c r="CM36" s="862"/>
      <c r="CN36" s="862"/>
      <c r="CO36" s="862"/>
      <c r="CP36" s="862"/>
      <c r="CQ36" s="1128"/>
      <c r="CR36" s="862"/>
      <c r="CS36" s="1128"/>
      <c r="CT36" s="862"/>
      <c r="CU36" s="862"/>
      <c r="CV36" s="862"/>
      <c r="CW36" s="862"/>
      <c r="CX36" s="862"/>
      <c r="CY36" s="73">
        <f t="shared" si="17"/>
        <v>0</v>
      </c>
      <c r="CZ36" s="862"/>
      <c r="DA36" s="862"/>
      <c r="DB36" s="862"/>
      <c r="DC36" s="862"/>
      <c r="DD36" s="862"/>
      <c r="DE36" s="862"/>
      <c r="DF36" s="862"/>
      <c r="DG36" s="862"/>
      <c r="DH36" s="1081"/>
      <c r="DI36" s="862"/>
      <c r="DJ36" s="862"/>
      <c r="DK36" s="862"/>
      <c r="DL36" s="862"/>
      <c r="DM36" s="862"/>
      <c r="DN36" s="862"/>
      <c r="DO36" s="862"/>
      <c r="DP36" s="862"/>
      <c r="DQ36" s="862"/>
      <c r="DR36" s="73">
        <f t="shared" si="18"/>
        <v>0</v>
      </c>
      <c r="DS36" s="412"/>
      <c r="DT36" s="412"/>
      <c r="DU36" s="420"/>
      <c r="DV36" s="412"/>
      <c r="DW36" s="412"/>
      <c r="DX36" s="412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</row>
    <row r="37" spans="1:139" s="278" customFormat="1" ht="24.75" customHeight="1" x14ac:dyDescent="0.2">
      <c r="A37" s="786">
        <v>28</v>
      </c>
      <c r="B37" s="460" t="s">
        <v>177</v>
      </c>
      <c r="C37" s="281" t="s">
        <v>25</v>
      </c>
      <c r="D37" s="573">
        <v>12</v>
      </c>
      <c r="E37" s="573">
        <v>3</v>
      </c>
      <c r="F37" s="573"/>
      <c r="G37" s="270">
        <v>1</v>
      </c>
      <c r="H37" s="270"/>
      <c r="I37" s="342">
        <v>1</v>
      </c>
      <c r="J37" s="342"/>
      <c r="K37" s="342">
        <v>1</v>
      </c>
      <c r="L37" s="342"/>
      <c r="M37" s="342">
        <v>1</v>
      </c>
      <c r="N37" s="342"/>
      <c r="O37" s="342">
        <v>1</v>
      </c>
      <c r="P37" s="1207">
        <v>1</v>
      </c>
      <c r="Q37" s="464"/>
      <c r="R37" s="464">
        <v>1</v>
      </c>
      <c r="S37" s="464">
        <v>1</v>
      </c>
      <c r="T37" s="1299">
        <v>1</v>
      </c>
      <c r="U37" s="1184"/>
      <c r="V37" s="1184"/>
      <c r="W37" s="840">
        <f t="shared" si="19"/>
        <v>12</v>
      </c>
      <c r="X37" s="574" t="s">
        <v>107</v>
      </c>
      <c r="Y37" s="895">
        <v>550000</v>
      </c>
      <c r="Z37" s="895">
        <v>520000</v>
      </c>
      <c r="AA37" s="895"/>
      <c r="AB37" s="895">
        <v>550000</v>
      </c>
      <c r="AC37" s="895">
        <v>550000</v>
      </c>
      <c r="AD37" s="895">
        <v>550000</v>
      </c>
      <c r="AE37" s="895"/>
      <c r="AF37" s="895">
        <v>550000</v>
      </c>
      <c r="AG37" s="895"/>
      <c r="AH37" s="895">
        <v>550000</v>
      </c>
      <c r="AI37" s="895"/>
      <c r="AJ37" s="569">
        <v>550000</v>
      </c>
      <c r="AK37" s="1234">
        <v>550000</v>
      </c>
      <c r="AL37" s="1234"/>
      <c r="AM37" s="1234">
        <v>550000</v>
      </c>
      <c r="AN37" s="1186">
        <v>550000</v>
      </c>
      <c r="AO37" s="1505">
        <v>550000</v>
      </c>
      <c r="AP37" s="1186"/>
      <c r="AQ37" s="1186"/>
      <c r="AR37" s="570">
        <f t="shared" si="20"/>
        <v>6600000</v>
      </c>
      <c r="AS37" s="1365">
        <f t="shared" si="70"/>
        <v>1560000</v>
      </c>
      <c r="AT37" s="402">
        <f t="shared" si="71"/>
        <v>0</v>
      </c>
      <c r="AU37" s="402">
        <f t="shared" si="72"/>
        <v>550000</v>
      </c>
      <c r="AV37" s="402">
        <f t="shared" si="73"/>
        <v>0</v>
      </c>
      <c r="AW37" s="402">
        <f t="shared" si="74"/>
        <v>550000</v>
      </c>
      <c r="AX37" s="402">
        <f t="shared" si="75"/>
        <v>0</v>
      </c>
      <c r="AY37" s="402">
        <f t="shared" si="76"/>
        <v>550000</v>
      </c>
      <c r="AZ37" s="402">
        <f t="shared" si="77"/>
        <v>0</v>
      </c>
      <c r="BA37" s="402">
        <f t="shared" si="78"/>
        <v>550000</v>
      </c>
      <c r="BB37" s="402">
        <f t="shared" si="79"/>
        <v>0</v>
      </c>
      <c r="BC37" s="1213">
        <f t="shared" si="82"/>
        <v>550000</v>
      </c>
      <c r="BD37" s="1213">
        <f t="shared" si="80"/>
        <v>550000</v>
      </c>
      <c r="BE37" s="1188">
        <f t="shared" si="81"/>
        <v>0</v>
      </c>
      <c r="BF37" s="1188">
        <f t="shared" ref="BF37:BJ44" si="89">AM37*R37</f>
        <v>550000</v>
      </c>
      <c r="BG37" s="1188">
        <f t="shared" si="89"/>
        <v>550000</v>
      </c>
      <c r="BH37" s="1584">
        <f t="shared" si="89"/>
        <v>550000</v>
      </c>
      <c r="BI37" s="1188">
        <f t="shared" si="89"/>
        <v>0</v>
      </c>
      <c r="BJ37" s="1188">
        <f t="shared" si="89"/>
        <v>0</v>
      </c>
      <c r="BK37" s="403">
        <f t="shared" si="21"/>
        <v>6510000</v>
      </c>
      <c r="BL37" s="402">
        <f>SUM(AS37*5%)</f>
        <v>78000</v>
      </c>
      <c r="BM37" s="402">
        <f t="shared" ref="BM37:BM40" si="90">SUM(AT37*5%)</f>
        <v>0</v>
      </c>
      <c r="BN37" s="402"/>
      <c r="BO37" s="1199"/>
      <c r="BP37" s="402"/>
      <c r="BQ37" s="402"/>
      <c r="BR37" s="402"/>
      <c r="BS37" s="402"/>
      <c r="BT37" s="402"/>
      <c r="BU37" s="402"/>
      <c r="BV37" s="1213"/>
      <c r="BW37" s="1188"/>
      <c r="BX37" s="344">
        <f t="shared" si="25"/>
        <v>78000</v>
      </c>
      <c r="BY37" s="983">
        <f t="shared" si="29"/>
        <v>12000</v>
      </c>
      <c r="BZ37" s="274">
        <f t="shared" si="15"/>
        <v>6600000</v>
      </c>
      <c r="CA37" s="275">
        <f t="shared" si="26"/>
        <v>12000</v>
      </c>
      <c r="CB37" s="571">
        <f t="shared" ref="CB37:CB44" si="91">SUM(W37/D37)</f>
        <v>1</v>
      </c>
      <c r="CC37" s="1081"/>
      <c r="CD37" s="1081"/>
      <c r="CE37" s="1083"/>
      <c r="CF37" s="1084"/>
      <c r="CG37" s="862"/>
      <c r="CH37" s="862"/>
      <c r="CI37" s="862"/>
      <c r="CJ37" s="862"/>
      <c r="CK37" s="862"/>
      <c r="CL37" s="862"/>
      <c r="CM37" s="862"/>
      <c r="CN37" s="862"/>
      <c r="CO37" s="862"/>
      <c r="CP37" s="862"/>
      <c r="CQ37" s="1128"/>
      <c r="CR37" s="862"/>
      <c r="CS37" s="1128"/>
      <c r="CT37" s="862"/>
      <c r="CU37" s="862"/>
      <c r="CV37" s="862"/>
      <c r="CW37" s="862"/>
      <c r="CX37" s="862"/>
      <c r="CY37" s="73">
        <f t="shared" ref="CY37:CY68" si="92">SUM(CG37:CX37)</f>
        <v>0</v>
      </c>
      <c r="CZ37" s="862"/>
      <c r="DA37" s="862"/>
      <c r="DB37" s="862"/>
      <c r="DC37" s="862"/>
      <c r="DD37" s="862"/>
      <c r="DE37" s="862"/>
      <c r="DF37" s="862"/>
      <c r="DG37" s="862"/>
      <c r="DH37" s="1081"/>
      <c r="DI37" s="862"/>
      <c r="DJ37" s="862"/>
      <c r="DK37" s="862"/>
      <c r="DL37" s="862"/>
      <c r="DM37" s="862"/>
      <c r="DN37" s="862"/>
      <c r="DO37" s="862"/>
      <c r="DP37" s="862"/>
      <c r="DQ37" s="862"/>
      <c r="DR37" s="73">
        <f t="shared" ref="DR37:DR68" si="93">SUM(CZ37:DQ37)</f>
        <v>0</v>
      </c>
      <c r="DS37" s="412"/>
      <c r="DT37" s="412"/>
      <c r="DU37" s="420"/>
      <c r="DV37" s="412"/>
      <c r="DW37" s="412"/>
      <c r="DX37" s="412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</row>
    <row r="38" spans="1:139" s="278" customFormat="1" ht="32.25" customHeight="1" x14ac:dyDescent="0.2">
      <c r="A38" s="786">
        <f t="shared" si="27"/>
        <v>29</v>
      </c>
      <c r="B38" s="460" t="s">
        <v>178</v>
      </c>
      <c r="C38" s="281" t="s">
        <v>25</v>
      </c>
      <c r="D38" s="573">
        <v>12</v>
      </c>
      <c r="E38" s="573">
        <v>3</v>
      </c>
      <c r="F38" s="573"/>
      <c r="G38" s="270">
        <v>1</v>
      </c>
      <c r="H38" s="270"/>
      <c r="I38" s="342">
        <v>1</v>
      </c>
      <c r="J38" s="342"/>
      <c r="K38" s="342">
        <v>1</v>
      </c>
      <c r="L38" s="342"/>
      <c r="M38" s="342">
        <v>1</v>
      </c>
      <c r="N38" s="342"/>
      <c r="O38" s="342">
        <v>1</v>
      </c>
      <c r="P38" s="1207">
        <v>1</v>
      </c>
      <c r="Q38" s="464"/>
      <c r="R38" s="464">
        <v>1</v>
      </c>
      <c r="S38" s="464">
        <v>1</v>
      </c>
      <c r="T38" s="1299">
        <v>1</v>
      </c>
      <c r="U38" s="1184"/>
      <c r="V38" s="1184"/>
      <c r="W38" s="840">
        <f t="shared" si="19"/>
        <v>12</v>
      </c>
      <c r="X38" s="574" t="s">
        <v>107</v>
      </c>
      <c r="Y38" s="895">
        <v>500000</v>
      </c>
      <c r="Z38" s="895">
        <v>475000</v>
      </c>
      <c r="AA38" s="895"/>
      <c r="AB38" s="895">
        <v>500000</v>
      </c>
      <c r="AC38" s="895">
        <v>500000</v>
      </c>
      <c r="AD38" s="895">
        <v>500000</v>
      </c>
      <c r="AE38" s="895"/>
      <c r="AF38" s="895">
        <v>500000</v>
      </c>
      <c r="AG38" s="895"/>
      <c r="AH38" s="895">
        <v>500000</v>
      </c>
      <c r="AI38" s="895"/>
      <c r="AJ38" s="569">
        <v>500000</v>
      </c>
      <c r="AK38" s="1234">
        <v>500000</v>
      </c>
      <c r="AL38" s="1234"/>
      <c r="AM38" s="1234">
        <v>500000</v>
      </c>
      <c r="AN38" s="1186">
        <v>500000</v>
      </c>
      <c r="AO38" s="1505">
        <v>500000</v>
      </c>
      <c r="AP38" s="1186"/>
      <c r="AQ38" s="1186"/>
      <c r="AR38" s="570">
        <f t="shared" si="20"/>
        <v>6000000</v>
      </c>
      <c r="AS38" s="1199">
        <f t="shared" si="70"/>
        <v>1425000</v>
      </c>
      <c r="AT38" s="402">
        <f t="shared" si="71"/>
        <v>0</v>
      </c>
      <c r="AU38" s="402">
        <f t="shared" si="72"/>
        <v>500000</v>
      </c>
      <c r="AV38" s="402">
        <f t="shared" si="73"/>
        <v>0</v>
      </c>
      <c r="AW38" s="402">
        <f t="shared" si="74"/>
        <v>500000</v>
      </c>
      <c r="AX38" s="402">
        <f t="shared" si="75"/>
        <v>0</v>
      </c>
      <c r="AY38" s="402">
        <f t="shared" si="76"/>
        <v>500000</v>
      </c>
      <c r="AZ38" s="402">
        <f t="shared" si="77"/>
        <v>0</v>
      </c>
      <c r="BA38" s="402">
        <f t="shared" si="78"/>
        <v>500000</v>
      </c>
      <c r="BB38" s="402">
        <f t="shared" si="79"/>
        <v>0</v>
      </c>
      <c r="BC38" s="1213">
        <f t="shared" si="82"/>
        <v>500000</v>
      </c>
      <c r="BD38" s="1213">
        <f t="shared" si="80"/>
        <v>500000</v>
      </c>
      <c r="BE38" s="1188">
        <f t="shared" si="81"/>
        <v>0</v>
      </c>
      <c r="BF38" s="1188">
        <f t="shared" si="89"/>
        <v>500000</v>
      </c>
      <c r="BG38" s="1188">
        <f t="shared" si="89"/>
        <v>500000</v>
      </c>
      <c r="BH38" s="1584">
        <f t="shared" si="89"/>
        <v>500000</v>
      </c>
      <c r="BI38" s="1188">
        <f t="shared" si="89"/>
        <v>0</v>
      </c>
      <c r="BJ38" s="1188">
        <f t="shared" si="89"/>
        <v>0</v>
      </c>
      <c r="BK38" s="403">
        <f t="shared" si="21"/>
        <v>5925000</v>
      </c>
      <c r="BL38" s="402">
        <f t="shared" ref="BL38:BL40" si="94">SUM(AS38*5%)</f>
        <v>71250</v>
      </c>
      <c r="BM38" s="402">
        <f t="shared" si="90"/>
        <v>0</v>
      </c>
      <c r="BN38" s="402"/>
      <c r="BO38" s="1199"/>
      <c r="BP38" s="402"/>
      <c r="BQ38" s="402"/>
      <c r="BR38" s="402"/>
      <c r="BS38" s="402"/>
      <c r="BT38" s="402"/>
      <c r="BU38" s="402"/>
      <c r="BV38" s="1213"/>
      <c r="BW38" s="1188"/>
      <c r="BX38" s="344">
        <f t="shared" si="25"/>
        <v>71250</v>
      </c>
      <c r="BY38" s="983">
        <f t="shared" si="29"/>
        <v>3750</v>
      </c>
      <c r="BZ38" s="274">
        <f t="shared" si="15"/>
        <v>6000000</v>
      </c>
      <c r="CA38" s="275">
        <f t="shared" si="26"/>
        <v>3750</v>
      </c>
      <c r="CB38" s="571">
        <f t="shared" si="91"/>
        <v>1</v>
      </c>
      <c r="CC38" s="1081"/>
      <c r="CD38" s="1081"/>
      <c r="CE38" s="1083"/>
      <c r="CF38" s="1084"/>
      <c r="CG38" s="862"/>
      <c r="CH38" s="862"/>
      <c r="CI38" s="862"/>
      <c r="CJ38" s="862"/>
      <c r="CK38" s="862"/>
      <c r="CL38" s="862"/>
      <c r="CM38" s="862"/>
      <c r="CN38" s="862"/>
      <c r="CO38" s="862"/>
      <c r="CP38" s="862"/>
      <c r="CQ38" s="1128"/>
      <c r="CR38" s="862"/>
      <c r="CS38" s="1128"/>
      <c r="CT38" s="862"/>
      <c r="CU38" s="862"/>
      <c r="CV38" s="862"/>
      <c r="CW38" s="862"/>
      <c r="CX38" s="862"/>
      <c r="CY38" s="73">
        <f t="shared" si="92"/>
        <v>0</v>
      </c>
      <c r="CZ38" s="862"/>
      <c r="DA38" s="862"/>
      <c r="DB38" s="862"/>
      <c r="DC38" s="862"/>
      <c r="DD38" s="862"/>
      <c r="DE38" s="862"/>
      <c r="DF38" s="862"/>
      <c r="DG38" s="862"/>
      <c r="DH38" s="1081"/>
      <c r="DI38" s="862"/>
      <c r="DJ38" s="862"/>
      <c r="DK38" s="862"/>
      <c r="DL38" s="862"/>
      <c r="DM38" s="862"/>
      <c r="DN38" s="862"/>
      <c r="DO38" s="862"/>
      <c r="DP38" s="862"/>
      <c r="DQ38" s="862"/>
      <c r="DR38" s="73">
        <f t="shared" si="93"/>
        <v>0</v>
      </c>
      <c r="DS38" s="412"/>
      <c r="DT38" s="412"/>
      <c r="DU38" s="420"/>
      <c r="DV38" s="412"/>
      <c r="DW38" s="412"/>
      <c r="DX38" s="412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</row>
    <row r="39" spans="1:139" s="278" customFormat="1" ht="32.25" customHeight="1" x14ac:dyDescent="0.2">
      <c r="A39" s="786">
        <f t="shared" si="27"/>
        <v>30</v>
      </c>
      <c r="B39" s="460" t="s">
        <v>179</v>
      </c>
      <c r="C39" s="281" t="s">
        <v>25</v>
      </c>
      <c r="D39" s="573">
        <v>60</v>
      </c>
      <c r="E39" s="573">
        <v>3</v>
      </c>
      <c r="F39" s="573">
        <v>9</v>
      </c>
      <c r="G39" s="270">
        <v>4</v>
      </c>
      <c r="H39" s="270"/>
      <c r="I39" s="342">
        <v>4</v>
      </c>
      <c r="J39" s="342"/>
      <c r="K39" s="342">
        <v>4</v>
      </c>
      <c r="L39" s="342"/>
      <c r="M39" s="342">
        <v>4</v>
      </c>
      <c r="N39" s="342"/>
      <c r="O39" s="342">
        <v>4</v>
      </c>
      <c r="P39" s="1207">
        <v>4</v>
      </c>
      <c r="Q39" s="464"/>
      <c r="R39" s="464">
        <v>4</v>
      </c>
      <c r="S39" s="464">
        <v>4</v>
      </c>
      <c r="T39" s="1299">
        <v>4</v>
      </c>
      <c r="U39" s="1184"/>
      <c r="V39" s="1184"/>
      <c r="W39" s="840">
        <f t="shared" si="19"/>
        <v>48</v>
      </c>
      <c r="X39" s="574" t="s">
        <v>107</v>
      </c>
      <c r="Y39" s="895">
        <v>350000</v>
      </c>
      <c r="Z39" s="895">
        <v>332000</v>
      </c>
      <c r="AA39" s="895">
        <v>332000</v>
      </c>
      <c r="AB39" s="895">
        <v>350000</v>
      </c>
      <c r="AC39" s="895">
        <v>350000</v>
      </c>
      <c r="AD39" s="895">
        <v>350000</v>
      </c>
      <c r="AE39" s="895"/>
      <c r="AF39" s="895">
        <v>350000</v>
      </c>
      <c r="AG39" s="895"/>
      <c r="AH39" s="895">
        <v>350000</v>
      </c>
      <c r="AI39" s="895"/>
      <c r="AJ39" s="569">
        <v>350000</v>
      </c>
      <c r="AK39" s="1234">
        <v>350000</v>
      </c>
      <c r="AL39" s="1234"/>
      <c r="AM39" s="1234">
        <v>350000</v>
      </c>
      <c r="AN39" s="1186">
        <v>350000</v>
      </c>
      <c r="AO39" s="1505">
        <v>350000</v>
      </c>
      <c r="AP39" s="1186"/>
      <c r="AQ39" s="1186"/>
      <c r="AR39" s="570">
        <f t="shared" si="20"/>
        <v>16800000</v>
      </c>
      <c r="AS39" s="1199">
        <f t="shared" si="70"/>
        <v>996000</v>
      </c>
      <c r="AT39" s="402">
        <f t="shared" si="71"/>
        <v>2988000</v>
      </c>
      <c r="AU39" s="402">
        <f t="shared" si="72"/>
        <v>1400000</v>
      </c>
      <c r="AV39" s="402">
        <f t="shared" si="73"/>
        <v>0</v>
      </c>
      <c r="AW39" s="402">
        <f t="shared" si="74"/>
        <v>1400000</v>
      </c>
      <c r="AX39" s="402">
        <f t="shared" si="75"/>
        <v>0</v>
      </c>
      <c r="AY39" s="402">
        <f t="shared" si="76"/>
        <v>1400000</v>
      </c>
      <c r="AZ39" s="402">
        <f t="shared" si="77"/>
        <v>0</v>
      </c>
      <c r="BA39" s="402">
        <f t="shared" si="78"/>
        <v>1400000</v>
      </c>
      <c r="BB39" s="402">
        <f t="shared" si="79"/>
        <v>0</v>
      </c>
      <c r="BC39" s="1213">
        <f t="shared" si="82"/>
        <v>1400000</v>
      </c>
      <c r="BD39" s="1213">
        <f t="shared" si="80"/>
        <v>1400000</v>
      </c>
      <c r="BE39" s="1188">
        <f t="shared" si="81"/>
        <v>0</v>
      </c>
      <c r="BF39" s="1188">
        <f t="shared" si="89"/>
        <v>1400000</v>
      </c>
      <c r="BG39" s="1188">
        <f t="shared" si="89"/>
        <v>1400000</v>
      </c>
      <c r="BH39" s="1584">
        <f t="shared" si="89"/>
        <v>1400000</v>
      </c>
      <c r="BI39" s="1188">
        <f t="shared" si="89"/>
        <v>0</v>
      </c>
      <c r="BJ39" s="1188">
        <f t="shared" si="89"/>
        <v>0</v>
      </c>
      <c r="BK39" s="403">
        <f t="shared" si="21"/>
        <v>16584000</v>
      </c>
      <c r="BL39" s="402">
        <v>49800</v>
      </c>
      <c r="BM39" s="402">
        <v>149400</v>
      </c>
      <c r="BN39" s="402"/>
      <c r="BO39" s="1199"/>
      <c r="BP39" s="402"/>
      <c r="BQ39" s="402"/>
      <c r="BR39" s="402"/>
      <c r="BS39" s="402"/>
      <c r="BT39" s="402"/>
      <c r="BU39" s="402"/>
      <c r="BV39" s="1213"/>
      <c r="BW39" s="1188"/>
      <c r="BX39" s="344">
        <f>SUM(BL39:BW39)</f>
        <v>199200</v>
      </c>
      <c r="BY39" s="983">
        <f t="shared" si="29"/>
        <v>16800</v>
      </c>
      <c r="BZ39" s="274">
        <f t="shared" si="15"/>
        <v>21000000</v>
      </c>
      <c r="CA39" s="275">
        <f>BZ39-BK39-BX39</f>
        <v>4216800</v>
      </c>
      <c r="CB39" s="571">
        <f t="shared" si="91"/>
        <v>0.8</v>
      </c>
      <c r="CC39" s="1081"/>
      <c r="CD39" s="1081"/>
      <c r="CE39" s="1083"/>
      <c r="CF39" s="1084"/>
      <c r="CG39" s="862"/>
      <c r="CH39" s="862"/>
      <c r="CI39" s="862"/>
      <c r="CJ39" s="862"/>
      <c r="CK39" s="862"/>
      <c r="CL39" s="862"/>
      <c r="CM39" s="862"/>
      <c r="CN39" s="862"/>
      <c r="CO39" s="862"/>
      <c r="CP39" s="862"/>
      <c r="CQ39" s="1128"/>
      <c r="CR39" s="862"/>
      <c r="CS39" s="1128"/>
      <c r="CT39" s="862"/>
      <c r="CU39" s="862"/>
      <c r="CV39" s="862"/>
      <c r="CW39" s="862"/>
      <c r="CX39" s="862"/>
      <c r="CY39" s="73">
        <f t="shared" si="92"/>
        <v>0</v>
      </c>
      <c r="CZ39" s="862"/>
      <c r="DA39" s="862"/>
      <c r="DB39" s="862"/>
      <c r="DC39" s="862"/>
      <c r="DD39" s="862"/>
      <c r="DE39" s="862"/>
      <c r="DF39" s="862"/>
      <c r="DG39" s="862"/>
      <c r="DH39" s="1081"/>
      <c r="DI39" s="862"/>
      <c r="DJ39" s="862"/>
      <c r="DK39" s="862"/>
      <c r="DL39" s="862"/>
      <c r="DM39" s="862"/>
      <c r="DN39" s="862"/>
      <c r="DO39" s="862"/>
      <c r="DP39" s="862"/>
      <c r="DQ39" s="862"/>
      <c r="DR39" s="73">
        <f t="shared" si="93"/>
        <v>0</v>
      </c>
      <c r="DS39" s="412"/>
      <c r="DT39" s="412"/>
      <c r="DU39" s="420"/>
      <c r="DV39" s="412"/>
      <c r="DW39" s="412"/>
      <c r="DX39" s="412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</row>
    <row r="40" spans="1:139" s="278" customFormat="1" ht="24.75" customHeight="1" x14ac:dyDescent="0.2">
      <c r="A40" s="786">
        <f t="shared" si="27"/>
        <v>31</v>
      </c>
      <c r="B40" s="460" t="s">
        <v>267</v>
      </c>
      <c r="C40" s="281" t="s">
        <v>25</v>
      </c>
      <c r="D40" s="573">
        <v>12</v>
      </c>
      <c r="E40" s="573">
        <v>3</v>
      </c>
      <c r="F40" s="573"/>
      <c r="G40" s="270">
        <v>1</v>
      </c>
      <c r="H40" s="270"/>
      <c r="I40" s="342">
        <v>1</v>
      </c>
      <c r="J40" s="342"/>
      <c r="K40" s="342">
        <v>1</v>
      </c>
      <c r="L40" s="342"/>
      <c r="M40" s="342">
        <v>1</v>
      </c>
      <c r="N40" s="342"/>
      <c r="O40" s="342">
        <v>1</v>
      </c>
      <c r="P40" s="1207">
        <v>1</v>
      </c>
      <c r="Q40" s="464"/>
      <c r="R40" s="464">
        <v>1</v>
      </c>
      <c r="S40" s="464">
        <v>1</v>
      </c>
      <c r="T40" s="1299">
        <v>1</v>
      </c>
      <c r="U40" s="1184"/>
      <c r="V40" s="1184"/>
      <c r="W40" s="840">
        <f t="shared" si="19"/>
        <v>12</v>
      </c>
      <c r="X40" s="574" t="s">
        <v>107</v>
      </c>
      <c r="Y40" s="895">
        <v>450000</v>
      </c>
      <c r="Z40" s="895">
        <v>425000</v>
      </c>
      <c r="AA40" s="895"/>
      <c r="AB40" s="895">
        <v>450000</v>
      </c>
      <c r="AC40" s="895">
        <v>450000</v>
      </c>
      <c r="AD40" s="895">
        <v>450000</v>
      </c>
      <c r="AE40" s="895"/>
      <c r="AF40" s="895">
        <v>450000</v>
      </c>
      <c r="AG40" s="895"/>
      <c r="AH40" s="895">
        <v>450000</v>
      </c>
      <c r="AI40" s="895"/>
      <c r="AJ40" s="569">
        <v>450000</v>
      </c>
      <c r="AK40" s="1234">
        <v>450000</v>
      </c>
      <c r="AL40" s="1234"/>
      <c r="AM40" s="1234">
        <v>450000</v>
      </c>
      <c r="AN40" s="1186">
        <v>450000</v>
      </c>
      <c r="AO40" s="1505">
        <v>450000</v>
      </c>
      <c r="AP40" s="1186"/>
      <c r="AQ40" s="1186"/>
      <c r="AR40" s="570">
        <f t="shared" si="20"/>
        <v>5400000</v>
      </c>
      <c r="AS40" s="1199">
        <f t="shared" si="70"/>
        <v>1275000</v>
      </c>
      <c r="AT40" s="402">
        <f t="shared" si="71"/>
        <v>0</v>
      </c>
      <c r="AU40" s="402">
        <f t="shared" si="72"/>
        <v>450000</v>
      </c>
      <c r="AV40" s="402">
        <f t="shared" si="73"/>
        <v>0</v>
      </c>
      <c r="AW40" s="402">
        <f t="shared" si="74"/>
        <v>450000</v>
      </c>
      <c r="AX40" s="402">
        <f t="shared" si="75"/>
        <v>0</v>
      </c>
      <c r="AY40" s="402">
        <f t="shared" si="76"/>
        <v>450000</v>
      </c>
      <c r="AZ40" s="402">
        <f t="shared" si="77"/>
        <v>0</v>
      </c>
      <c r="BA40" s="402">
        <f t="shared" si="78"/>
        <v>450000</v>
      </c>
      <c r="BB40" s="402">
        <f t="shared" si="79"/>
        <v>0</v>
      </c>
      <c r="BC40" s="1213">
        <f t="shared" si="82"/>
        <v>450000</v>
      </c>
      <c r="BD40" s="1213">
        <f t="shared" si="80"/>
        <v>450000</v>
      </c>
      <c r="BE40" s="1188">
        <f t="shared" si="81"/>
        <v>0</v>
      </c>
      <c r="BF40" s="1188">
        <f t="shared" si="89"/>
        <v>450000</v>
      </c>
      <c r="BG40" s="1188">
        <f t="shared" si="89"/>
        <v>450000</v>
      </c>
      <c r="BH40" s="1584">
        <f t="shared" si="89"/>
        <v>450000</v>
      </c>
      <c r="BI40" s="1188">
        <f t="shared" si="89"/>
        <v>0</v>
      </c>
      <c r="BJ40" s="1188">
        <f t="shared" si="89"/>
        <v>0</v>
      </c>
      <c r="BK40" s="403">
        <f t="shared" si="21"/>
        <v>5325000</v>
      </c>
      <c r="BL40" s="402">
        <f t="shared" si="94"/>
        <v>63750</v>
      </c>
      <c r="BM40" s="402">
        <f t="shared" si="90"/>
        <v>0</v>
      </c>
      <c r="BN40" s="402"/>
      <c r="BO40" s="1199"/>
      <c r="BP40" s="402"/>
      <c r="BQ40" s="402"/>
      <c r="BR40" s="402"/>
      <c r="BS40" s="402"/>
      <c r="BT40" s="402"/>
      <c r="BU40" s="402"/>
      <c r="BV40" s="1213"/>
      <c r="BW40" s="1188"/>
      <c r="BX40" s="344">
        <f t="shared" si="25"/>
        <v>63750</v>
      </c>
      <c r="BY40" s="983">
        <f t="shared" si="29"/>
        <v>11250</v>
      </c>
      <c r="BZ40" s="274">
        <f t="shared" si="15"/>
        <v>5400000</v>
      </c>
      <c r="CA40" s="275">
        <f t="shared" si="26"/>
        <v>11250</v>
      </c>
      <c r="CB40" s="571">
        <f t="shared" si="91"/>
        <v>1</v>
      </c>
      <c r="CC40" s="1081"/>
      <c r="CD40" s="1081"/>
      <c r="CE40" s="1083"/>
      <c r="CF40" s="1084"/>
      <c r="CG40" s="862"/>
      <c r="CH40" s="862"/>
      <c r="CI40" s="862"/>
      <c r="CJ40" s="862"/>
      <c r="CK40" s="862"/>
      <c r="CL40" s="862"/>
      <c r="CM40" s="862"/>
      <c r="CN40" s="862"/>
      <c r="CO40" s="862"/>
      <c r="CP40" s="862"/>
      <c r="CQ40" s="1128"/>
      <c r="CR40" s="862"/>
      <c r="CS40" s="1128"/>
      <c r="CT40" s="862"/>
      <c r="CU40" s="862"/>
      <c r="CV40" s="862"/>
      <c r="CW40" s="862"/>
      <c r="CX40" s="862"/>
      <c r="CY40" s="73">
        <f t="shared" si="92"/>
        <v>0</v>
      </c>
      <c r="CZ40" s="862"/>
      <c r="DA40" s="862"/>
      <c r="DB40" s="862"/>
      <c r="DC40" s="862"/>
      <c r="DD40" s="862"/>
      <c r="DE40" s="862"/>
      <c r="DF40" s="862"/>
      <c r="DG40" s="862"/>
      <c r="DH40" s="1081"/>
      <c r="DI40" s="862"/>
      <c r="DJ40" s="862"/>
      <c r="DK40" s="862"/>
      <c r="DL40" s="862"/>
      <c r="DM40" s="862"/>
      <c r="DN40" s="862"/>
      <c r="DO40" s="862"/>
      <c r="DP40" s="862"/>
      <c r="DQ40" s="862"/>
      <c r="DR40" s="73">
        <f t="shared" si="93"/>
        <v>0</v>
      </c>
      <c r="DS40" s="412"/>
      <c r="DT40" s="412"/>
      <c r="DU40" s="420"/>
      <c r="DV40" s="412"/>
      <c r="DW40" s="412"/>
      <c r="DX40" s="412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</row>
    <row r="41" spans="1:139" s="244" customFormat="1" ht="32.25" customHeight="1" x14ac:dyDescent="0.2">
      <c r="A41" s="786"/>
      <c r="B41" s="897" t="s">
        <v>659</v>
      </c>
      <c r="C41" s="979" t="s">
        <v>25</v>
      </c>
      <c r="D41" s="980"/>
      <c r="E41" s="1023"/>
      <c r="F41" s="343"/>
      <c r="G41" s="840"/>
      <c r="H41" s="343"/>
      <c r="I41" s="343"/>
      <c r="J41" s="343"/>
      <c r="K41" s="343"/>
      <c r="L41" s="343"/>
      <c r="M41" s="343"/>
      <c r="N41" s="343"/>
      <c r="O41" s="343"/>
      <c r="P41" s="1233"/>
      <c r="Q41" s="1404"/>
      <c r="R41" s="1404"/>
      <c r="S41" s="1404"/>
      <c r="T41" s="1450"/>
      <c r="U41" s="1185"/>
      <c r="V41" s="1185"/>
      <c r="W41" s="840">
        <f t="shared" si="19"/>
        <v>0</v>
      </c>
      <c r="X41" s="1024" t="s">
        <v>50</v>
      </c>
      <c r="Y41" s="981">
        <v>100000</v>
      </c>
      <c r="Z41" s="981"/>
      <c r="AA41" s="790"/>
      <c r="AB41" s="981"/>
      <c r="AC41" s="790"/>
      <c r="AD41" s="790"/>
      <c r="AE41" s="790"/>
      <c r="AF41" s="790"/>
      <c r="AG41" s="790"/>
      <c r="AH41" s="790"/>
      <c r="AI41" s="790"/>
      <c r="AJ41" s="790"/>
      <c r="AK41" s="1235"/>
      <c r="AL41" s="1235"/>
      <c r="AM41" s="1235"/>
      <c r="AN41" s="1187"/>
      <c r="AO41" s="1506"/>
      <c r="AP41" s="1187"/>
      <c r="AQ41" s="1187"/>
      <c r="AR41" s="982">
        <f t="shared" si="20"/>
        <v>0</v>
      </c>
      <c r="AS41" s="1231">
        <f t="shared" si="70"/>
        <v>0</v>
      </c>
      <c r="AT41" s="403">
        <f t="shared" si="71"/>
        <v>0</v>
      </c>
      <c r="AU41" s="403">
        <f t="shared" si="72"/>
        <v>0</v>
      </c>
      <c r="AV41" s="403">
        <f t="shared" si="73"/>
        <v>0</v>
      </c>
      <c r="AW41" s="403">
        <f t="shared" si="74"/>
        <v>0</v>
      </c>
      <c r="AX41" s="403">
        <f t="shared" si="75"/>
        <v>0</v>
      </c>
      <c r="AY41" s="403">
        <f t="shared" si="76"/>
        <v>0</v>
      </c>
      <c r="AZ41" s="403">
        <f t="shared" si="77"/>
        <v>0</v>
      </c>
      <c r="BA41" s="403">
        <f t="shared" si="78"/>
        <v>0</v>
      </c>
      <c r="BB41" s="403">
        <f t="shared" si="79"/>
        <v>0</v>
      </c>
      <c r="BC41" s="1238">
        <f t="shared" si="82"/>
        <v>0</v>
      </c>
      <c r="BD41" s="1238">
        <f t="shared" si="80"/>
        <v>0</v>
      </c>
      <c r="BE41" s="1190">
        <f t="shared" si="81"/>
        <v>0</v>
      </c>
      <c r="BF41" s="1190">
        <f t="shared" si="89"/>
        <v>0</v>
      </c>
      <c r="BG41" s="1190">
        <f t="shared" si="89"/>
        <v>0</v>
      </c>
      <c r="BH41" s="1586">
        <f t="shared" si="89"/>
        <v>0</v>
      </c>
      <c r="BI41" s="1190">
        <f t="shared" si="89"/>
        <v>0</v>
      </c>
      <c r="BJ41" s="1190">
        <f t="shared" si="89"/>
        <v>0</v>
      </c>
      <c r="BK41" s="403">
        <f t="shared" si="21"/>
        <v>0</v>
      </c>
      <c r="BL41" s="403"/>
      <c r="BM41" s="403"/>
      <c r="BN41" s="403"/>
      <c r="BO41" s="1231"/>
      <c r="BP41" s="403"/>
      <c r="BQ41" s="403"/>
      <c r="BR41" s="403"/>
      <c r="BS41" s="403"/>
      <c r="BT41" s="403"/>
      <c r="BU41" s="403"/>
      <c r="BV41" s="1238"/>
      <c r="BW41" s="1190"/>
      <c r="BX41" s="344">
        <f t="shared" si="25"/>
        <v>0</v>
      </c>
      <c r="BY41" s="983">
        <f t="shared" si="29"/>
        <v>0</v>
      </c>
      <c r="BZ41" s="274">
        <v>25000000</v>
      </c>
      <c r="CA41" s="275">
        <f>BZ41-BZ42-BZ43</f>
        <v>0</v>
      </c>
      <c r="CB41" s="571" t="e">
        <f t="shared" si="91"/>
        <v>#DIV/0!</v>
      </c>
      <c r="CC41" s="1081"/>
      <c r="CD41" s="1081"/>
      <c r="CE41" s="1083"/>
      <c r="CF41" s="1084"/>
      <c r="CG41" s="862"/>
      <c r="CH41" s="862"/>
      <c r="CI41" s="862"/>
      <c r="CJ41" s="862"/>
      <c r="CK41" s="862"/>
      <c r="CL41" s="862"/>
      <c r="CM41" s="862"/>
      <c r="CN41" s="862"/>
      <c r="CO41" s="862"/>
      <c r="CP41" s="862"/>
      <c r="CQ41" s="1128"/>
      <c r="CR41" s="862"/>
      <c r="CS41" s="1128"/>
      <c r="CT41" s="862"/>
      <c r="CU41" s="862"/>
      <c r="CV41" s="862"/>
      <c r="CW41" s="862"/>
      <c r="CX41" s="862"/>
      <c r="CY41" s="73">
        <f t="shared" si="92"/>
        <v>0</v>
      </c>
      <c r="CZ41" s="862"/>
      <c r="DA41" s="862"/>
      <c r="DB41" s="862"/>
      <c r="DC41" s="862"/>
      <c r="DD41" s="862"/>
      <c r="DE41" s="862"/>
      <c r="DF41" s="862"/>
      <c r="DG41" s="862"/>
      <c r="DH41" s="1081"/>
      <c r="DI41" s="862"/>
      <c r="DJ41" s="862"/>
      <c r="DK41" s="862"/>
      <c r="DL41" s="862"/>
      <c r="DM41" s="862"/>
      <c r="DN41" s="862"/>
      <c r="DO41" s="862"/>
      <c r="DP41" s="862"/>
      <c r="DQ41" s="862"/>
      <c r="DR41" s="73">
        <f t="shared" si="93"/>
        <v>0</v>
      </c>
      <c r="DS41" s="984"/>
      <c r="DT41" s="984"/>
      <c r="DU41" s="985"/>
      <c r="DV41" s="984"/>
      <c r="DW41" s="984"/>
      <c r="DX41" s="984"/>
      <c r="DY41" s="986"/>
      <c r="DZ41" s="986"/>
      <c r="EA41" s="986"/>
      <c r="EB41" s="986"/>
      <c r="EC41" s="986"/>
      <c r="ED41" s="986"/>
      <c r="EE41" s="986"/>
      <c r="EF41" s="986"/>
      <c r="EG41" s="986"/>
      <c r="EH41" s="986"/>
      <c r="EI41" s="986"/>
    </row>
    <row r="42" spans="1:139" s="278" customFormat="1" ht="32.25" customHeight="1" x14ac:dyDescent="0.2">
      <c r="A42" s="786">
        <v>32</v>
      </c>
      <c r="B42" s="460" t="s">
        <v>663</v>
      </c>
      <c r="C42" s="281" t="s">
        <v>25</v>
      </c>
      <c r="D42" s="342">
        <v>168</v>
      </c>
      <c r="E42" s="1066">
        <v>44</v>
      </c>
      <c r="F42" s="342">
        <v>6</v>
      </c>
      <c r="G42" s="270"/>
      <c r="H42" s="342"/>
      <c r="I42" s="342"/>
      <c r="J42" s="342">
        <v>34</v>
      </c>
      <c r="K42" s="342"/>
      <c r="L42" s="342">
        <v>13</v>
      </c>
      <c r="M42" s="342"/>
      <c r="N42" s="342">
        <v>34</v>
      </c>
      <c r="O42" s="342"/>
      <c r="P42" s="1207">
        <v>37</v>
      </c>
      <c r="Q42" s="464"/>
      <c r="R42" s="464"/>
      <c r="S42" s="464">
        <v>41</v>
      </c>
      <c r="T42" s="1299">
        <v>25</v>
      </c>
      <c r="U42" s="1184"/>
      <c r="V42" s="1184"/>
      <c r="W42" s="840">
        <f>SUM(E42:V42)</f>
        <v>234</v>
      </c>
      <c r="X42" s="574" t="s">
        <v>50</v>
      </c>
      <c r="Y42" s="898">
        <v>100000</v>
      </c>
      <c r="Z42" s="898">
        <v>100000</v>
      </c>
      <c r="AA42" s="569">
        <v>100000</v>
      </c>
      <c r="AB42" s="898"/>
      <c r="AC42" s="569"/>
      <c r="AD42" s="569">
        <v>0</v>
      </c>
      <c r="AE42" s="569">
        <v>100000</v>
      </c>
      <c r="AF42" s="569">
        <v>0</v>
      </c>
      <c r="AG42" s="569">
        <v>100000</v>
      </c>
      <c r="AH42" s="569"/>
      <c r="AI42" s="569">
        <v>100000</v>
      </c>
      <c r="AJ42" s="569"/>
      <c r="AK42" s="1234">
        <v>100000</v>
      </c>
      <c r="AL42" s="1234"/>
      <c r="AM42" s="1234"/>
      <c r="AN42" s="1186"/>
      <c r="AO42" s="1505">
        <v>100000</v>
      </c>
      <c r="AP42" s="1186"/>
      <c r="AQ42" s="1186"/>
      <c r="AR42" s="570">
        <f t="shared" ref="AR42" si="95">SUM(W42*Y42)</f>
        <v>23400000</v>
      </c>
      <c r="AS42" s="1199">
        <f t="shared" si="70"/>
        <v>4400000</v>
      </c>
      <c r="AT42" s="402">
        <f t="shared" si="71"/>
        <v>600000</v>
      </c>
      <c r="AU42" s="402">
        <f t="shared" si="72"/>
        <v>0</v>
      </c>
      <c r="AV42" s="402">
        <f t="shared" si="73"/>
        <v>0</v>
      </c>
      <c r="AW42" s="402">
        <f t="shared" si="74"/>
        <v>0</v>
      </c>
      <c r="AX42" s="402">
        <f t="shared" si="75"/>
        <v>3400000</v>
      </c>
      <c r="AY42" s="402">
        <f t="shared" si="76"/>
        <v>0</v>
      </c>
      <c r="AZ42" s="402">
        <f t="shared" si="77"/>
        <v>1300000</v>
      </c>
      <c r="BA42" s="402">
        <f t="shared" si="78"/>
        <v>0</v>
      </c>
      <c r="BB42" s="402">
        <f t="shared" si="79"/>
        <v>3400000</v>
      </c>
      <c r="BC42" s="1213">
        <f t="shared" si="82"/>
        <v>0</v>
      </c>
      <c r="BD42" s="1213">
        <f t="shared" si="80"/>
        <v>3700000</v>
      </c>
      <c r="BE42" s="1188">
        <f t="shared" si="81"/>
        <v>0</v>
      </c>
      <c r="BF42" s="1188">
        <f t="shared" si="89"/>
        <v>0</v>
      </c>
      <c r="BG42" s="1188">
        <f t="shared" si="89"/>
        <v>0</v>
      </c>
      <c r="BH42" s="1584">
        <f t="shared" si="89"/>
        <v>2500000</v>
      </c>
      <c r="BI42" s="1188">
        <f t="shared" si="89"/>
        <v>0</v>
      </c>
      <c r="BJ42" s="1188">
        <f t="shared" si="89"/>
        <v>0</v>
      </c>
      <c r="BK42" s="403">
        <v>23400000</v>
      </c>
      <c r="BL42" s="402"/>
      <c r="BM42" s="402"/>
      <c r="BN42" s="402"/>
      <c r="BO42" s="1199"/>
      <c r="BP42" s="402"/>
      <c r="BQ42" s="402"/>
      <c r="BR42" s="402"/>
      <c r="BS42" s="402"/>
      <c r="BT42" s="402"/>
      <c r="BU42" s="402"/>
      <c r="BV42" s="1213"/>
      <c r="BW42" s="1188"/>
      <c r="BX42" s="987">
        <f t="shared" ref="BX42" si="96">SUM(BL42:BW42)</f>
        <v>0</v>
      </c>
      <c r="BY42" s="1067">
        <v>0</v>
      </c>
      <c r="BZ42" s="1068">
        <v>23400000</v>
      </c>
      <c r="CA42" s="1069"/>
      <c r="CB42" s="988">
        <f t="shared" si="91"/>
        <v>1.3928571428571428</v>
      </c>
      <c r="CC42" s="1081"/>
      <c r="CD42" s="1081"/>
      <c r="CE42" s="1083"/>
      <c r="CF42" s="1084"/>
      <c r="CG42" s="862"/>
      <c r="CH42" s="862"/>
      <c r="CI42" s="862"/>
      <c r="CJ42" s="862"/>
      <c r="CK42" s="862"/>
      <c r="CL42" s="862"/>
      <c r="CM42" s="862"/>
      <c r="CN42" s="862"/>
      <c r="CO42" s="862"/>
      <c r="CP42" s="862"/>
      <c r="CQ42" s="1128"/>
      <c r="CR42" s="862"/>
      <c r="CS42" s="1128"/>
      <c r="CT42" s="862"/>
      <c r="CU42" s="862"/>
      <c r="CV42" s="862"/>
      <c r="CW42" s="862"/>
      <c r="CX42" s="862"/>
      <c r="CY42" s="73">
        <f t="shared" si="92"/>
        <v>0</v>
      </c>
      <c r="CZ42" s="862"/>
      <c r="DA42" s="862"/>
      <c r="DB42" s="862"/>
      <c r="DC42" s="862"/>
      <c r="DD42" s="862"/>
      <c r="DE42" s="862"/>
      <c r="DF42" s="862"/>
      <c r="DG42" s="862"/>
      <c r="DH42" s="1081"/>
      <c r="DI42" s="862"/>
      <c r="DJ42" s="862"/>
      <c r="DK42" s="862"/>
      <c r="DL42" s="862"/>
      <c r="DM42" s="862"/>
      <c r="DN42" s="862"/>
      <c r="DO42" s="862"/>
      <c r="DP42" s="862"/>
      <c r="DQ42" s="862"/>
      <c r="DR42" s="73">
        <f t="shared" si="93"/>
        <v>0</v>
      </c>
      <c r="DS42" s="412"/>
      <c r="DT42" s="412"/>
      <c r="DU42" s="420"/>
      <c r="DV42" s="412"/>
      <c r="DW42" s="412"/>
      <c r="DX42" s="412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</row>
    <row r="43" spans="1:139" s="278" customFormat="1" ht="32.25" customHeight="1" x14ac:dyDescent="0.2">
      <c r="A43" s="786">
        <f t="shared" si="27"/>
        <v>33</v>
      </c>
      <c r="B43" s="460" t="s">
        <v>664</v>
      </c>
      <c r="C43" s="281" t="s">
        <v>25</v>
      </c>
      <c r="D43" s="342">
        <v>27</v>
      </c>
      <c r="E43" s="1066"/>
      <c r="F43" s="342"/>
      <c r="G43" s="270"/>
      <c r="H43" s="342"/>
      <c r="I43" s="342"/>
      <c r="J43" s="342">
        <v>9</v>
      </c>
      <c r="K43" s="342"/>
      <c r="L43" s="342"/>
      <c r="M43" s="342"/>
      <c r="N43" s="342">
        <v>8</v>
      </c>
      <c r="O43" s="342"/>
      <c r="P43" s="1207">
        <v>10</v>
      </c>
      <c r="Q43" s="464"/>
      <c r="R43" s="464"/>
      <c r="S43" s="464">
        <v>10</v>
      </c>
      <c r="T43" s="1299">
        <v>5</v>
      </c>
      <c r="U43" s="1184"/>
      <c r="V43" s="1184"/>
      <c r="W43" s="840">
        <f t="shared" si="19"/>
        <v>42</v>
      </c>
      <c r="X43" s="574" t="s">
        <v>50</v>
      </c>
      <c r="Y43" s="898">
        <v>50000</v>
      </c>
      <c r="Z43" s="898"/>
      <c r="AA43" s="569"/>
      <c r="AB43" s="898"/>
      <c r="AC43" s="569"/>
      <c r="AD43" s="569">
        <v>0</v>
      </c>
      <c r="AE43" s="569">
        <v>50000</v>
      </c>
      <c r="AF43" s="569">
        <v>0</v>
      </c>
      <c r="AG43" s="569"/>
      <c r="AH43" s="569"/>
      <c r="AI43" s="569">
        <v>50000</v>
      </c>
      <c r="AJ43" s="569"/>
      <c r="AK43" s="1234">
        <v>50000</v>
      </c>
      <c r="AL43" s="1234"/>
      <c r="AM43" s="1234"/>
      <c r="AN43" s="1186"/>
      <c r="AO43" s="1505">
        <v>50000</v>
      </c>
      <c r="AP43" s="1186"/>
      <c r="AQ43" s="1186"/>
      <c r="AR43" s="570">
        <f t="shared" ref="AR43" si="97">SUM(W43*Y43)</f>
        <v>2100000</v>
      </c>
      <c r="AS43" s="1199">
        <f t="shared" si="70"/>
        <v>0</v>
      </c>
      <c r="AT43" s="402">
        <f t="shared" si="71"/>
        <v>0</v>
      </c>
      <c r="AU43" s="402">
        <f t="shared" si="72"/>
        <v>0</v>
      </c>
      <c r="AV43" s="402">
        <f t="shared" si="73"/>
        <v>0</v>
      </c>
      <c r="AW43" s="402">
        <f t="shared" si="74"/>
        <v>0</v>
      </c>
      <c r="AX43" s="402">
        <f t="shared" si="75"/>
        <v>450000</v>
      </c>
      <c r="AY43" s="402">
        <f t="shared" si="76"/>
        <v>0</v>
      </c>
      <c r="AZ43" s="402">
        <f t="shared" si="77"/>
        <v>0</v>
      </c>
      <c r="BA43" s="402">
        <f t="shared" si="78"/>
        <v>0</v>
      </c>
      <c r="BB43" s="402">
        <f t="shared" si="79"/>
        <v>400000</v>
      </c>
      <c r="BC43" s="1213">
        <f t="shared" si="82"/>
        <v>0</v>
      </c>
      <c r="BD43" s="1213">
        <f t="shared" si="80"/>
        <v>500000</v>
      </c>
      <c r="BE43" s="1188">
        <f t="shared" si="81"/>
        <v>0</v>
      </c>
      <c r="BF43" s="1188">
        <f t="shared" si="89"/>
        <v>0</v>
      </c>
      <c r="BG43" s="1188">
        <f t="shared" si="89"/>
        <v>0</v>
      </c>
      <c r="BH43" s="1584">
        <f t="shared" si="89"/>
        <v>250000</v>
      </c>
      <c r="BI43" s="1188">
        <f t="shared" si="89"/>
        <v>0</v>
      </c>
      <c r="BJ43" s="1188">
        <f t="shared" si="89"/>
        <v>0</v>
      </c>
      <c r="BK43" s="403">
        <f t="shared" si="21"/>
        <v>1600000</v>
      </c>
      <c r="BL43" s="402"/>
      <c r="BM43" s="402"/>
      <c r="BN43" s="402"/>
      <c r="BO43" s="1199"/>
      <c r="BP43" s="402"/>
      <c r="BQ43" s="402"/>
      <c r="BR43" s="402"/>
      <c r="BS43" s="402"/>
      <c r="BT43" s="402"/>
      <c r="BU43" s="402"/>
      <c r="BV43" s="1213"/>
      <c r="BW43" s="1188"/>
      <c r="BX43" s="987">
        <f t="shared" ref="BX43" si="98">SUM(BL43:BW43)</f>
        <v>0</v>
      </c>
      <c r="BY43" s="1067"/>
      <c r="BZ43" s="1068">
        <v>1600000</v>
      </c>
      <c r="CA43" s="1069"/>
      <c r="CB43" s="988">
        <f t="shared" si="91"/>
        <v>1.5555555555555556</v>
      </c>
      <c r="CC43" s="1081"/>
      <c r="CD43" s="1081"/>
      <c r="CE43" s="1083"/>
      <c r="CF43" s="1084"/>
      <c r="CG43" s="862"/>
      <c r="CH43" s="862"/>
      <c r="CI43" s="862"/>
      <c r="CJ43" s="862"/>
      <c r="CK43" s="862"/>
      <c r="CL43" s="862"/>
      <c r="CM43" s="862"/>
      <c r="CN43" s="862"/>
      <c r="CO43" s="862"/>
      <c r="CP43" s="862"/>
      <c r="CQ43" s="1128"/>
      <c r="CR43" s="862"/>
      <c r="CS43" s="1128"/>
      <c r="CT43" s="862"/>
      <c r="CU43" s="862"/>
      <c r="CV43" s="862"/>
      <c r="CW43" s="862"/>
      <c r="CX43" s="862"/>
      <c r="CY43" s="73">
        <f t="shared" si="92"/>
        <v>0</v>
      </c>
      <c r="CZ43" s="862"/>
      <c r="DA43" s="862"/>
      <c r="DB43" s="862"/>
      <c r="DC43" s="862"/>
      <c r="DD43" s="862"/>
      <c r="DE43" s="862"/>
      <c r="DF43" s="862"/>
      <c r="DG43" s="862"/>
      <c r="DH43" s="1081"/>
      <c r="DI43" s="862"/>
      <c r="DJ43" s="862"/>
      <c r="DK43" s="862"/>
      <c r="DL43" s="862"/>
      <c r="DM43" s="862"/>
      <c r="DN43" s="862"/>
      <c r="DO43" s="862"/>
      <c r="DP43" s="862"/>
      <c r="DQ43" s="862"/>
      <c r="DR43" s="73">
        <f t="shared" si="93"/>
        <v>0</v>
      </c>
      <c r="DS43" s="412"/>
      <c r="DT43" s="412"/>
      <c r="DU43" s="420"/>
      <c r="DV43" s="412"/>
      <c r="DW43" s="412"/>
      <c r="DX43" s="412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</row>
    <row r="44" spans="1:139" s="244" customFormat="1" ht="24.75" customHeight="1" x14ac:dyDescent="0.2">
      <c r="A44" s="786"/>
      <c r="B44" s="897" t="s">
        <v>44</v>
      </c>
      <c r="C44" s="979" t="s">
        <v>25</v>
      </c>
      <c r="D44" s="980">
        <v>3</v>
      </c>
      <c r="E44" s="1025"/>
      <c r="F44" s="343"/>
      <c r="G44" s="840"/>
      <c r="H44" s="343"/>
      <c r="I44" s="343"/>
      <c r="J44" s="343"/>
      <c r="K44" s="343"/>
      <c r="L44" s="343"/>
      <c r="M44" s="343"/>
      <c r="N44" s="343"/>
      <c r="O44" s="343"/>
      <c r="P44" s="1233"/>
      <c r="Q44" s="1404"/>
      <c r="R44" s="1404"/>
      <c r="S44" s="1404"/>
      <c r="T44" s="1450"/>
      <c r="U44" s="1185"/>
      <c r="V44" s="1185"/>
      <c r="W44" s="840">
        <f t="shared" si="19"/>
        <v>0</v>
      </c>
      <c r="X44" s="1024" t="s">
        <v>50</v>
      </c>
      <c r="Y44" s="981">
        <v>1802000</v>
      </c>
      <c r="Z44" s="1026"/>
      <c r="AA44" s="1027"/>
      <c r="AB44" s="1027"/>
      <c r="AC44" s="790"/>
      <c r="AD44" s="790"/>
      <c r="AE44" s="790"/>
      <c r="AF44" s="790"/>
      <c r="AG44" s="790"/>
      <c r="AH44" s="790"/>
      <c r="AI44" s="790"/>
      <c r="AJ44" s="790"/>
      <c r="AK44" s="1235"/>
      <c r="AL44" s="1235"/>
      <c r="AM44" s="1235"/>
      <c r="AN44" s="1187"/>
      <c r="AO44" s="1506"/>
      <c r="AP44" s="1187"/>
      <c r="AQ44" s="1187"/>
      <c r="AR44" s="982">
        <f t="shared" si="20"/>
        <v>0</v>
      </c>
      <c r="AS44" s="1231">
        <f t="shared" si="70"/>
        <v>0</v>
      </c>
      <c r="AT44" s="403">
        <f t="shared" si="71"/>
        <v>0</v>
      </c>
      <c r="AU44" s="403">
        <f t="shared" si="72"/>
        <v>0</v>
      </c>
      <c r="AV44" s="403">
        <f t="shared" si="73"/>
        <v>0</v>
      </c>
      <c r="AW44" s="403">
        <f t="shared" si="74"/>
        <v>0</v>
      </c>
      <c r="AX44" s="403">
        <f t="shared" si="75"/>
        <v>0</v>
      </c>
      <c r="AY44" s="403">
        <f t="shared" si="76"/>
        <v>0</v>
      </c>
      <c r="AZ44" s="403">
        <f t="shared" si="77"/>
        <v>0</v>
      </c>
      <c r="BA44" s="403">
        <f t="shared" si="78"/>
        <v>0</v>
      </c>
      <c r="BB44" s="403">
        <f t="shared" si="79"/>
        <v>0</v>
      </c>
      <c r="BC44" s="1238">
        <f t="shared" si="82"/>
        <v>0</v>
      </c>
      <c r="BD44" s="1238">
        <f t="shared" si="80"/>
        <v>0</v>
      </c>
      <c r="BE44" s="1190">
        <f t="shared" si="81"/>
        <v>0</v>
      </c>
      <c r="BF44" s="1190">
        <f t="shared" si="89"/>
        <v>0</v>
      </c>
      <c r="BG44" s="1190">
        <f t="shared" si="89"/>
        <v>0</v>
      </c>
      <c r="BH44" s="1586">
        <f t="shared" si="89"/>
        <v>0</v>
      </c>
      <c r="BI44" s="1190">
        <f t="shared" si="89"/>
        <v>0</v>
      </c>
      <c r="BJ44" s="1190">
        <f t="shared" si="89"/>
        <v>0</v>
      </c>
      <c r="BK44" s="403">
        <f t="shared" si="21"/>
        <v>0</v>
      </c>
      <c r="BL44" s="403">
        <f>SUM(AS44*4%)</f>
        <v>0</v>
      </c>
      <c r="BM44" s="403">
        <f t="shared" ref="BM44" si="99">SUM(AT44*14%)</f>
        <v>0</v>
      </c>
      <c r="BN44" s="403">
        <f>SUM(AU44*14%)</f>
        <v>0</v>
      </c>
      <c r="BO44" s="1231">
        <f>SUM(AV44*14%)</f>
        <v>0</v>
      </c>
      <c r="BP44" s="403"/>
      <c r="BQ44" s="403"/>
      <c r="BR44" s="403"/>
      <c r="BS44" s="403">
        <f>SUM(AZ44*14%)</f>
        <v>0</v>
      </c>
      <c r="BT44" s="403">
        <f>SUM(BA44*14%)</f>
        <v>0</v>
      </c>
      <c r="BU44" s="403">
        <f>SUM(BB44*14%)</f>
        <v>0</v>
      </c>
      <c r="BV44" s="1238">
        <f>SUM(BC44*14%)</f>
        <v>0</v>
      </c>
      <c r="BW44" s="1190">
        <f>SUM(BD44*14%)</f>
        <v>0</v>
      </c>
      <c r="BX44" s="344">
        <f t="shared" si="25"/>
        <v>0</v>
      </c>
      <c r="BY44" s="983">
        <f t="shared" si="29"/>
        <v>0</v>
      </c>
      <c r="BZ44" s="981">
        <f>1802000*3-BZ45-BZ46-BZ47</f>
        <v>2350500</v>
      </c>
      <c r="CA44" s="275">
        <f>BZ44</f>
        <v>2350500</v>
      </c>
      <c r="CB44" s="571">
        <f t="shared" si="91"/>
        <v>0</v>
      </c>
      <c r="CC44" s="1081"/>
      <c r="CD44" s="1081"/>
      <c r="CE44" s="1083"/>
      <c r="CF44" s="1084"/>
      <c r="CG44" s="862"/>
      <c r="CH44" s="862"/>
      <c r="CI44" s="862"/>
      <c r="CJ44" s="862"/>
      <c r="CK44" s="862"/>
      <c r="CL44" s="862"/>
      <c r="CM44" s="862"/>
      <c r="CN44" s="862"/>
      <c r="CO44" s="862"/>
      <c r="CP44" s="862"/>
      <c r="CQ44" s="1128"/>
      <c r="CR44" s="862"/>
      <c r="CS44" s="1128"/>
      <c r="CT44" s="862"/>
      <c r="CU44" s="862"/>
      <c r="CV44" s="862"/>
      <c r="CW44" s="862"/>
      <c r="CX44" s="862"/>
      <c r="CY44" s="73">
        <f t="shared" si="92"/>
        <v>0</v>
      </c>
      <c r="CZ44" s="862"/>
      <c r="DA44" s="862"/>
      <c r="DB44" s="862"/>
      <c r="DC44" s="862"/>
      <c r="DD44" s="862"/>
      <c r="DE44" s="862"/>
      <c r="DF44" s="862"/>
      <c r="DG44" s="862"/>
      <c r="DH44" s="1081"/>
      <c r="DI44" s="862"/>
      <c r="DJ44" s="862"/>
      <c r="DK44" s="862"/>
      <c r="DL44" s="862"/>
      <c r="DM44" s="862"/>
      <c r="DN44" s="862"/>
      <c r="DO44" s="862"/>
      <c r="DP44" s="862"/>
      <c r="DQ44" s="862"/>
      <c r="DR44" s="73">
        <f t="shared" si="93"/>
        <v>0</v>
      </c>
      <c r="DS44" s="984"/>
      <c r="DT44" s="984"/>
      <c r="DU44" s="985"/>
      <c r="DV44" s="984"/>
      <c r="DW44" s="984"/>
      <c r="DX44" s="984"/>
      <c r="DY44" s="986"/>
      <c r="DZ44" s="986"/>
      <c r="EA44" s="986"/>
      <c r="EB44" s="986"/>
      <c r="EC44" s="986"/>
      <c r="ED44" s="986"/>
      <c r="EE44" s="986"/>
      <c r="EF44" s="986"/>
      <c r="EG44" s="986"/>
      <c r="EH44" s="986"/>
      <c r="EI44" s="986"/>
    </row>
    <row r="45" spans="1:139" s="278" customFormat="1" ht="24.75" customHeight="1" x14ac:dyDescent="0.2">
      <c r="A45" s="786">
        <v>34</v>
      </c>
      <c r="B45" s="460" t="s">
        <v>652</v>
      </c>
      <c r="C45" s="281" t="s">
        <v>25</v>
      </c>
      <c r="D45" s="573">
        <v>1</v>
      </c>
      <c r="E45" s="1016"/>
      <c r="F45" s="1016"/>
      <c r="G45" s="270"/>
      <c r="H45" s="342"/>
      <c r="I45" s="342"/>
      <c r="J45" s="342"/>
      <c r="K45" s="342"/>
      <c r="L45" s="342"/>
      <c r="M45" s="342">
        <v>1</v>
      </c>
      <c r="N45" s="342"/>
      <c r="O45" s="342"/>
      <c r="P45" s="1207"/>
      <c r="Q45" s="464"/>
      <c r="R45" s="464"/>
      <c r="S45" s="464"/>
      <c r="T45" s="1299"/>
      <c r="U45" s="1184"/>
      <c r="V45" s="1184"/>
      <c r="W45" s="840">
        <f t="shared" si="19"/>
        <v>1</v>
      </c>
      <c r="X45" s="574" t="s">
        <v>50</v>
      </c>
      <c r="Y45" s="898">
        <v>508750</v>
      </c>
      <c r="Z45" s="1070"/>
      <c r="AA45" s="1071"/>
      <c r="AB45" s="1072"/>
      <c r="AC45" s="569"/>
      <c r="AD45" s="569"/>
      <c r="AE45" s="569"/>
      <c r="AF45" s="569"/>
      <c r="AG45" s="898"/>
      <c r="AH45" s="898">
        <v>508750</v>
      </c>
      <c r="AI45" s="898"/>
      <c r="AJ45" s="569"/>
      <c r="AK45" s="1234"/>
      <c r="AL45" s="1234"/>
      <c r="AM45" s="1234"/>
      <c r="AN45" s="1186"/>
      <c r="AO45" s="1505"/>
      <c r="AP45" s="1186"/>
      <c r="AQ45" s="1186"/>
      <c r="AR45" s="570">
        <f t="shared" si="20"/>
        <v>508750</v>
      </c>
      <c r="AS45" s="1199"/>
      <c r="AT45" s="402"/>
      <c r="AU45" s="402"/>
      <c r="AV45" s="402"/>
      <c r="AW45" s="402"/>
      <c r="AX45" s="402"/>
      <c r="AY45" s="402">
        <f t="shared" ref="AY45:AZ47" si="100">AF45*K45</f>
        <v>0</v>
      </c>
      <c r="AZ45" s="402">
        <f t="shared" si="100"/>
        <v>0</v>
      </c>
      <c r="BA45" s="402">
        <f>W45*AH45</f>
        <v>508750</v>
      </c>
      <c r="BB45" s="402"/>
      <c r="BC45" s="1213"/>
      <c r="BD45" s="1213"/>
      <c r="BE45" s="1188"/>
      <c r="BF45" s="1188"/>
      <c r="BG45" s="1188"/>
      <c r="BH45" s="1584"/>
      <c r="BI45" s="1188"/>
      <c r="BJ45" s="1188"/>
      <c r="BK45" s="403">
        <f t="shared" si="21"/>
        <v>508750</v>
      </c>
      <c r="BL45" s="402"/>
      <c r="BM45" s="402"/>
      <c r="BN45" s="402"/>
      <c r="BO45" s="1199"/>
      <c r="BP45" s="402"/>
      <c r="BQ45" s="402"/>
      <c r="BR45" s="402"/>
      <c r="BS45" s="402"/>
      <c r="BT45" s="402"/>
      <c r="BU45" s="402"/>
      <c r="BV45" s="1213"/>
      <c r="BW45" s="1188"/>
      <c r="BX45" s="987"/>
      <c r="BY45" s="983">
        <f t="shared" ref="BY45:BY47" si="101">AR45-BK45-BX45</f>
        <v>0</v>
      </c>
      <c r="BZ45" s="1068">
        <f>Y45*D45</f>
        <v>508750</v>
      </c>
      <c r="CA45" s="1069">
        <f t="shared" ref="CA45:CA47" si="102">BZ45-BK45-BX45</f>
        <v>0</v>
      </c>
      <c r="CB45" s="988"/>
      <c r="CC45" s="1081"/>
      <c r="CD45" s="1081"/>
      <c r="CE45" s="1083"/>
      <c r="CF45" s="1084"/>
      <c r="CG45" s="862"/>
      <c r="CH45" s="862"/>
      <c r="CI45" s="862"/>
      <c r="CJ45" s="862"/>
      <c r="CK45" s="862"/>
      <c r="CL45" s="862"/>
      <c r="CM45" s="862"/>
      <c r="CN45" s="862"/>
      <c r="CO45" s="862"/>
      <c r="CP45" s="862"/>
      <c r="CQ45" s="1128"/>
      <c r="CR45" s="862"/>
      <c r="CS45" s="1128"/>
      <c r="CT45" s="862"/>
      <c r="CU45" s="862"/>
      <c r="CV45" s="862"/>
      <c r="CW45" s="862"/>
      <c r="CX45" s="862"/>
      <c r="CY45" s="73">
        <f t="shared" si="92"/>
        <v>0</v>
      </c>
      <c r="CZ45" s="862"/>
      <c r="DA45" s="862"/>
      <c r="DB45" s="862"/>
      <c r="DC45" s="862"/>
      <c r="DD45" s="862"/>
      <c r="DE45" s="862"/>
      <c r="DF45" s="862"/>
      <c r="DG45" s="862"/>
      <c r="DH45" s="1081"/>
      <c r="DI45" s="862"/>
      <c r="DJ45" s="862"/>
      <c r="DK45" s="862"/>
      <c r="DL45" s="862"/>
      <c r="DM45" s="862"/>
      <c r="DN45" s="862"/>
      <c r="DO45" s="862"/>
      <c r="DP45" s="862"/>
      <c r="DQ45" s="862"/>
      <c r="DR45" s="73">
        <f t="shared" si="93"/>
        <v>0</v>
      </c>
      <c r="DS45" s="412"/>
      <c r="DT45" s="412"/>
      <c r="DU45" s="420"/>
      <c r="DV45" s="412"/>
      <c r="DW45" s="412"/>
      <c r="DX45" s="412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</row>
    <row r="46" spans="1:139" s="278" customFormat="1" ht="24.75" customHeight="1" x14ac:dyDescent="0.2">
      <c r="A46" s="786">
        <f t="shared" si="27"/>
        <v>35</v>
      </c>
      <c r="B46" s="460" t="s">
        <v>653</v>
      </c>
      <c r="C46" s="281" t="s">
        <v>25</v>
      </c>
      <c r="D46" s="573">
        <v>2</v>
      </c>
      <c r="E46" s="1016"/>
      <c r="F46" s="1016"/>
      <c r="G46" s="270"/>
      <c r="H46" s="342"/>
      <c r="I46" s="342"/>
      <c r="J46" s="342"/>
      <c r="K46" s="342"/>
      <c r="L46" s="342"/>
      <c r="M46" s="342">
        <v>2</v>
      </c>
      <c r="N46" s="342"/>
      <c r="O46" s="342"/>
      <c r="P46" s="1207"/>
      <c r="Q46" s="464"/>
      <c r="R46" s="464"/>
      <c r="S46" s="464"/>
      <c r="T46" s="1299"/>
      <c r="U46" s="1184"/>
      <c r="V46" s="1184"/>
      <c r="W46" s="840">
        <f t="shared" si="19"/>
        <v>2</v>
      </c>
      <c r="X46" s="574" t="s">
        <v>50</v>
      </c>
      <c r="Y46" s="898">
        <v>1017500</v>
      </c>
      <c r="Z46" s="1070"/>
      <c r="AA46" s="1071"/>
      <c r="AB46" s="1072"/>
      <c r="AC46" s="569"/>
      <c r="AD46" s="569"/>
      <c r="AE46" s="569"/>
      <c r="AF46" s="569"/>
      <c r="AG46" s="898"/>
      <c r="AH46" s="898">
        <v>1017500</v>
      </c>
      <c r="AI46" s="898"/>
      <c r="AJ46" s="569"/>
      <c r="AK46" s="1234"/>
      <c r="AL46" s="1234"/>
      <c r="AM46" s="1234"/>
      <c r="AN46" s="1186"/>
      <c r="AO46" s="1505"/>
      <c r="AP46" s="1186"/>
      <c r="AQ46" s="1186"/>
      <c r="AR46" s="570">
        <f t="shared" si="20"/>
        <v>2035000</v>
      </c>
      <c r="AS46" s="1199"/>
      <c r="AT46" s="402"/>
      <c r="AU46" s="402"/>
      <c r="AV46" s="402"/>
      <c r="AW46" s="402"/>
      <c r="AX46" s="402"/>
      <c r="AY46" s="402">
        <f t="shared" si="100"/>
        <v>0</v>
      </c>
      <c r="AZ46" s="402">
        <f t="shared" si="100"/>
        <v>0</v>
      </c>
      <c r="BA46" s="402">
        <f>W46*AH46</f>
        <v>2035000</v>
      </c>
      <c r="BB46" s="402"/>
      <c r="BC46" s="1213"/>
      <c r="BD46" s="1213"/>
      <c r="BE46" s="1188"/>
      <c r="BF46" s="1188"/>
      <c r="BG46" s="1188"/>
      <c r="BH46" s="1584"/>
      <c r="BI46" s="1188"/>
      <c r="BJ46" s="1188"/>
      <c r="BK46" s="403">
        <f t="shared" si="21"/>
        <v>2035000</v>
      </c>
      <c r="BL46" s="402"/>
      <c r="BM46" s="402"/>
      <c r="BN46" s="402"/>
      <c r="BO46" s="1199"/>
      <c r="BP46" s="402"/>
      <c r="BQ46" s="402"/>
      <c r="BR46" s="402"/>
      <c r="BS46" s="402"/>
      <c r="BT46" s="402"/>
      <c r="BU46" s="402"/>
      <c r="BV46" s="1213"/>
      <c r="BW46" s="1188"/>
      <c r="BX46" s="987"/>
      <c r="BY46" s="983">
        <f t="shared" si="101"/>
        <v>0</v>
      </c>
      <c r="BZ46" s="1068">
        <f>Y46*D46</f>
        <v>2035000</v>
      </c>
      <c r="CA46" s="1069">
        <f t="shared" si="102"/>
        <v>0</v>
      </c>
      <c r="CB46" s="988"/>
      <c r="CC46" s="1081"/>
      <c r="CD46" s="1081"/>
      <c r="CE46" s="1083"/>
      <c r="CF46" s="1084"/>
      <c r="CG46" s="862"/>
      <c r="CH46" s="862"/>
      <c r="CI46" s="862"/>
      <c r="CJ46" s="862"/>
      <c r="CK46" s="862"/>
      <c r="CL46" s="862"/>
      <c r="CM46" s="862"/>
      <c r="CN46" s="862"/>
      <c r="CO46" s="862"/>
      <c r="CP46" s="862"/>
      <c r="CQ46" s="1128"/>
      <c r="CR46" s="862"/>
      <c r="CS46" s="1128"/>
      <c r="CT46" s="862"/>
      <c r="CU46" s="862"/>
      <c r="CV46" s="862"/>
      <c r="CW46" s="862"/>
      <c r="CX46" s="862"/>
      <c r="CY46" s="73">
        <f t="shared" si="92"/>
        <v>0</v>
      </c>
      <c r="CZ46" s="862"/>
      <c r="DA46" s="862"/>
      <c r="DB46" s="862"/>
      <c r="DC46" s="862"/>
      <c r="DD46" s="862"/>
      <c r="DE46" s="862"/>
      <c r="DF46" s="862"/>
      <c r="DG46" s="862"/>
      <c r="DH46" s="1081"/>
      <c r="DI46" s="862"/>
      <c r="DJ46" s="862"/>
      <c r="DK46" s="862"/>
      <c r="DL46" s="862"/>
      <c r="DM46" s="862"/>
      <c r="DN46" s="862"/>
      <c r="DO46" s="862"/>
      <c r="DP46" s="862"/>
      <c r="DQ46" s="862"/>
      <c r="DR46" s="73">
        <f t="shared" si="93"/>
        <v>0</v>
      </c>
      <c r="DS46" s="412"/>
      <c r="DT46" s="412"/>
      <c r="DU46" s="420"/>
      <c r="DV46" s="412"/>
      <c r="DW46" s="412"/>
      <c r="DX46" s="412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</row>
    <row r="47" spans="1:139" s="278" customFormat="1" ht="24.75" customHeight="1" x14ac:dyDescent="0.2">
      <c r="A47" s="786">
        <f t="shared" si="27"/>
        <v>36</v>
      </c>
      <c r="B47" s="460" t="s">
        <v>654</v>
      </c>
      <c r="C47" s="281" t="s">
        <v>25</v>
      </c>
      <c r="D47" s="573">
        <v>1</v>
      </c>
      <c r="E47" s="1016"/>
      <c r="F47" s="1016"/>
      <c r="G47" s="270"/>
      <c r="H47" s="342"/>
      <c r="I47" s="342"/>
      <c r="J47" s="342"/>
      <c r="K47" s="342"/>
      <c r="L47" s="342"/>
      <c r="M47" s="342">
        <v>1</v>
      </c>
      <c r="N47" s="342"/>
      <c r="O47" s="342"/>
      <c r="P47" s="1207"/>
      <c r="Q47" s="464"/>
      <c r="R47" s="464"/>
      <c r="S47" s="464"/>
      <c r="T47" s="1299"/>
      <c r="U47" s="1184"/>
      <c r="V47" s="1184"/>
      <c r="W47" s="840">
        <f t="shared" si="19"/>
        <v>1</v>
      </c>
      <c r="X47" s="574" t="s">
        <v>50</v>
      </c>
      <c r="Y47" s="898">
        <v>511750</v>
      </c>
      <c r="Z47" s="1070"/>
      <c r="AA47" s="1071"/>
      <c r="AB47" s="1072"/>
      <c r="AC47" s="569"/>
      <c r="AD47" s="569"/>
      <c r="AE47" s="569"/>
      <c r="AF47" s="569"/>
      <c r="AG47" s="898"/>
      <c r="AH47" s="898">
        <v>511750</v>
      </c>
      <c r="AI47" s="898"/>
      <c r="AJ47" s="569"/>
      <c r="AK47" s="1234"/>
      <c r="AL47" s="1234"/>
      <c r="AM47" s="1234"/>
      <c r="AN47" s="1186"/>
      <c r="AO47" s="1505"/>
      <c r="AP47" s="1186"/>
      <c r="AQ47" s="1186"/>
      <c r="AR47" s="570">
        <f t="shared" si="20"/>
        <v>511750</v>
      </c>
      <c r="AS47" s="1199"/>
      <c r="AT47" s="402"/>
      <c r="AU47" s="402"/>
      <c r="AV47" s="402"/>
      <c r="AW47" s="402"/>
      <c r="AX47" s="402"/>
      <c r="AY47" s="402">
        <f t="shared" si="100"/>
        <v>0</v>
      </c>
      <c r="AZ47" s="402">
        <f t="shared" si="100"/>
        <v>0</v>
      </c>
      <c r="BA47" s="402">
        <f>W47*AH47</f>
        <v>511750</v>
      </c>
      <c r="BB47" s="402"/>
      <c r="BC47" s="1213"/>
      <c r="BD47" s="1213"/>
      <c r="BE47" s="1188"/>
      <c r="BF47" s="1188"/>
      <c r="BG47" s="1188"/>
      <c r="BH47" s="1584"/>
      <c r="BI47" s="1188"/>
      <c r="BJ47" s="1188"/>
      <c r="BK47" s="403">
        <f t="shared" si="21"/>
        <v>511750</v>
      </c>
      <c r="BL47" s="402"/>
      <c r="BM47" s="402"/>
      <c r="BN47" s="402"/>
      <c r="BO47" s="1199"/>
      <c r="BP47" s="402"/>
      <c r="BQ47" s="402"/>
      <c r="BR47" s="402"/>
      <c r="BS47" s="402"/>
      <c r="BT47" s="402"/>
      <c r="BU47" s="402"/>
      <c r="BV47" s="1213"/>
      <c r="BW47" s="1188"/>
      <c r="BX47" s="987"/>
      <c r="BY47" s="983">
        <f t="shared" si="101"/>
        <v>0</v>
      </c>
      <c r="BZ47" s="1068">
        <f>Y47*D47</f>
        <v>511750</v>
      </c>
      <c r="CA47" s="1069">
        <f t="shared" si="102"/>
        <v>0</v>
      </c>
      <c r="CB47" s="988"/>
      <c r="CC47" s="1081"/>
      <c r="CD47" s="1081"/>
      <c r="CE47" s="1083"/>
      <c r="CF47" s="1084"/>
      <c r="CG47" s="862"/>
      <c r="CH47" s="862"/>
      <c r="CI47" s="862"/>
      <c r="CJ47" s="862"/>
      <c r="CK47" s="862"/>
      <c r="CL47" s="862"/>
      <c r="CM47" s="862"/>
      <c r="CN47" s="862"/>
      <c r="CO47" s="862"/>
      <c r="CP47" s="862"/>
      <c r="CQ47" s="1128"/>
      <c r="CR47" s="862"/>
      <c r="CS47" s="1128"/>
      <c r="CT47" s="862"/>
      <c r="CU47" s="862"/>
      <c r="CV47" s="862"/>
      <c r="CW47" s="862"/>
      <c r="CX47" s="862"/>
      <c r="CY47" s="73">
        <f t="shared" si="92"/>
        <v>0</v>
      </c>
      <c r="CZ47" s="862"/>
      <c r="DA47" s="862"/>
      <c r="DB47" s="862"/>
      <c r="DC47" s="862"/>
      <c r="DD47" s="862"/>
      <c r="DE47" s="862"/>
      <c r="DF47" s="862"/>
      <c r="DG47" s="862"/>
      <c r="DH47" s="1081"/>
      <c r="DI47" s="862"/>
      <c r="DJ47" s="862"/>
      <c r="DK47" s="862"/>
      <c r="DL47" s="862"/>
      <c r="DM47" s="862"/>
      <c r="DN47" s="862"/>
      <c r="DO47" s="862"/>
      <c r="DP47" s="862"/>
      <c r="DQ47" s="862"/>
      <c r="DR47" s="73">
        <f t="shared" si="93"/>
        <v>0</v>
      </c>
      <c r="DS47" s="412"/>
      <c r="DT47" s="412"/>
      <c r="DU47" s="420"/>
      <c r="DV47" s="412"/>
      <c r="DW47" s="412"/>
      <c r="DX47" s="412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</row>
    <row r="48" spans="1:139" s="244" customFormat="1" ht="32.25" customHeight="1" x14ac:dyDescent="0.2">
      <c r="A48" s="1029"/>
      <c r="B48" s="897" t="s">
        <v>180</v>
      </c>
      <c r="C48" s="979"/>
      <c r="D48" s="980"/>
      <c r="E48" s="980"/>
      <c r="F48" s="980"/>
      <c r="G48" s="980"/>
      <c r="H48" s="980"/>
      <c r="I48" s="980"/>
      <c r="J48" s="980"/>
      <c r="K48" s="980"/>
      <c r="L48" s="980"/>
      <c r="M48" s="980"/>
      <c r="N48" s="980"/>
      <c r="O48" s="343"/>
      <c r="P48" s="1233"/>
      <c r="Q48" s="1404"/>
      <c r="R48" s="1404"/>
      <c r="S48" s="1404"/>
      <c r="T48" s="1450"/>
      <c r="U48" s="1185"/>
      <c r="V48" s="1185"/>
      <c r="W48" s="840">
        <f t="shared" si="19"/>
        <v>0</v>
      </c>
      <c r="X48" s="1024"/>
      <c r="Y48" s="981"/>
      <c r="Z48" s="1028"/>
      <c r="AA48" s="1028"/>
      <c r="AB48" s="1028"/>
      <c r="AC48" s="790"/>
      <c r="AD48" s="790"/>
      <c r="AE48" s="790"/>
      <c r="AF48" s="790"/>
      <c r="AG48" s="790"/>
      <c r="AH48" s="790"/>
      <c r="AI48" s="790"/>
      <c r="AJ48" s="790"/>
      <c r="AK48" s="1235"/>
      <c r="AL48" s="1235"/>
      <c r="AM48" s="1235"/>
      <c r="AN48" s="1187"/>
      <c r="AO48" s="1506"/>
      <c r="AP48" s="1187"/>
      <c r="AQ48" s="1187"/>
      <c r="AR48" s="982"/>
      <c r="AS48" s="1231"/>
      <c r="AT48" s="403"/>
      <c r="AU48" s="403"/>
      <c r="AV48" s="403"/>
      <c r="AW48" s="403"/>
      <c r="AX48" s="403"/>
      <c r="AY48" s="403"/>
      <c r="AZ48" s="403"/>
      <c r="BA48" s="403"/>
      <c r="BB48" s="403"/>
      <c r="BC48" s="1238"/>
      <c r="BD48" s="1238"/>
      <c r="BE48" s="1190"/>
      <c r="BF48" s="1190"/>
      <c r="BG48" s="1190"/>
      <c r="BH48" s="1586"/>
      <c r="BI48" s="1190"/>
      <c r="BJ48" s="1190"/>
      <c r="BK48" s="403">
        <f t="shared" si="21"/>
        <v>0</v>
      </c>
      <c r="BL48" s="403"/>
      <c r="BM48" s="403"/>
      <c r="BN48" s="403"/>
      <c r="BO48" s="1231"/>
      <c r="BP48" s="403"/>
      <c r="BQ48" s="403"/>
      <c r="BR48" s="403"/>
      <c r="BS48" s="403"/>
      <c r="BT48" s="403"/>
      <c r="BU48" s="403"/>
      <c r="BV48" s="1238"/>
      <c r="BW48" s="1190"/>
      <c r="BX48" s="344"/>
      <c r="BY48" s="983"/>
      <c r="BZ48" s="274"/>
      <c r="CA48" s="275"/>
      <c r="CB48" s="571"/>
      <c r="CC48" s="1081"/>
      <c r="CD48" s="1081"/>
      <c r="CE48" s="1083"/>
      <c r="CF48" s="1084"/>
      <c r="CG48" s="862"/>
      <c r="CH48" s="862"/>
      <c r="CI48" s="862"/>
      <c r="CJ48" s="862"/>
      <c r="CK48" s="862"/>
      <c r="CL48" s="862"/>
      <c r="CM48" s="862"/>
      <c r="CN48" s="862"/>
      <c r="CO48" s="862"/>
      <c r="CP48" s="862"/>
      <c r="CQ48" s="1128"/>
      <c r="CR48" s="862"/>
      <c r="CS48" s="1128"/>
      <c r="CT48" s="862"/>
      <c r="CU48" s="862"/>
      <c r="CV48" s="862"/>
      <c r="CW48" s="862"/>
      <c r="CX48" s="862"/>
      <c r="CY48" s="73">
        <f t="shared" si="92"/>
        <v>0</v>
      </c>
      <c r="CZ48" s="862"/>
      <c r="DA48" s="862"/>
      <c r="DB48" s="862"/>
      <c r="DC48" s="862"/>
      <c r="DD48" s="862"/>
      <c r="DE48" s="862"/>
      <c r="DF48" s="862"/>
      <c r="DG48" s="862"/>
      <c r="DH48" s="1081"/>
      <c r="DI48" s="862"/>
      <c r="DJ48" s="862"/>
      <c r="DK48" s="862"/>
      <c r="DL48" s="862"/>
      <c r="DM48" s="862"/>
      <c r="DN48" s="862"/>
      <c r="DO48" s="862"/>
      <c r="DP48" s="862"/>
      <c r="DQ48" s="862"/>
      <c r="DR48" s="73">
        <f t="shared" si="93"/>
        <v>0</v>
      </c>
      <c r="DS48" s="984"/>
      <c r="DT48" s="984"/>
      <c r="DU48" s="985"/>
      <c r="DV48" s="984"/>
      <c r="DW48" s="984"/>
      <c r="DX48" s="984"/>
      <c r="DY48" s="986"/>
      <c r="DZ48" s="986"/>
      <c r="EA48" s="986"/>
      <c r="EB48" s="986"/>
      <c r="EC48" s="986"/>
      <c r="ED48" s="986"/>
      <c r="EE48" s="986"/>
      <c r="EF48" s="986"/>
      <c r="EG48" s="986"/>
      <c r="EH48" s="986"/>
      <c r="EI48" s="986"/>
    </row>
    <row r="49" spans="1:139" s="278" customFormat="1" ht="32.25" customHeight="1" x14ac:dyDescent="0.2">
      <c r="A49" s="786">
        <v>37</v>
      </c>
      <c r="B49" s="460" t="s">
        <v>655</v>
      </c>
      <c r="C49" s="281" t="s">
        <v>25</v>
      </c>
      <c r="D49" s="573">
        <v>1</v>
      </c>
      <c r="E49" s="573">
        <v>1</v>
      </c>
      <c r="F49" s="573"/>
      <c r="G49" s="573"/>
      <c r="H49" s="573"/>
      <c r="I49" s="573"/>
      <c r="J49" s="573"/>
      <c r="K49" s="573"/>
      <c r="L49" s="573"/>
      <c r="M49" s="573"/>
      <c r="N49" s="573"/>
      <c r="O49" s="342"/>
      <c r="P49" s="1207"/>
      <c r="Q49" s="464"/>
      <c r="R49" s="464"/>
      <c r="S49" s="464"/>
      <c r="T49" s="1299"/>
      <c r="U49" s="1184"/>
      <c r="V49" s="1184"/>
      <c r="W49" s="840">
        <f t="shared" si="19"/>
        <v>1</v>
      </c>
      <c r="X49" s="1024" t="s">
        <v>50</v>
      </c>
      <c r="Y49" s="898">
        <v>1000000</v>
      </c>
      <c r="Z49" s="1017">
        <v>394000</v>
      </c>
      <c r="AA49" s="1017"/>
      <c r="AB49" s="1017"/>
      <c r="AC49" s="569"/>
      <c r="AD49" s="569"/>
      <c r="AE49" s="569"/>
      <c r="AF49" s="569"/>
      <c r="AG49" s="569"/>
      <c r="AH49" s="569"/>
      <c r="AI49" s="569"/>
      <c r="AJ49" s="569"/>
      <c r="AK49" s="1234"/>
      <c r="AL49" s="1234"/>
      <c r="AM49" s="1234"/>
      <c r="AN49" s="1186"/>
      <c r="AO49" s="1505"/>
      <c r="AP49" s="1186"/>
      <c r="AQ49" s="1186"/>
      <c r="AR49" s="570">
        <f t="shared" si="20"/>
        <v>1000000</v>
      </c>
      <c r="AS49" s="1199">
        <f t="shared" ref="AS49:BE50" si="103">Z49*E49</f>
        <v>394000</v>
      </c>
      <c r="AT49" s="402">
        <f t="shared" si="103"/>
        <v>0</v>
      </c>
      <c r="AU49" s="402">
        <f t="shared" si="103"/>
        <v>0</v>
      </c>
      <c r="AV49" s="402">
        <f t="shared" si="103"/>
        <v>0</v>
      </c>
      <c r="AW49" s="402">
        <f t="shared" si="103"/>
        <v>0</v>
      </c>
      <c r="AX49" s="402">
        <f t="shared" si="103"/>
        <v>0</v>
      </c>
      <c r="AY49" s="402">
        <f t="shared" si="103"/>
        <v>0</v>
      </c>
      <c r="AZ49" s="402">
        <f t="shared" si="103"/>
        <v>0</v>
      </c>
      <c r="BA49" s="402">
        <f t="shared" si="103"/>
        <v>0</v>
      </c>
      <c r="BB49" s="402">
        <f t="shared" si="103"/>
        <v>0</v>
      </c>
      <c r="BC49" s="1213">
        <f t="shared" si="103"/>
        <v>0</v>
      </c>
      <c r="BD49" s="1213">
        <f t="shared" si="103"/>
        <v>0</v>
      </c>
      <c r="BE49" s="1188">
        <f t="shared" si="103"/>
        <v>0</v>
      </c>
      <c r="BF49" s="1188">
        <f t="shared" ref="BF49:BJ60" si="104">AM49*R49</f>
        <v>0</v>
      </c>
      <c r="BG49" s="1188">
        <f t="shared" si="104"/>
        <v>0</v>
      </c>
      <c r="BH49" s="1584">
        <f t="shared" si="104"/>
        <v>0</v>
      </c>
      <c r="BI49" s="1188">
        <f t="shared" si="104"/>
        <v>0</v>
      </c>
      <c r="BJ49" s="1188">
        <f t="shared" si="104"/>
        <v>0</v>
      </c>
      <c r="BK49" s="403">
        <f t="shared" si="21"/>
        <v>394000</v>
      </c>
      <c r="BL49" s="402"/>
      <c r="BM49" s="402"/>
      <c r="BN49" s="402"/>
      <c r="BO49" s="1199"/>
      <c r="BP49" s="402"/>
      <c r="BQ49" s="402"/>
      <c r="BR49" s="402"/>
      <c r="BS49" s="402"/>
      <c r="BT49" s="402"/>
      <c r="BU49" s="402"/>
      <c r="BV49" s="1213"/>
      <c r="BW49" s="1188"/>
      <c r="BX49" s="987">
        <f t="shared" si="25"/>
        <v>0</v>
      </c>
      <c r="BY49" s="983">
        <f t="shared" ref="BY49" si="105">AR49-BK49-BX49</f>
        <v>606000</v>
      </c>
      <c r="BZ49" s="274">
        <f t="shared" ref="BZ49:BZ60" si="106">Y49*D49</f>
        <v>1000000</v>
      </c>
      <c r="CA49" s="275">
        <f t="shared" ref="CA49" si="107">BZ49-BK49-BX49</f>
        <v>606000</v>
      </c>
      <c r="CB49" s="988">
        <f t="shared" ref="CB49:CB60" si="108">SUM(W49/D49)</f>
        <v>1</v>
      </c>
      <c r="CC49" s="1081"/>
      <c r="CD49" s="1081"/>
      <c r="CE49" s="1083"/>
      <c r="CF49" s="1084"/>
      <c r="CG49" s="862"/>
      <c r="CH49" s="862"/>
      <c r="CI49" s="862"/>
      <c r="CJ49" s="862"/>
      <c r="CK49" s="862"/>
      <c r="CL49" s="862"/>
      <c r="CM49" s="862"/>
      <c r="CN49" s="862"/>
      <c r="CO49" s="862"/>
      <c r="CP49" s="862"/>
      <c r="CQ49" s="1128"/>
      <c r="CR49" s="862"/>
      <c r="CS49" s="1128"/>
      <c r="CT49" s="862"/>
      <c r="CU49" s="862"/>
      <c r="CV49" s="862"/>
      <c r="CW49" s="862"/>
      <c r="CX49" s="862"/>
      <c r="CY49" s="73">
        <f t="shared" si="92"/>
        <v>0</v>
      </c>
      <c r="CZ49" s="862"/>
      <c r="DA49" s="862"/>
      <c r="DB49" s="862"/>
      <c r="DC49" s="862"/>
      <c r="DD49" s="862"/>
      <c r="DE49" s="862"/>
      <c r="DF49" s="862"/>
      <c r="DG49" s="862"/>
      <c r="DH49" s="1081"/>
      <c r="DI49" s="862"/>
      <c r="DJ49" s="862"/>
      <c r="DK49" s="862"/>
      <c r="DL49" s="862"/>
      <c r="DM49" s="862"/>
      <c r="DN49" s="862"/>
      <c r="DO49" s="862"/>
      <c r="DP49" s="862"/>
      <c r="DQ49" s="862"/>
      <c r="DR49" s="73">
        <f t="shared" si="93"/>
        <v>0</v>
      </c>
      <c r="DS49" s="412"/>
      <c r="DT49" s="412"/>
      <c r="DU49" s="420"/>
      <c r="DV49" s="412"/>
      <c r="DW49" s="412"/>
      <c r="DX49" s="412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</row>
    <row r="50" spans="1:139" s="278" customFormat="1" ht="32.25" customHeight="1" x14ac:dyDescent="0.2">
      <c r="A50" s="786">
        <f t="shared" si="27"/>
        <v>38</v>
      </c>
      <c r="B50" s="460" t="s">
        <v>656</v>
      </c>
      <c r="C50" s="281" t="s">
        <v>25</v>
      </c>
      <c r="D50" s="573">
        <v>1</v>
      </c>
      <c r="E50" s="573">
        <v>1</v>
      </c>
      <c r="F50" s="573"/>
      <c r="G50" s="573"/>
      <c r="H50" s="573"/>
      <c r="I50" s="573"/>
      <c r="J50" s="573"/>
      <c r="K50" s="573"/>
      <c r="L50" s="573"/>
      <c r="M50" s="573"/>
      <c r="N50" s="573"/>
      <c r="O50" s="342"/>
      <c r="P50" s="1207"/>
      <c r="Q50" s="1207"/>
      <c r="R50" s="1207"/>
      <c r="S50" s="464"/>
      <c r="T50" s="1299"/>
      <c r="U50" s="1184"/>
      <c r="V50" s="1184"/>
      <c r="W50" s="840">
        <f t="shared" si="19"/>
        <v>1</v>
      </c>
      <c r="X50" s="1024" t="s">
        <v>50</v>
      </c>
      <c r="Y50" s="898">
        <v>1000000</v>
      </c>
      <c r="Z50" s="1017">
        <v>752000</v>
      </c>
      <c r="AA50" s="1017"/>
      <c r="AB50" s="1017"/>
      <c r="AC50" s="569"/>
      <c r="AD50" s="569"/>
      <c r="AE50" s="569"/>
      <c r="AF50" s="569"/>
      <c r="AG50" s="569"/>
      <c r="AH50" s="569"/>
      <c r="AI50" s="569"/>
      <c r="AJ50" s="569"/>
      <c r="AK50" s="1234"/>
      <c r="AL50" s="1234"/>
      <c r="AM50" s="1234"/>
      <c r="AN50" s="1186"/>
      <c r="AO50" s="1505"/>
      <c r="AP50" s="1186"/>
      <c r="AQ50" s="1186"/>
      <c r="AR50" s="570">
        <f t="shared" ref="AR50" si="109">SUM(W50*Y50)</f>
        <v>1000000</v>
      </c>
      <c r="AS50" s="1199">
        <f t="shared" si="103"/>
        <v>752000</v>
      </c>
      <c r="AT50" s="402">
        <f t="shared" si="103"/>
        <v>0</v>
      </c>
      <c r="AU50" s="402">
        <f t="shared" si="103"/>
        <v>0</v>
      </c>
      <c r="AV50" s="402">
        <f t="shared" si="103"/>
        <v>0</v>
      </c>
      <c r="AW50" s="402">
        <f t="shared" si="103"/>
        <v>0</v>
      </c>
      <c r="AX50" s="402">
        <f t="shared" si="103"/>
        <v>0</v>
      </c>
      <c r="AY50" s="402">
        <f t="shared" si="103"/>
        <v>0</v>
      </c>
      <c r="AZ50" s="402">
        <f t="shared" si="103"/>
        <v>0</v>
      </c>
      <c r="BA50" s="402">
        <f t="shared" si="103"/>
        <v>0</v>
      </c>
      <c r="BB50" s="402">
        <f t="shared" si="103"/>
        <v>0</v>
      </c>
      <c r="BC50" s="1213">
        <f t="shared" si="103"/>
        <v>0</v>
      </c>
      <c r="BD50" s="1213">
        <f t="shared" si="103"/>
        <v>0</v>
      </c>
      <c r="BE50" s="1188">
        <f t="shared" si="103"/>
        <v>0</v>
      </c>
      <c r="BF50" s="1188">
        <f t="shared" si="104"/>
        <v>0</v>
      </c>
      <c r="BG50" s="1188">
        <f t="shared" si="104"/>
        <v>0</v>
      </c>
      <c r="BH50" s="1584">
        <f t="shared" si="104"/>
        <v>0</v>
      </c>
      <c r="BI50" s="1188">
        <f t="shared" si="104"/>
        <v>0</v>
      </c>
      <c r="BJ50" s="1188">
        <f t="shared" si="104"/>
        <v>0</v>
      </c>
      <c r="BK50" s="403">
        <f t="shared" si="21"/>
        <v>752000</v>
      </c>
      <c r="BL50" s="402"/>
      <c r="BM50" s="402"/>
      <c r="BN50" s="402"/>
      <c r="BO50" s="1199"/>
      <c r="BP50" s="402"/>
      <c r="BQ50" s="402"/>
      <c r="BR50" s="402"/>
      <c r="BS50" s="402"/>
      <c r="BT50" s="402"/>
      <c r="BU50" s="402"/>
      <c r="BV50" s="1213"/>
      <c r="BW50" s="1188"/>
      <c r="BX50" s="987">
        <f t="shared" ref="BX50" si="110">SUM(BL50:BW50)</f>
        <v>0</v>
      </c>
      <c r="BY50" s="983">
        <f t="shared" ref="BY50:BY71" si="111">AR50-BK50-BX50</f>
        <v>248000</v>
      </c>
      <c r="BZ50" s="274">
        <f t="shared" si="106"/>
        <v>1000000</v>
      </c>
      <c r="CA50" s="275">
        <f t="shared" ref="CA50:CA71" si="112">BZ50-BK50-BX50</f>
        <v>248000</v>
      </c>
      <c r="CB50" s="988">
        <f t="shared" si="108"/>
        <v>1</v>
      </c>
      <c r="CC50" s="1081"/>
      <c r="CD50" s="1081"/>
      <c r="CE50" s="1083"/>
      <c r="CF50" s="1084"/>
      <c r="CG50" s="862"/>
      <c r="CH50" s="862"/>
      <c r="CI50" s="862"/>
      <c r="CJ50" s="862"/>
      <c r="CK50" s="862"/>
      <c r="CL50" s="862"/>
      <c r="CM50" s="862"/>
      <c r="CN50" s="862"/>
      <c r="CO50" s="862"/>
      <c r="CP50" s="862"/>
      <c r="CQ50" s="1128"/>
      <c r="CR50" s="862"/>
      <c r="CS50" s="1128"/>
      <c r="CT50" s="862"/>
      <c r="CU50" s="862"/>
      <c r="CV50" s="862"/>
      <c r="CW50" s="862"/>
      <c r="CX50" s="862"/>
      <c r="CY50" s="73">
        <f t="shared" si="92"/>
        <v>0</v>
      </c>
      <c r="CZ50" s="862"/>
      <c r="DA50" s="862"/>
      <c r="DB50" s="862"/>
      <c r="DC50" s="862"/>
      <c r="DD50" s="862"/>
      <c r="DE50" s="862"/>
      <c r="DF50" s="862"/>
      <c r="DG50" s="862"/>
      <c r="DH50" s="1081"/>
      <c r="DI50" s="862"/>
      <c r="DJ50" s="862"/>
      <c r="DK50" s="862"/>
      <c r="DL50" s="862"/>
      <c r="DM50" s="862"/>
      <c r="DN50" s="862"/>
      <c r="DO50" s="862"/>
      <c r="DP50" s="862"/>
      <c r="DQ50" s="862"/>
      <c r="DR50" s="73">
        <f t="shared" si="93"/>
        <v>0</v>
      </c>
      <c r="DS50" s="412"/>
      <c r="DT50" s="412"/>
      <c r="DU50" s="420"/>
      <c r="DV50" s="412"/>
      <c r="DW50" s="412"/>
      <c r="DX50" s="412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</row>
    <row r="51" spans="1:139" s="278" customFormat="1" ht="32.25" customHeight="1" x14ac:dyDescent="0.2">
      <c r="A51" s="786">
        <f t="shared" si="27"/>
        <v>39</v>
      </c>
      <c r="B51" s="460" t="s">
        <v>657</v>
      </c>
      <c r="C51" s="281" t="s">
        <v>25</v>
      </c>
      <c r="D51" s="573">
        <v>1</v>
      </c>
      <c r="E51" s="573"/>
      <c r="F51" s="573"/>
      <c r="G51" s="573">
        <v>1</v>
      </c>
      <c r="H51" s="573"/>
      <c r="I51" s="573"/>
      <c r="J51" s="573"/>
      <c r="K51" s="573"/>
      <c r="L51" s="573"/>
      <c r="M51" s="573"/>
      <c r="N51" s="573"/>
      <c r="O51" s="342"/>
      <c r="P51" s="1207"/>
      <c r="Q51" s="1207"/>
      <c r="R51" s="1207"/>
      <c r="S51" s="464"/>
      <c r="T51" s="1299"/>
      <c r="U51" s="1184"/>
      <c r="V51" s="1184"/>
      <c r="W51" s="840">
        <f t="shared" si="19"/>
        <v>1</v>
      </c>
      <c r="X51" s="1024" t="s">
        <v>50</v>
      </c>
      <c r="Y51" s="898">
        <v>1000000</v>
      </c>
      <c r="Z51" s="1017">
        <v>0</v>
      </c>
      <c r="AA51" s="1017"/>
      <c r="AB51" s="1017">
        <v>790016</v>
      </c>
      <c r="AC51" s="569"/>
      <c r="AD51" s="569"/>
      <c r="AE51" s="569"/>
      <c r="AF51" s="569"/>
      <c r="AG51" s="569"/>
      <c r="AH51" s="569"/>
      <c r="AI51" s="569"/>
      <c r="AJ51" s="569"/>
      <c r="AK51" s="1234"/>
      <c r="AL51" s="1234"/>
      <c r="AM51" s="1234"/>
      <c r="AN51" s="1186"/>
      <c r="AO51" s="1505"/>
      <c r="AP51" s="1186"/>
      <c r="AQ51" s="1186"/>
      <c r="AR51" s="570">
        <f t="shared" ref="AR51" si="113">SUM(W51*Y51)</f>
        <v>1000000</v>
      </c>
      <c r="AS51" s="1199">
        <v>0</v>
      </c>
      <c r="AT51" s="402">
        <f t="shared" ref="AT51:AT60" si="114">AA51*F51</f>
        <v>0</v>
      </c>
      <c r="AU51" s="402">
        <f t="shared" ref="AU51:AU60" si="115">AB51*G51</f>
        <v>790016</v>
      </c>
      <c r="AV51" s="402">
        <f t="shared" ref="AV51:AV60" si="116">AC51*H51</f>
        <v>0</v>
      </c>
      <c r="AW51" s="402">
        <f t="shared" ref="AW51:AW60" si="117">AD51*I51</f>
        <v>0</v>
      </c>
      <c r="AX51" s="402">
        <f t="shared" ref="AX51:AX60" si="118">AE51*J51</f>
        <v>0</v>
      </c>
      <c r="AY51" s="402">
        <f t="shared" ref="AY51:AY60" si="119">AF51*K51</f>
        <v>0</v>
      </c>
      <c r="AZ51" s="402">
        <f t="shared" ref="AZ51:AZ60" si="120">AG51*L51</f>
        <v>0</v>
      </c>
      <c r="BA51" s="402">
        <f t="shared" ref="BA51:BA60" si="121">AH51*M51</f>
        <v>0</v>
      </c>
      <c r="BB51" s="402">
        <f t="shared" ref="BB51:BB60" si="122">AI51*N51</f>
        <v>0</v>
      </c>
      <c r="BC51" s="1213">
        <f t="shared" ref="BC51:BC60" si="123">AJ51*O51</f>
        <v>0</v>
      </c>
      <c r="BD51" s="1213">
        <f t="shared" ref="BD51:BD60" si="124">AK51*P51</f>
        <v>0</v>
      </c>
      <c r="BE51" s="1188">
        <f t="shared" ref="BE51:BE60" si="125">AL51*Q51</f>
        <v>0</v>
      </c>
      <c r="BF51" s="1188">
        <f t="shared" si="104"/>
        <v>0</v>
      </c>
      <c r="BG51" s="1188">
        <f t="shared" si="104"/>
        <v>0</v>
      </c>
      <c r="BH51" s="1584">
        <f t="shared" si="104"/>
        <v>0</v>
      </c>
      <c r="BI51" s="1188">
        <f t="shared" si="104"/>
        <v>0</v>
      </c>
      <c r="BJ51" s="1188">
        <f t="shared" si="104"/>
        <v>0</v>
      </c>
      <c r="BK51" s="403">
        <f t="shared" si="21"/>
        <v>790016</v>
      </c>
      <c r="BL51" s="402"/>
      <c r="BM51" s="402"/>
      <c r="BN51" s="402"/>
      <c r="BO51" s="1199"/>
      <c r="BP51" s="402"/>
      <c r="BQ51" s="402"/>
      <c r="BR51" s="402"/>
      <c r="BS51" s="402"/>
      <c r="BT51" s="402"/>
      <c r="BU51" s="402"/>
      <c r="BV51" s="1213"/>
      <c r="BW51" s="1188"/>
      <c r="BX51" s="987">
        <f t="shared" ref="BX51" si="126">SUM(BL51:BW51)</f>
        <v>0</v>
      </c>
      <c r="BY51" s="983">
        <f t="shared" si="111"/>
        <v>209984</v>
      </c>
      <c r="BZ51" s="274">
        <f t="shared" si="106"/>
        <v>1000000</v>
      </c>
      <c r="CA51" s="275">
        <f t="shared" si="112"/>
        <v>209984</v>
      </c>
      <c r="CB51" s="988">
        <f t="shared" si="108"/>
        <v>1</v>
      </c>
      <c r="CC51" s="1081"/>
      <c r="CD51" s="1081"/>
      <c r="CE51" s="1083"/>
      <c r="CF51" s="1084"/>
      <c r="CG51" s="862"/>
      <c r="CH51" s="862"/>
      <c r="CI51" s="862"/>
      <c r="CJ51" s="862"/>
      <c r="CK51" s="862"/>
      <c r="CL51" s="862"/>
      <c r="CM51" s="862"/>
      <c r="CN51" s="862"/>
      <c r="CO51" s="862"/>
      <c r="CP51" s="862"/>
      <c r="CQ51" s="1128"/>
      <c r="CR51" s="862"/>
      <c r="CS51" s="1128"/>
      <c r="CT51" s="862"/>
      <c r="CU51" s="862"/>
      <c r="CV51" s="862"/>
      <c r="CW51" s="862"/>
      <c r="CX51" s="862"/>
      <c r="CY51" s="73">
        <f t="shared" si="92"/>
        <v>0</v>
      </c>
      <c r="CZ51" s="862"/>
      <c r="DA51" s="862"/>
      <c r="DB51" s="862"/>
      <c r="DC51" s="862"/>
      <c r="DD51" s="862"/>
      <c r="DE51" s="862"/>
      <c r="DF51" s="862"/>
      <c r="DG51" s="862"/>
      <c r="DH51" s="1081"/>
      <c r="DI51" s="862"/>
      <c r="DJ51" s="862"/>
      <c r="DK51" s="862"/>
      <c r="DL51" s="862"/>
      <c r="DM51" s="862"/>
      <c r="DN51" s="862"/>
      <c r="DO51" s="862"/>
      <c r="DP51" s="862"/>
      <c r="DQ51" s="862"/>
      <c r="DR51" s="73">
        <f t="shared" si="93"/>
        <v>0</v>
      </c>
      <c r="DS51" s="412"/>
      <c r="DT51" s="412"/>
      <c r="DU51" s="420"/>
      <c r="DV51" s="412"/>
      <c r="DW51" s="412"/>
      <c r="DX51" s="412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</row>
    <row r="52" spans="1:139" s="278" customFormat="1" ht="32.25" customHeight="1" x14ac:dyDescent="0.2">
      <c r="A52" s="786">
        <f t="shared" si="27"/>
        <v>40</v>
      </c>
      <c r="B52" s="460" t="s">
        <v>658</v>
      </c>
      <c r="C52" s="281" t="s">
        <v>25</v>
      </c>
      <c r="D52" s="573">
        <v>1</v>
      </c>
      <c r="E52" s="573"/>
      <c r="F52" s="573"/>
      <c r="G52" s="573"/>
      <c r="H52" s="573"/>
      <c r="I52" s="573">
        <v>1</v>
      </c>
      <c r="J52" s="573"/>
      <c r="K52" s="573"/>
      <c r="L52" s="573"/>
      <c r="M52" s="573"/>
      <c r="N52" s="573"/>
      <c r="O52" s="342"/>
      <c r="P52" s="1207"/>
      <c r="Q52" s="1207"/>
      <c r="R52" s="1207"/>
      <c r="S52" s="464"/>
      <c r="T52" s="1299"/>
      <c r="U52" s="1184"/>
      <c r="V52" s="1184"/>
      <c r="W52" s="840">
        <f t="shared" si="19"/>
        <v>1</v>
      </c>
      <c r="X52" s="1024" t="s">
        <v>50</v>
      </c>
      <c r="Y52" s="898">
        <v>1000000</v>
      </c>
      <c r="Z52" s="1017">
        <v>0</v>
      </c>
      <c r="AA52" s="1017"/>
      <c r="AB52" s="1017"/>
      <c r="AC52" s="569"/>
      <c r="AD52" s="569">
        <v>1000000</v>
      </c>
      <c r="AE52" s="569"/>
      <c r="AF52" s="569"/>
      <c r="AG52" s="569"/>
      <c r="AH52" s="569"/>
      <c r="AI52" s="569"/>
      <c r="AJ52" s="569"/>
      <c r="AK52" s="1234"/>
      <c r="AL52" s="1234"/>
      <c r="AM52" s="1234"/>
      <c r="AN52" s="1186"/>
      <c r="AO52" s="1505"/>
      <c r="AP52" s="1186"/>
      <c r="AQ52" s="1186"/>
      <c r="AR52" s="570">
        <f t="shared" ref="AR52" si="127">SUM(W52*Y52)</f>
        <v>1000000</v>
      </c>
      <c r="AS52" s="1199">
        <v>0</v>
      </c>
      <c r="AT52" s="402">
        <f t="shared" si="114"/>
        <v>0</v>
      </c>
      <c r="AU52" s="402">
        <f t="shared" si="115"/>
        <v>0</v>
      </c>
      <c r="AV52" s="402">
        <f t="shared" si="116"/>
        <v>0</v>
      </c>
      <c r="AW52" s="402">
        <f t="shared" si="117"/>
        <v>1000000</v>
      </c>
      <c r="AX52" s="402">
        <f t="shared" si="118"/>
        <v>0</v>
      </c>
      <c r="AY52" s="402">
        <f t="shared" si="119"/>
        <v>0</v>
      </c>
      <c r="AZ52" s="402">
        <f t="shared" si="120"/>
        <v>0</v>
      </c>
      <c r="BA52" s="402">
        <f t="shared" si="121"/>
        <v>0</v>
      </c>
      <c r="BB52" s="402">
        <f t="shared" si="122"/>
        <v>0</v>
      </c>
      <c r="BC52" s="1213">
        <f t="shared" si="123"/>
        <v>0</v>
      </c>
      <c r="BD52" s="1213">
        <f t="shared" si="124"/>
        <v>0</v>
      </c>
      <c r="BE52" s="1188">
        <f t="shared" si="125"/>
        <v>0</v>
      </c>
      <c r="BF52" s="1188">
        <f t="shared" si="104"/>
        <v>0</v>
      </c>
      <c r="BG52" s="1188">
        <f t="shared" si="104"/>
        <v>0</v>
      </c>
      <c r="BH52" s="1584">
        <f t="shared" si="104"/>
        <v>0</v>
      </c>
      <c r="BI52" s="1188">
        <f t="shared" si="104"/>
        <v>0</v>
      </c>
      <c r="BJ52" s="1188">
        <f t="shared" si="104"/>
        <v>0</v>
      </c>
      <c r="BK52" s="403">
        <f t="shared" si="21"/>
        <v>1000000</v>
      </c>
      <c r="BL52" s="402"/>
      <c r="BM52" s="402"/>
      <c r="BN52" s="402"/>
      <c r="BO52" s="1199"/>
      <c r="BP52" s="402"/>
      <c r="BQ52" s="402"/>
      <c r="BR52" s="402"/>
      <c r="BS52" s="402"/>
      <c r="BT52" s="402"/>
      <c r="BU52" s="402"/>
      <c r="BV52" s="1213"/>
      <c r="BW52" s="1188"/>
      <c r="BX52" s="987">
        <f t="shared" ref="BX52" si="128">SUM(BL52:BW52)</f>
        <v>0</v>
      </c>
      <c r="BY52" s="983">
        <f t="shared" si="111"/>
        <v>0</v>
      </c>
      <c r="BZ52" s="274">
        <f t="shared" si="106"/>
        <v>1000000</v>
      </c>
      <c r="CA52" s="275">
        <f t="shared" si="112"/>
        <v>0</v>
      </c>
      <c r="CB52" s="988">
        <f t="shared" si="108"/>
        <v>1</v>
      </c>
      <c r="CC52" s="1081"/>
      <c r="CD52" s="1081"/>
      <c r="CE52" s="1083"/>
      <c r="CF52" s="1084"/>
      <c r="CG52" s="862"/>
      <c r="CH52" s="862"/>
      <c r="CI52" s="862"/>
      <c r="CJ52" s="862"/>
      <c r="CK52" s="862"/>
      <c r="CL52" s="862"/>
      <c r="CM52" s="862"/>
      <c r="CN52" s="862"/>
      <c r="CO52" s="862"/>
      <c r="CP52" s="862"/>
      <c r="CQ52" s="1128"/>
      <c r="CR52" s="862"/>
      <c r="CS52" s="1128"/>
      <c r="CT52" s="862"/>
      <c r="CU52" s="862"/>
      <c r="CV52" s="862"/>
      <c r="CW52" s="862"/>
      <c r="CX52" s="862"/>
      <c r="CY52" s="73">
        <f t="shared" si="92"/>
        <v>0</v>
      </c>
      <c r="CZ52" s="862"/>
      <c r="DA52" s="862"/>
      <c r="DB52" s="862"/>
      <c r="DC52" s="862"/>
      <c r="DD52" s="862"/>
      <c r="DE52" s="862"/>
      <c r="DF52" s="862"/>
      <c r="DG52" s="862"/>
      <c r="DH52" s="1081"/>
      <c r="DI52" s="862"/>
      <c r="DJ52" s="862"/>
      <c r="DK52" s="862"/>
      <c r="DL52" s="862"/>
      <c r="DM52" s="862"/>
      <c r="DN52" s="862"/>
      <c r="DO52" s="862"/>
      <c r="DP52" s="862"/>
      <c r="DQ52" s="862"/>
      <c r="DR52" s="73">
        <f t="shared" si="93"/>
        <v>0</v>
      </c>
      <c r="DS52" s="412"/>
      <c r="DT52" s="412"/>
      <c r="DU52" s="420"/>
      <c r="DV52" s="412"/>
      <c r="DW52" s="412"/>
      <c r="DX52" s="412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</row>
    <row r="53" spans="1:139" s="278" customFormat="1" ht="32.25" customHeight="1" x14ac:dyDescent="0.2">
      <c r="A53" s="786">
        <f t="shared" si="27"/>
        <v>41</v>
      </c>
      <c r="B53" s="460" t="s">
        <v>660</v>
      </c>
      <c r="C53" s="281" t="s">
        <v>25</v>
      </c>
      <c r="D53" s="573">
        <v>1</v>
      </c>
      <c r="E53" s="573"/>
      <c r="F53" s="573"/>
      <c r="G53" s="573"/>
      <c r="H53" s="573"/>
      <c r="I53" s="573"/>
      <c r="J53" s="573"/>
      <c r="K53" s="573">
        <v>1</v>
      </c>
      <c r="L53" s="573"/>
      <c r="M53" s="573"/>
      <c r="N53" s="573"/>
      <c r="O53" s="342"/>
      <c r="P53" s="1207"/>
      <c r="Q53" s="1207"/>
      <c r="R53" s="1207"/>
      <c r="S53" s="464"/>
      <c r="T53" s="1299"/>
      <c r="U53" s="1184"/>
      <c r="V53" s="1184"/>
      <c r="W53" s="840">
        <f t="shared" si="19"/>
        <v>1</v>
      </c>
      <c r="X53" s="1024" t="s">
        <v>50</v>
      </c>
      <c r="Y53" s="898">
        <v>1000000</v>
      </c>
      <c r="Z53" s="1017">
        <v>0</v>
      </c>
      <c r="AA53" s="1017"/>
      <c r="AB53" s="1017"/>
      <c r="AC53" s="569"/>
      <c r="AD53" s="569"/>
      <c r="AE53" s="569"/>
      <c r="AF53" s="569">
        <v>1000000</v>
      </c>
      <c r="AG53" s="569"/>
      <c r="AH53" s="569"/>
      <c r="AI53" s="569"/>
      <c r="AJ53" s="569"/>
      <c r="AK53" s="1234"/>
      <c r="AL53" s="1234"/>
      <c r="AM53" s="1234"/>
      <c r="AN53" s="1186"/>
      <c r="AO53" s="1505"/>
      <c r="AP53" s="1186"/>
      <c r="AQ53" s="1186"/>
      <c r="AR53" s="570">
        <f t="shared" ref="AR53" si="129">SUM(W53*Y53)</f>
        <v>1000000</v>
      </c>
      <c r="AS53" s="1199">
        <v>0</v>
      </c>
      <c r="AT53" s="402">
        <f t="shared" si="114"/>
        <v>0</v>
      </c>
      <c r="AU53" s="402">
        <f t="shared" si="115"/>
        <v>0</v>
      </c>
      <c r="AV53" s="402">
        <f t="shared" si="116"/>
        <v>0</v>
      </c>
      <c r="AW53" s="402">
        <f t="shared" si="117"/>
        <v>0</v>
      </c>
      <c r="AX53" s="402">
        <f t="shared" si="118"/>
        <v>0</v>
      </c>
      <c r="AY53" s="402">
        <f t="shared" si="119"/>
        <v>1000000</v>
      </c>
      <c r="AZ53" s="402">
        <f t="shared" si="120"/>
        <v>0</v>
      </c>
      <c r="BA53" s="402">
        <f t="shared" si="121"/>
        <v>0</v>
      </c>
      <c r="BB53" s="402">
        <f t="shared" si="122"/>
        <v>0</v>
      </c>
      <c r="BC53" s="1213">
        <f t="shared" si="123"/>
        <v>0</v>
      </c>
      <c r="BD53" s="1213">
        <f t="shared" si="124"/>
        <v>0</v>
      </c>
      <c r="BE53" s="1188">
        <f t="shared" si="125"/>
        <v>0</v>
      </c>
      <c r="BF53" s="1188">
        <f t="shared" si="104"/>
        <v>0</v>
      </c>
      <c r="BG53" s="1188">
        <f t="shared" si="104"/>
        <v>0</v>
      </c>
      <c r="BH53" s="1584">
        <f t="shared" si="104"/>
        <v>0</v>
      </c>
      <c r="BI53" s="1188">
        <f t="shared" si="104"/>
        <v>0</v>
      </c>
      <c r="BJ53" s="1188">
        <f t="shared" si="104"/>
        <v>0</v>
      </c>
      <c r="BK53" s="403">
        <f>SUM(AS53:BJ53)</f>
        <v>1000000</v>
      </c>
      <c r="BL53" s="402"/>
      <c r="BM53" s="402"/>
      <c r="BN53" s="402"/>
      <c r="BO53" s="1199"/>
      <c r="BP53" s="402"/>
      <c r="BQ53" s="402"/>
      <c r="BR53" s="402"/>
      <c r="BS53" s="402"/>
      <c r="BT53" s="402"/>
      <c r="BU53" s="402"/>
      <c r="BV53" s="1213"/>
      <c r="BW53" s="1188"/>
      <c r="BX53" s="987">
        <f t="shared" ref="BX53" si="130">SUM(BL53:BW53)</f>
        <v>0</v>
      </c>
      <c r="BY53" s="983">
        <f>AR53-BK53</f>
        <v>0</v>
      </c>
      <c r="BZ53" s="274">
        <f t="shared" si="106"/>
        <v>1000000</v>
      </c>
      <c r="CA53" s="275">
        <f t="shared" si="112"/>
        <v>0</v>
      </c>
      <c r="CB53" s="988">
        <f t="shared" si="108"/>
        <v>1</v>
      </c>
      <c r="CC53" s="1081"/>
      <c r="CD53" s="1081"/>
      <c r="CE53" s="1083"/>
      <c r="CF53" s="1084"/>
      <c r="CG53" s="862"/>
      <c r="CH53" s="862"/>
      <c r="CI53" s="862"/>
      <c r="CJ53" s="862"/>
      <c r="CK53" s="862"/>
      <c r="CL53" s="862"/>
      <c r="CM53" s="862"/>
      <c r="CN53" s="862"/>
      <c r="CO53" s="862"/>
      <c r="CP53" s="862"/>
      <c r="CQ53" s="1128"/>
      <c r="CR53" s="862"/>
      <c r="CS53" s="1128"/>
      <c r="CT53" s="862"/>
      <c r="CU53" s="862"/>
      <c r="CV53" s="862"/>
      <c r="CW53" s="862"/>
      <c r="CX53" s="862"/>
      <c r="CY53" s="73">
        <f t="shared" si="92"/>
        <v>0</v>
      </c>
      <c r="CZ53" s="862"/>
      <c r="DA53" s="862"/>
      <c r="DB53" s="862"/>
      <c r="DC53" s="862"/>
      <c r="DD53" s="862"/>
      <c r="DE53" s="862"/>
      <c r="DF53" s="862"/>
      <c r="DG53" s="862"/>
      <c r="DH53" s="1081"/>
      <c r="DI53" s="862"/>
      <c r="DJ53" s="862"/>
      <c r="DK53" s="862"/>
      <c r="DL53" s="862"/>
      <c r="DM53" s="862"/>
      <c r="DN53" s="862"/>
      <c r="DO53" s="862"/>
      <c r="DP53" s="862"/>
      <c r="DQ53" s="862"/>
      <c r="DR53" s="73">
        <f t="shared" si="93"/>
        <v>0</v>
      </c>
      <c r="DS53" s="412"/>
      <c r="DT53" s="412"/>
      <c r="DU53" s="420"/>
      <c r="DV53" s="412"/>
      <c r="DW53" s="412"/>
      <c r="DX53" s="412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</row>
    <row r="54" spans="1:139" s="278" customFormat="1" ht="32.25" customHeight="1" x14ac:dyDescent="0.2">
      <c r="A54" s="786">
        <f t="shared" si="27"/>
        <v>42</v>
      </c>
      <c r="B54" s="460" t="s">
        <v>661</v>
      </c>
      <c r="C54" s="281" t="s">
        <v>25</v>
      </c>
      <c r="D54" s="573">
        <v>1</v>
      </c>
      <c r="E54" s="573"/>
      <c r="F54" s="573"/>
      <c r="G54" s="573"/>
      <c r="H54" s="573"/>
      <c r="I54" s="573"/>
      <c r="J54" s="573"/>
      <c r="K54" s="573"/>
      <c r="L54" s="573"/>
      <c r="M54" s="573">
        <v>1</v>
      </c>
      <c r="N54" s="573"/>
      <c r="O54" s="342"/>
      <c r="P54" s="1207"/>
      <c r="Q54" s="1207"/>
      <c r="R54" s="1207"/>
      <c r="S54" s="464"/>
      <c r="T54" s="1299"/>
      <c r="U54" s="1184"/>
      <c r="V54" s="1184"/>
      <c r="W54" s="840">
        <f t="shared" si="19"/>
        <v>1</v>
      </c>
      <c r="X54" s="1024" t="s">
        <v>50</v>
      </c>
      <c r="Y54" s="898">
        <v>1000000</v>
      </c>
      <c r="Z54" s="1017">
        <v>0</v>
      </c>
      <c r="AA54" s="1017"/>
      <c r="AB54" s="1017"/>
      <c r="AC54" s="569"/>
      <c r="AD54" s="569"/>
      <c r="AE54" s="569"/>
      <c r="AF54" s="569"/>
      <c r="AG54" s="569"/>
      <c r="AH54" s="569">
        <v>1000000</v>
      </c>
      <c r="AI54" s="569"/>
      <c r="AJ54" s="1007"/>
      <c r="AK54" s="1234"/>
      <c r="AL54" s="1234"/>
      <c r="AM54" s="1234"/>
      <c r="AN54" s="1186"/>
      <c r="AO54" s="1505"/>
      <c r="AP54" s="1186"/>
      <c r="AQ54" s="1186"/>
      <c r="AR54" s="570">
        <f t="shared" ref="AR54" si="131">SUM(W54*Y54)</f>
        <v>1000000</v>
      </c>
      <c r="AS54" s="1199">
        <v>0</v>
      </c>
      <c r="AT54" s="402">
        <f t="shared" si="114"/>
        <v>0</v>
      </c>
      <c r="AU54" s="402">
        <f t="shared" si="115"/>
        <v>0</v>
      </c>
      <c r="AV54" s="402">
        <f t="shared" si="116"/>
        <v>0</v>
      </c>
      <c r="AW54" s="402">
        <f t="shared" si="117"/>
        <v>0</v>
      </c>
      <c r="AX54" s="402">
        <f t="shared" si="118"/>
        <v>0</v>
      </c>
      <c r="AY54" s="402">
        <f t="shared" si="119"/>
        <v>0</v>
      </c>
      <c r="AZ54" s="402">
        <f t="shared" si="120"/>
        <v>0</v>
      </c>
      <c r="BA54" s="402">
        <f t="shared" si="121"/>
        <v>1000000</v>
      </c>
      <c r="BB54" s="402">
        <f t="shared" si="122"/>
        <v>0</v>
      </c>
      <c r="BC54" s="1213">
        <f t="shared" si="123"/>
        <v>0</v>
      </c>
      <c r="BD54" s="1213">
        <f t="shared" si="124"/>
        <v>0</v>
      </c>
      <c r="BE54" s="1188">
        <f t="shared" si="125"/>
        <v>0</v>
      </c>
      <c r="BF54" s="1188">
        <f t="shared" si="104"/>
        <v>0</v>
      </c>
      <c r="BG54" s="1188">
        <f t="shared" si="104"/>
        <v>0</v>
      </c>
      <c r="BH54" s="1584">
        <f t="shared" si="104"/>
        <v>0</v>
      </c>
      <c r="BI54" s="1188">
        <f t="shared" si="104"/>
        <v>0</v>
      </c>
      <c r="BJ54" s="1188">
        <f t="shared" si="104"/>
        <v>0</v>
      </c>
      <c r="BK54" s="403">
        <f t="shared" si="21"/>
        <v>1000000</v>
      </c>
      <c r="BL54" s="402"/>
      <c r="BM54" s="402"/>
      <c r="BN54" s="402"/>
      <c r="BO54" s="1199"/>
      <c r="BP54" s="402"/>
      <c r="BQ54" s="402"/>
      <c r="BR54" s="402"/>
      <c r="BS54" s="402"/>
      <c r="BT54" s="402"/>
      <c r="BU54" s="402"/>
      <c r="BV54" s="1213"/>
      <c r="BW54" s="1188"/>
      <c r="BX54" s="344">
        <f t="shared" ref="BX54" si="132">SUM(BL54:BW54)</f>
        <v>0</v>
      </c>
      <c r="BY54" s="983">
        <f t="shared" si="111"/>
        <v>0</v>
      </c>
      <c r="BZ54" s="274">
        <f t="shared" si="106"/>
        <v>1000000</v>
      </c>
      <c r="CA54" s="275">
        <f t="shared" si="112"/>
        <v>0</v>
      </c>
      <c r="CB54" s="571">
        <f t="shared" si="108"/>
        <v>1</v>
      </c>
      <c r="CC54" s="1081"/>
      <c r="CD54" s="1081"/>
      <c r="CE54" s="1083"/>
      <c r="CF54" s="1084"/>
      <c r="CG54" s="862"/>
      <c r="CH54" s="862"/>
      <c r="CI54" s="862"/>
      <c r="CJ54" s="862"/>
      <c r="CK54" s="862"/>
      <c r="CL54" s="862"/>
      <c r="CM54" s="862"/>
      <c r="CN54" s="862"/>
      <c r="CO54" s="862"/>
      <c r="CP54" s="862"/>
      <c r="CQ54" s="1128"/>
      <c r="CR54" s="862"/>
      <c r="CS54" s="1128"/>
      <c r="CT54" s="862"/>
      <c r="CU54" s="862"/>
      <c r="CV54" s="862"/>
      <c r="CW54" s="862"/>
      <c r="CX54" s="862"/>
      <c r="CY54" s="73">
        <f t="shared" si="92"/>
        <v>0</v>
      </c>
      <c r="CZ54" s="862"/>
      <c r="DA54" s="862"/>
      <c r="DB54" s="862"/>
      <c r="DC54" s="862"/>
      <c r="DD54" s="862"/>
      <c r="DE54" s="862"/>
      <c r="DF54" s="862"/>
      <c r="DG54" s="862"/>
      <c r="DH54" s="1081"/>
      <c r="DI54" s="862"/>
      <c r="DJ54" s="862"/>
      <c r="DK54" s="862"/>
      <c r="DL54" s="862"/>
      <c r="DM54" s="862"/>
      <c r="DN54" s="862"/>
      <c r="DO54" s="862"/>
      <c r="DP54" s="862"/>
      <c r="DQ54" s="862"/>
      <c r="DR54" s="73">
        <f t="shared" si="93"/>
        <v>0</v>
      </c>
      <c r="DS54" s="412"/>
      <c r="DT54" s="412"/>
      <c r="DU54" s="420"/>
      <c r="DV54" s="412"/>
      <c r="DW54" s="412"/>
      <c r="DX54" s="412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</row>
    <row r="55" spans="1:139" s="278" customFormat="1" ht="32.25" customHeight="1" x14ac:dyDescent="0.2">
      <c r="A55" s="786">
        <f t="shared" si="27"/>
        <v>43</v>
      </c>
      <c r="B55" s="460" t="s">
        <v>662</v>
      </c>
      <c r="C55" s="281" t="s">
        <v>25</v>
      </c>
      <c r="D55" s="573">
        <v>1</v>
      </c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342">
        <v>1</v>
      </c>
      <c r="P55" s="1207"/>
      <c r="Q55" s="1207"/>
      <c r="R55" s="1207"/>
      <c r="S55" s="464"/>
      <c r="T55" s="1299"/>
      <c r="U55" s="1184"/>
      <c r="V55" s="1184"/>
      <c r="W55" s="840">
        <f t="shared" si="19"/>
        <v>1</v>
      </c>
      <c r="X55" s="1024" t="s">
        <v>50</v>
      </c>
      <c r="Y55" s="898">
        <v>1000000</v>
      </c>
      <c r="Z55" s="1017">
        <v>0</v>
      </c>
      <c r="AA55" s="1017"/>
      <c r="AB55" s="1017"/>
      <c r="AC55" s="569"/>
      <c r="AD55" s="569"/>
      <c r="AE55" s="569"/>
      <c r="AF55" s="569"/>
      <c r="AG55" s="569"/>
      <c r="AH55" s="569"/>
      <c r="AI55" s="569"/>
      <c r="AJ55" s="1007">
        <v>1000000</v>
      </c>
      <c r="AK55" s="1234"/>
      <c r="AL55" s="1234"/>
      <c r="AM55" s="1234"/>
      <c r="AN55" s="1186"/>
      <c r="AO55" s="1505"/>
      <c r="AP55" s="1186"/>
      <c r="AQ55" s="1186"/>
      <c r="AR55" s="570">
        <f t="shared" ref="AR55:AR60" si="133">SUM(W55*Y55)</f>
        <v>1000000</v>
      </c>
      <c r="AS55" s="1199">
        <v>0</v>
      </c>
      <c r="AT55" s="402">
        <f t="shared" si="114"/>
        <v>0</v>
      </c>
      <c r="AU55" s="402">
        <f t="shared" si="115"/>
        <v>0</v>
      </c>
      <c r="AV55" s="402">
        <f t="shared" si="116"/>
        <v>0</v>
      </c>
      <c r="AW55" s="402">
        <f t="shared" si="117"/>
        <v>0</v>
      </c>
      <c r="AX55" s="402">
        <f t="shared" si="118"/>
        <v>0</v>
      </c>
      <c r="AY55" s="402">
        <f t="shared" si="119"/>
        <v>0</v>
      </c>
      <c r="AZ55" s="402">
        <f t="shared" si="120"/>
        <v>0</v>
      </c>
      <c r="BA55" s="402">
        <f t="shared" si="121"/>
        <v>0</v>
      </c>
      <c r="BB55" s="402">
        <f t="shared" si="122"/>
        <v>0</v>
      </c>
      <c r="BC55" s="1213">
        <f t="shared" si="123"/>
        <v>1000000</v>
      </c>
      <c r="BD55" s="1213">
        <f t="shared" si="124"/>
        <v>0</v>
      </c>
      <c r="BE55" s="1188">
        <f t="shared" si="125"/>
        <v>0</v>
      </c>
      <c r="BF55" s="1188">
        <f t="shared" si="104"/>
        <v>0</v>
      </c>
      <c r="BG55" s="1188">
        <f t="shared" si="104"/>
        <v>0</v>
      </c>
      <c r="BH55" s="1584">
        <f t="shared" si="104"/>
        <v>0</v>
      </c>
      <c r="BI55" s="1188">
        <f t="shared" si="104"/>
        <v>0</v>
      </c>
      <c r="BJ55" s="1188">
        <f t="shared" si="104"/>
        <v>0</v>
      </c>
      <c r="BK55" s="403">
        <f t="shared" si="21"/>
        <v>1000000</v>
      </c>
      <c r="BL55" s="402"/>
      <c r="BM55" s="402"/>
      <c r="BN55" s="402"/>
      <c r="BO55" s="1199"/>
      <c r="BP55" s="402"/>
      <c r="BQ55" s="402"/>
      <c r="BR55" s="402"/>
      <c r="BS55" s="402"/>
      <c r="BT55" s="402"/>
      <c r="BU55" s="402"/>
      <c r="BV55" s="1213"/>
      <c r="BW55" s="1188"/>
      <c r="BX55" s="344">
        <f t="shared" ref="BX55:BX60" si="134">SUM(BL55:BW55)</f>
        <v>0</v>
      </c>
      <c r="BY55" s="983">
        <f t="shared" si="111"/>
        <v>0</v>
      </c>
      <c r="BZ55" s="274">
        <f t="shared" si="106"/>
        <v>1000000</v>
      </c>
      <c r="CA55" s="275">
        <f t="shared" si="112"/>
        <v>0</v>
      </c>
      <c r="CB55" s="571">
        <f t="shared" si="108"/>
        <v>1</v>
      </c>
      <c r="CC55" s="1081"/>
      <c r="CD55" s="1081"/>
      <c r="CE55" s="1083"/>
      <c r="CF55" s="1084"/>
      <c r="CG55" s="862"/>
      <c r="CH55" s="862"/>
      <c r="CI55" s="862"/>
      <c r="CJ55" s="862"/>
      <c r="CK55" s="862"/>
      <c r="CL55" s="862"/>
      <c r="CM55" s="862"/>
      <c r="CN55" s="862"/>
      <c r="CO55" s="862"/>
      <c r="CP55" s="862"/>
      <c r="CQ55" s="1128"/>
      <c r="CR55" s="862"/>
      <c r="CS55" s="1128"/>
      <c r="CT55" s="862"/>
      <c r="CU55" s="862"/>
      <c r="CV55" s="862"/>
      <c r="CW55" s="862"/>
      <c r="CX55" s="862"/>
      <c r="CY55" s="73">
        <f t="shared" si="92"/>
        <v>0</v>
      </c>
      <c r="CZ55" s="862"/>
      <c r="DA55" s="862"/>
      <c r="DB55" s="862"/>
      <c r="DC55" s="862"/>
      <c r="DD55" s="862"/>
      <c r="DE55" s="862"/>
      <c r="DF55" s="862"/>
      <c r="DG55" s="862"/>
      <c r="DH55" s="1081"/>
      <c r="DI55" s="862"/>
      <c r="DJ55" s="862"/>
      <c r="DK55" s="862"/>
      <c r="DL55" s="862"/>
      <c r="DM55" s="862"/>
      <c r="DN55" s="862"/>
      <c r="DO55" s="862"/>
      <c r="DP55" s="862"/>
      <c r="DQ55" s="862"/>
      <c r="DR55" s="73">
        <f t="shared" si="93"/>
        <v>0</v>
      </c>
      <c r="DS55" s="412"/>
      <c r="DT55" s="412"/>
      <c r="DU55" s="420"/>
      <c r="DV55" s="412"/>
      <c r="DW55" s="412"/>
      <c r="DX55" s="412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</row>
    <row r="56" spans="1:139" s="278" customFormat="1" ht="32.25" customHeight="1" x14ac:dyDescent="0.2">
      <c r="A56" s="786">
        <f t="shared" si="27"/>
        <v>44</v>
      </c>
      <c r="B56" s="460" t="s">
        <v>665</v>
      </c>
      <c r="C56" s="281" t="s">
        <v>25</v>
      </c>
      <c r="D56" s="573">
        <v>1</v>
      </c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342"/>
      <c r="P56" s="1207">
        <v>1</v>
      </c>
      <c r="Q56" s="1207"/>
      <c r="R56" s="1207"/>
      <c r="S56" s="464"/>
      <c r="T56" s="1299"/>
      <c r="U56" s="1184"/>
      <c r="V56" s="1184"/>
      <c r="W56" s="840">
        <f t="shared" si="19"/>
        <v>1</v>
      </c>
      <c r="X56" s="1024" t="s">
        <v>50</v>
      </c>
      <c r="Y56" s="898">
        <v>1000000</v>
      </c>
      <c r="Z56" s="1017">
        <v>0</v>
      </c>
      <c r="AA56" s="1017"/>
      <c r="AB56" s="1017"/>
      <c r="AC56" s="569"/>
      <c r="AD56" s="569"/>
      <c r="AE56" s="569"/>
      <c r="AF56" s="569"/>
      <c r="AG56" s="569"/>
      <c r="AH56" s="569"/>
      <c r="AI56" s="569"/>
      <c r="AJ56" s="569"/>
      <c r="AK56" s="1234">
        <v>1000000</v>
      </c>
      <c r="AL56" s="1234"/>
      <c r="AM56" s="1234"/>
      <c r="AN56" s="1186"/>
      <c r="AO56" s="1505"/>
      <c r="AP56" s="1186"/>
      <c r="AQ56" s="1186"/>
      <c r="AR56" s="570">
        <f t="shared" si="133"/>
        <v>1000000</v>
      </c>
      <c r="AS56" s="1199">
        <v>0</v>
      </c>
      <c r="AT56" s="402">
        <f t="shared" si="114"/>
        <v>0</v>
      </c>
      <c r="AU56" s="402">
        <f t="shared" si="115"/>
        <v>0</v>
      </c>
      <c r="AV56" s="402">
        <f t="shared" si="116"/>
        <v>0</v>
      </c>
      <c r="AW56" s="402">
        <f t="shared" si="117"/>
        <v>0</v>
      </c>
      <c r="AX56" s="402">
        <f t="shared" si="118"/>
        <v>0</v>
      </c>
      <c r="AY56" s="402">
        <f t="shared" si="119"/>
        <v>0</v>
      </c>
      <c r="AZ56" s="402">
        <f t="shared" si="120"/>
        <v>0</v>
      </c>
      <c r="BA56" s="402">
        <f t="shared" si="121"/>
        <v>0</v>
      </c>
      <c r="BB56" s="402">
        <f t="shared" si="122"/>
        <v>0</v>
      </c>
      <c r="BC56" s="1213">
        <f t="shared" si="123"/>
        <v>0</v>
      </c>
      <c r="BD56" s="1213">
        <f t="shared" si="124"/>
        <v>1000000</v>
      </c>
      <c r="BE56" s="1188">
        <f t="shared" si="125"/>
        <v>0</v>
      </c>
      <c r="BF56" s="1188">
        <f t="shared" si="104"/>
        <v>0</v>
      </c>
      <c r="BG56" s="1188">
        <f t="shared" si="104"/>
        <v>0</v>
      </c>
      <c r="BH56" s="1584">
        <f t="shared" si="104"/>
        <v>0</v>
      </c>
      <c r="BI56" s="1188">
        <f t="shared" si="104"/>
        <v>0</v>
      </c>
      <c r="BJ56" s="1188">
        <f t="shared" si="104"/>
        <v>0</v>
      </c>
      <c r="BK56" s="403">
        <f t="shared" si="21"/>
        <v>1000000</v>
      </c>
      <c r="BL56" s="402"/>
      <c r="BM56" s="402"/>
      <c r="BN56" s="402"/>
      <c r="BO56" s="1199"/>
      <c r="BP56" s="402"/>
      <c r="BQ56" s="402"/>
      <c r="BR56" s="402"/>
      <c r="BS56" s="402"/>
      <c r="BT56" s="402"/>
      <c r="BU56" s="402"/>
      <c r="BV56" s="1213"/>
      <c r="BW56" s="1188"/>
      <c r="BX56" s="344">
        <f t="shared" si="134"/>
        <v>0</v>
      </c>
      <c r="BY56" s="983">
        <f t="shared" si="111"/>
        <v>0</v>
      </c>
      <c r="BZ56" s="274">
        <f t="shared" si="106"/>
        <v>1000000</v>
      </c>
      <c r="CA56" s="275">
        <f t="shared" si="112"/>
        <v>0</v>
      </c>
      <c r="CB56" s="571">
        <f t="shared" si="108"/>
        <v>1</v>
      </c>
      <c r="CC56" s="1081"/>
      <c r="CD56" s="1081"/>
      <c r="CE56" s="1083"/>
      <c r="CF56" s="1084"/>
      <c r="CG56" s="862"/>
      <c r="CH56" s="862"/>
      <c r="CI56" s="862"/>
      <c r="CJ56" s="862"/>
      <c r="CK56" s="862"/>
      <c r="CL56" s="862"/>
      <c r="CM56" s="862"/>
      <c r="CN56" s="862"/>
      <c r="CO56" s="862"/>
      <c r="CP56" s="862"/>
      <c r="CQ56" s="1128"/>
      <c r="CR56" s="862"/>
      <c r="CS56" s="1128"/>
      <c r="CT56" s="862"/>
      <c r="CU56" s="862"/>
      <c r="CV56" s="862"/>
      <c r="CW56" s="862"/>
      <c r="CX56" s="862"/>
      <c r="CY56" s="73">
        <f t="shared" si="92"/>
        <v>0</v>
      </c>
      <c r="CZ56" s="862"/>
      <c r="DA56" s="862"/>
      <c r="DB56" s="862"/>
      <c r="DC56" s="862"/>
      <c r="DD56" s="862"/>
      <c r="DE56" s="862"/>
      <c r="DF56" s="862"/>
      <c r="DG56" s="862"/>
      <c r="DH56" s="1081"/>
      <c r="DI56" s="862"/>
      <c r="DJ56" s="862"/>
      <c r="DK56" s="862"/>
      <c r="DL56" s="862"/>
      <c r="DM56" s="862"/>
      <c r="DN56" s="862"/>
      <c r="DO56" s="862"/>
      <c r="DP56" s="862"/>
      <c r="DQ56" s="862"/>
      <c r="DR56" s="73">
        <f t="shared" si="93"/>
        <v>0</v>
      </c>
      <c r="DS56" s="412"/>
      <c r="DT56" s="412"/>
      <c r="DU56" s="420"/>
      <c r="DV56" s="412"/>
      <c r="DW56" s="412"/>
      <c r="DX56" s="412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</row>
    <row r="57" spans="1:139" s="278" customFormat="1" ht="32.25" customHeight="1" x14ac:dyDescent="0.2">
      <c r="A57" s="786">
        <f t="shared" si="27"/>
        <v>45</v>
      </c>
      <c r="B57" s="460" t="s">
        <v>666</v>
      </c>
      <c r="C57" s="281" t="s">
        <v>25</v>
      </c>
      <c r="D57" s="573">
        <v>1</v>
      </c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342"/>
      <c r="P57" s="1207"/>
      <c r="Q57" s="1207">
        <v>1</v>
      </c>
      <c r="R57" s="1207"/>
      <c r="S57" s="464"/>
      <c r="T57" s="1299"/>
      <c r="U57" s="1184"/>
      <c r="V57" s="1184"/>
      <c r="W57" s="840">
        <f t="shared" si="19"/>
        <v>1</v>
      </c>
      <c r="X57" s="1024" t="s">
        <v>50</v>
      </c>
      <c r="Y57" s="898">
        <v>1000000</v>
      </c>
      <c r="Z57" s="1017">
        <v>0</v>
      </c>
      <c r="AA57" s="1017"/>
      <c r="AB57" s="1017"/>
      <c r="AC57" s="569"/>
      <c r="AD57" s="569"/>
      <c r="AE57" s="569"/>
      <c r="AF57" s="569"/>
      <c r="AG57" s="569"/>
      <c r="AH57" s="569"/>
      <c r="AI57" s="569"/>
      <c r="AJ57" s="569"/>
      <c r="AK57" s="1234"/>
      <c r="AL57" s="1234">
        <v>1000000</v>
      </c>
      <c r="AM57" s="1234"/>
      <c r="AN57" s="1186"/>
      <c r="AO57" s="1505"/>
      <c r="AP57" s="1186"/>
      <c r="AQ57" s="1186"/>
      <c r="AR57" s="570">
        <f t="shared" si="133"/>
        <v>1000000</v>
      </c>
      <c r="AS57" s="1199">
        <v>0</v>
      </c>
      <c r="AT57" s="402">
        <f t="shared" si="114"/>
        <v>0</v>
      </c>
      <c r="AU57" s="402">
        <f t="shared" si="115"/>
        <v>0</v>
      </c>
      <c r="AV57" s="402">
        <f t="shared" si="116"/>
        <v>0</v>
      </c>
      <c r="AW57" s="402">
        <f t="shared" si="117"/>
        <v>0</v>
      </c>
      <c r="AX57" s="402">
        <f t="shared" si="118"/>
        <v>0</v>
      </c>
      <c r="AY57" s="402">
        <f t="shared" si="119"/>
        <v>0</v>
      </c>
      <c r="AZ57" s="402">
        <f t="shared" si="120"/>
        <v>0</v>
      </c>
      <c r="BA57" s="402">
        <f t="shared" si="121"/>
        <v>0</v>
      </c>
      <c r="BB57" s="402">
        <f t="shared" si="122"/>
        <v>0</v>
      </c>
      <c r="BC57" s="1213">
        <f t="shared" si="123"/>
        <v>0</v>
      </c>
      <c r="BD57" s="1213">
        <f t="shared" si="124"/>
        <v>0</v>
      </c>
      <c r="BE57" s="1188">
        <f t="shared" si="125"/>
        <v>1000000</v>
      </c>
      <c r="BF57" s="1188">
        <f t="shared" si="104"/>
        <v>0</v>
      </c>
      <c r="BG57" s="1188">
        <f t="shared" si="104"/>
        <v>0</v>
      </c>
      <c r="BH57" s="1584">
        <f t="shared" si="104"/>
        <v>0</v>
      </c>
      <c r="BI57" s="1188">
        <f t="shared" si="104"/>
        <v>0</v>
      </c>
      <c r="BJ57" s="1188">
        <f t="shared" si="104"/>
        <v>0</v>
      </c>
      <c r="BK57" s="403">
        <f t="shared" si="21"/>
        <v>1000000</v>
      </c>
      <c r="BL57" s="402"/>
      <c r="BM57" s="402"/>
      <c r="BN57" s="402"/>
      <c r="BO57" s="1199"/>
      <c r="BP57" s="402"/>
      <c r="BQ57" s="402"/>
      <c r="BR57" s="402"/>
      <c r="BS57" s="402"/>
      <c r="BT57" s="402"/>
      <c r="BU57" s="402"/>
      <c r="BV57" s="1213"/>
      <c r="BW57" s="1188"/>
      <c r="BX57" s="344">
        <f t="shared" si="134"/>
        <v>0</v>
      </c>
      <c r="BY57" s="983">
        <f t="shared" si="111"/>
        <v>0</v>
      </c>
      <c r="BZ57" s="274">
        <f t="shared" si="106"/>
        <v>1000000</v>
      </c>
      <c r="CA57" s="275">
        <f t="shared" si="112"/>
        <v>0</v>
      </c>
      <c r="CB57" s="571">
        <f t="shared" si="108"/>
        <v>1</v>
      </c>
      <c r="CC57" s="1081"/>
      <c r="CD57" s="1081"/>
      <c r="CE57" s="1083"/>
      <c r="CF57" s="1084"/>
      <c r="CG57" s="862"/>
      <c r="CH57" s="862"/>
      <c r="CI57" s="862"/>
      <c r="CJ57" s="862"/>
      <c r="CK57" s="862"/>
      <c r="CL57" s="862"/>
      <c r="CM57" s="862"/>
      <c r="CN57" s="862"/>
      <c r="CO57" s="862"/>
      <c r="CP57" s="862"/>
      <c r="CQ57" s="1128"/>
      <c r="CR57" s="862"/>
      <c r="CS57" s="1128"/>
      <c r="CT57" s="862"/>
      <c r="CU57" s="862"/>
      <c r="CV57" s="862"/>
      <c r="CW57" s="862"/>
      <c r="CX57" s="862"/>
      <c r="CY57" s="73">
        <f t="shared" si="92"/>
        <v>0</v>
      </c>
      <c r="CZ57" s="862"/>
      <c r="DA57" s="862"/>
      <c r="DB57" s="862"/>
      <c r="DC57" s="862"/>
      <c r="DD57" s="862"/>
      <c r="DE57" s="862"/>
      <c r="DF57" s="862"/>
      <c r="DG57" s="862"/>
      <c r="DH57" s="1081"/>
      <c r="DI57" s="862"/>
      <c r="DJ57" s="862"/>
      <c r="DK57" s="862"/>
      <c r="DL57" s="862"/>
      <c r="DM57" s="862"/>
      <c r="DN57" s="862"/>
      <c r="DO57" s="862"/>
      <c r="DP57" s="862"/>
      <c r="DQ57" s="862"/>
      <c r="DR57" s="73">
        <f t="shared" si="93"/>
        <v>0</v>
      </c>
      <c r="DS57" s="412"/>
      <c r="DT57" s="412"/>
      <c r="DU57" s="420"/>
      <c r="DV57" s="412"/>
      <c r="DW57" s="412"/>
      <c r="DX57" s="412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</row>
    <row r="58" spans="1:139" s="278" customFormat="1" ht="32.25" customHeight="1" x14ac:dyDescent="0.2">
      <c r="A58" s="786">
        <f t="shared" si="27"/>
        <v>46</v>
      </c>
      <c r="B58" s="460" t="s">
        <v>667</v>
      </c>
      <c r="C58" s="281" t="s">
        <v>25</v>
      </c>
      <c r="D58" s="573">
        <v>1</v>
      </c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342"/>
      <c r="P58" s="1207"/>
      <c r="Q58" s="1207"/>
      <c r="R58" s="1207">
        <v>1</v>
      </c>
      <c r="S58" s="464"/>
      <c r="T58" s="1299"/>
      <c r="U58" s="1184"/>
      <c r="V58" s="1184"/>
      <c r="W58" s="840">
        <f t="shared" si="19"/>
        <v>1</v>
      </c>
      <c r="X58" s="1024" t="s">
        <v>50</v>
      </c>
      <c r="Y58" s="898">
        <v>1000000</v>
      </c>
      <c r="Z58" s="1017">
        <v>0</v>
      </c>
      <c r="AA58" s="1017"/>
      <c r="AB58" s="1017"/>
      <c r="AC58" s="569"/>
      <c r="AD58" s="569"/>
      <c r="AE58" s="569"/>
      <c r="AF58" s="569"/>
      <c r="AG58" s="569"/>
      <c r="AH58" s="569"/>
      <c r="AI58" s="569"/>
      <c r="AJ58" s="569"/>
      <c r="AK58" s="1234"/>
      <c r="AL58" s="1234"/>
      <c r="AM58" s="1234">
        <v>1000000</v>
      </c>
      <c r="AN58" s="1186"/>
      <c r="AO58" s="1505"/>
      <c r="AP58" s="1186"/>
      <c r="AQ58" s="1186"/>
      <c r="AR58" s="570">
        <f t="shared" si="133"/>
        <v>1000000</v>
      </c>
      <c r="AS58" s="1199">
        <v>0</v>
      </c>
      <c r="AT58" s="402">
        <f t="shared" si="114"/>
        <v>0</v>
      </c>
      <c r="AU58" s="402">
        <f t="shared" si="115"/>
        <v>0</v>
      </c>
      <c r="AV58" s="402">
        <f t="shared" si="116"/>
        <v>0</v>
      </c>
      <c r="AW58" s="402">
        <f t="shared" si="117"/>
        <v>0</v>
      </c>
      <c r="AX58" s="402">
        <f t="shared" si="118"/>
        <v>0</v>
      </c>
      <c r="AY58" s="402">
        <f t="shared" si="119"/>
        <v>0</v>
      </c>
      <c r="AZ58" s="402">
        <f t="shared" si="120"/>
        <v>0</v>
      </c>
      <c r="BA58" s="402">
        <f t="shared" si="121"/>
        <v>0</v>
      </c>
      <c r="BB58" s="402">
        <f t="shared" si="122"/>
        <v>0</v>
      </c>
      <c r="BC58" s="1213">
        <f t="shared" si="123"/>
        <v>0</v>
      </c>
      <c r="BD58" s="1213">
        <f t="shared" si="124"/>
        <v>0</v>
      </c>
      <c r="BE58" s="1188">
        <f t="shared" si="125"/>
        <v>0</v>
      </c>
      <c r="BF58" s="1188">
        <f t="shared" si="104"/>
        <v>1000000</v>
      </c>
      <c r="BG58" s="1188">
        <f t="shared" si="104"/>
        <v>0</v>
      </c>
      <c r="BH58" s="1584">
        <f t="shared" si="104"/>
        <v>0</v>
      </c>
      <c r="BI58" s="1188">
        <f t="shared" si="104"/>
        <v>0</v>
      </c>
      <c r="BJ58" s="1188">
        <f t="shared" si="104"/>
        <v>0</v>
      </c>
      <c r="BK58" s="403">
        <f t="shared" si="21"/>
        <v>1000000</v>
      </c>
      <c r="BL58" s="402"/>
      <c r="BM58" s="402"/>
      <c r="BN58" s="402"/>
      <c r="BO58" s="1199"/>
      <c r="BP58" s="402"/>
      <c r="BQ58" s="402"/>
      <c r="BR58" s="402"/>
      <c r="BS58" s="402"/>
      <c r="BT58" s="402"/>
      <c r="BU58" s="402"/>
      <c r="BV58" s="1213"/>
      <c r="BW58" s="1188"/>
      <c r="BX58" s="344">
        <f t="shared" si="134"/>
        <v>0</v>
      </c>
      <c r="BY58" s="983">
        <f t="shared" si="111"/>
        <v>0</v>
      </c>
      <c r="BZ58" s="274">
        <f t="shared" si="106"/>
        <v>1000000</v>
      </c>
      <c r="CA58" s="275">
        <f t="shared" si="112"/>
        <v>0</v>
      </c>
      <c r="CB58" s="571">
        <f t="shared" si="108"/>
        <v>1</v>
      </c>
      <c r="CC58" s="1081"/>
      <c r="CD58" s="1081"/>
      <c r="CE58" s="1083"/>
      <c r="CF58" s="1084"/>
      <c r="CG58" s="862"/>
      <c r="CH58" s="862"/>
      <c r="CI58" s="862"/>
      <c r="CJ58" s="862"/>
      <c r="CK58" s="862"/>
      <c r="CL58" s="862"/>
      <c r="CM58" s="862"/>
      <c r="CN58" s="862"/>
      <c r="CO58" s="862"/>
      <c r="CP58" s="862"/>
      <c r="CQ58" s="1128"/>
      <c r="CR58" s="862"/>
      <c r="CS58" s="1128"/>
      <c r="CT58" s="862"/>
      <c r="CU58" s="862"/>
      <c r="CV58" s="862"/>
      <c r="CW58" s="862"/>
      <c r="CX58" s="862"/>
      <c r="CY58" s="73">
        <f t="shared" si="92"/>
        <v>0</v>
      </c>
      <c r="CZ58" s="862"/>
      <c r="DA58" s="862"/>
      <c r="DB58" s="862"/>
      <c r="DC58" s="862"/>
      <c r="DD58" s="862"/>
      <c r="DE58" s="862"/>
      <c r="DF58" s="862"/>
      <c r="DG58" s="862"/>
      <c r="DH58" s="1081"/>
      <c r="DI58" s="862"/>
      <c r="DJ58" s="862"/>
      <c r="DK58" s="862"/>
      <c r="DL58" s="862"/>
      <c r="DM58" s="862"/>
      <c r="DN58" s="862"/>
      <c r="DO58" s="862"/>
      <c r="DP58" s="862"/>
      <c r="DQ58" s="862"/>
      <c r="DR58" s="73">
        <f t="shared" si="93"/>
        <v>0</v>
      </c>
      <c r="DS58" s="412"/>
      <c r="DT58" s="412"/>
      <c r="DU58" s="420"/>
      <c r="DV58" s="412"/>
      <c r="DW58" s="412"/>
      <c r="DX58" s="412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</row>
    <row r="59" spans="1:139" s="278" customFormat="1" ht="32.25" customHeight="1" x14ac:dyDescent="0.2">
      <c r="A59" s="786">
        <f t="shared" si="27"/>
        <v>47</v>
      </c>
      <c r="B59" s="460" t="s">
        <v>668</v>
      </c>
      <c r="C59" s="281" t="s">
        <v>25</v>
      </c>
      <c r="D59" s="573">
        <v>1</v>
      </c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342"/>
      <c r="P59" s="1207"/>
      <c r="Q59" s="1207"/>
      <c r="R59" s="1207"/>
      <c r="S59" s="464">
        <v>1</v>
      </c>
      <c r="T59" s="1299"/>
      <c r="U59" s="1184"/>
      <c r="V59" s="1184"/>
      <c r="W59" s="840">
        <f t="shared" si="19"/>
        <v>1</v>
      </c>
      <c r="X59" s="1024" t="s">
        <v>50</v>
      </c>
      <c r="Y59" s="898">
        <v>1000000</v>
      </c>
      <c r="Z59" s="1017">
        <v>0</v>
      </c>
      <c r="AA59" s="1017"/>
      <c r="AB59" s="1017"/>
      <c r="AC59" s="569"/>
      <c r="AD59" s="569"/>
      <c r="AE59" s="569"/>
      <c r="AF59" s="569"/>
      <c r="AG59" s="569"/>
      <c r="AH59" s="569"/>
      <c r="AI59" s="569"/>
      <c r="AJ59" s="569"/>
      <c r="AK59" s="1234"/>
      <c r="AL59" s="1234"/>
      <c r="AM59" s="1234"/>
      <c r="AN59" s="1186">
        <v>1000000</v>
      </c>
      <c r="AO59" s="1505"/>
      <c r="AP59" s="1186"/>
      <c r="AQ59" s="1186"/>
      <c r="AR59" s="570">
        <f t="shared" si="133"/>
        <v>1000000</v>
      </c>
      <c r="AS59" s="1199">
        <v>0</v>
      </c>
      <c r="AT59" s="402">
        <f t="shared" si="114"/>
        <v>0</v>
      </c>
      <c r="AU59" s="402">
        <f t="shared" si="115"/>
        <v>0</v>
      </c>
      <c r="AV59" s="402">
        <f t="shared" si="116"/>
        <v>0</v>
      </c>
      <c r="AW59" s="402">
        <f t="shared" si="117"/>
        <v>0</v>
      </c>
      <c r="AX59" s="402">
        <f t="shared" si="118"/>
        <v>0</v>
      </c>
      <c r="AY59" s="402">
        <f t="shared" si="119"/>
        <v>0</v>
      </c>
      <c r="AZ59" s="402">
        <f t="shared" si="120"/>
        <v>0</v>
      </c>
      <c r="BA59" s="402">
        <f t="shared" si="121"/>
        <v>0</v>
      </c>
      <c r="BB59" s="402">
        <f t="shared" si="122"/>
        <v>0</v>
      </c>
      <c r="BC59" s="1213">
        <f t="shared" si="123"/>
        <v>0</v>
      </c>
      <c r="BD59" s="1213">
        <f t="shared" si="124"/>
        <v>0</v>
      </c>
      <c r="BE59" s="1188">
        <f t="shared" si="125"/>
        <v>0</v>
      </c>
      <c r="BF59" s="1188">
        <f t="shared" si="104"/>
        <v>0</v>
      </c>
      <c r="BG59" s="1188">
        <f t="shared" si="104"/>
        <v>1000000</v>
      </c>
      <c r="BH59" s="1584">
        <f t="shared" si="104"/>
        <v>0</v>
      </c>
      <c r="BI59" s="1188">
        <f t="shared" si="104"/>
        <v>0</v>
      </c>
      <c r="BJ59" s="1188">
        <f t="shared" si="104"/>
        <v>0</v>
      </c>
      <c r="BK59" s="403">
        <f t="shared" si="21"/>
        <v>1000000</v>
      </c>
      <c r="BL59" s="402"/>
      <c r="BM59" s="402"/>
      <c r="BN59" s="402"/>
      <c r="BO59" s="1199"/>
      <c r="BP59" s="402"/>
      <c r="BQ59" s="402"/>
      <c r="BR59" s="402"/>
      <c r="BS59" s="402"/>
      <c r="BT59" s="402"/>
      <c r="BU59" s="402"/>
      <c r="BV59" s="1213"/>
      <c r="BW59" s="1188"/>
      <c r="BX59" s="344">
        <f t="shared" si="134"/>
        <v>0</v>
      </c>
      <c r="BY59" s="983">
        <f t="shared" si="111"/>
        <v>0</v>
      </c>
      <c r="BZ59" s="274">
        <f t="shared" si="106"/>
        <v>1000000</v>
      </c>
      <c r="CA59" s="275">
        <f t="shared" si="112"/>
        <v>0</v>
      </c>
      <c r="CB59" s="571">
        <f t="shared" si="108"/>
        <v>1</v>
      </c>
      <c r="CC59" s="1081"/>
      <c r="CD59" s="1081"/>
      <c r="CE59" s="1083"/>
      <c r="CF59" s="1084"/>
      <c r="CG59" s="862"/>
      <c r="CH59" s="862"/>
      <c r="CI59" s="862"/>
      <c r="CJ59" s="862"/>
      <c r="CK59" s="862"/>
      <c r="CL59" s="862"/>
      <c r="CM59" s="862"/>
      <c r="CN59" s="862"/>
      <c r="CO59" s="862"/>
      <c r="CP59" s="862"/>
      <c r="CQ59" s="1128"/>
      <c r="CR59" s="862"/>
      <c r="CS59" s="1128"/>
      <c r="CT59" s="862"/>
      <c r="CU59" s="862"/>
      <c r="CV59" s="862"/>
      <c r="CW59" s="862"/>
      <c r="CX59" s="862"/>
      <c r="CY59" s="73">
        <f t="shared" si="92"/>
        <v>0</v>
      </c>
      <c r="CZ59" s="862"/>
      <c r="DA59" s="862"/>
      <c r="DB59" s="862"/>
      <c r="DC59" s="862"/>
      <c r="DD59" s="862"/>
      <c r="DE59" s="862"/>
      <c r="DF59" s="862"/>
      <c r="DG59" s="862"/>
      <c r="DH59" s="1081"/>
      <c r="DI59" s="862"/>
      <c r="DJ59" s="862"/>
      <c r="DK59" s="862"/>
      <c r="DL59" s="862"/>
      <c r="DM59" s="862"/>
      <c r="DN59" s="862"/>
      <c r="DO59" s="862"/>
      <c r="DP59" s="862"/>
      <c r="DQ59" s="862"/>
      <c r="DR59" s="73">
        <f t="shared" si="93"/>
        <v>0</v>
      </c>
      <c r="DS59" s="412"/>
      <c r="DT59" s="412"/>
      <c r="DU59" s="420"/>
      <c r="DV59" s="412"/>
      <c r="DW59" s="412"/>
      <c r="DX59" s="412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</row>
    <row r="60" spans="1:139" s="278" customFormat="1" ht="32.25" customHeight="1" x14ac:dyDescent="0.2">
      <c r="A60" s="786">
        <f t="shared" si="27"/>
        <v>48</v>
      </c>
      <c r="B60" s="460" t="s">
        <v>669</v>
      </c>
      <c r="C60" s="281" t="s">
        <v>25</v>
      </c>
      <c r="D60" s="573">
        <v>1</v>
      </c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342"/>
      <c r="P60" s="1207"/>
      <c r="Q60" s="1207"/>
      <c r="R60" s="1207"/>
      <c r="S60" s="464"/>
      <c r="T60" s="1299">
        <v>1</v>
      </c>
      <c r="U60" s="1184"/>
      <c r="V60" s="1184"/>
      <c r="W60" s="840">
        <f t="shared" si="19"/>
        <v>1</v>
      </c>
      <c r="X60" s="1024" t="s">
        <v>50</v>
      </c>
      <c r="Y60" s="898">
        <v>1000000</v>
      </c>
      <c r="Z60" s="1017">
        <v>0</v>
      </c>
      <c r="AA60" s="1017"/>
      <c r="AB60" s="1017"/>
      <c r="AC60" s="569"/>
      <c r="AD60" s="569"/>
      <c r="AE60" s="569"/>
      <c r="AF60" s="569"/>
      <c r="AG60" s="569"/>
      <c r="AH60" s="569"/>
      <c r="AI60" s="569"/>
      <c r="AJ60" s="569"/>
      <c r="AK60" s="1234"/>
      <c r="AL60" s="1234"/>
      <c r="AM60" s="1234"/>
      <c r="AN60" s="1186"/>
      <c r="AO60" s="1505">
        <v>1000000</v>
      </c>
      <c r="AP60" s="1186"/>
      <c r="AQ60" s="1186"/>
      <c r="AR60" s="570">
        <f t="shared" si="133"/>
        <v>1000000</v>
      </c>
      <c r="AS60" s="1199">
        <v>0</v>
      </c>
      <c r="AT60" s="402">
        <f t="shared" si="114"/>
        <v>0</v>
      </c>
      <c r="AU60" s="402">
        <f t="shared" si="115"/>
        <v>0</v>
      </c>
      <c r="AV60" s="402">
        <f t="shared" si="116"/>
        <v>0</v>
      </c>
      <c r="AW60" s="402">
        <f t="shared" si="117"/>
        <v>0</v>
      </c>
      <c r="AX60" s="402">
        <f t="shared" si="118"/>
        <v>0</v>
      </c>
      <c r="AY60" s="402">
        <f t="shared" si="119"/>
        <v>0</v>
      </c>
      <c r="AZ60" s="402">
        <f t="shared" si="120"/>
        <v>0</v>
      </c>
      <c r="BA60" s="402">
        <f t="shared" si="121"/>
        <v>0</v>
      </c>
      <c r="BB60" s="402">
        <f t="shared" si="122"/>
        <v>0</v>
      </c>
      <c r="BC60" s="1213">
        <f t="shared" si="123"/>
        <v>0</v>
      </c>
      <c r="BD60" s="1213">
        <f t="shared" si="124"/>
        <v>0</v>
      </c>
      <c r="BE60" s="1188">
        <f t="shared" si="125"/>
        <v>0</v>
      </c>
      <c r="BF60" s="1188">
        <f t="shared" si="104"/>
        <v>0</v>
      </c>
      <c r="BG60" s="1188">
        <f t="shared" si="104"/>
        <v>0</v>
      </c>
      <c r="BH60" s="1584">
        <f t="shared" si="104"/>
        <v>1000000</v>
      </c>
      <c r="BI60" s="1188">
        <f t="shared" si="104"/>
        <v>0</v>
      </c>
      <c r="BJ60" s="1188">
        <f t="shared" si="104"/>
        <v>0</v>
      </c>
      <c r="BK60" s="403">
        <f t="shared" si="21"/>
        <v>1000000</v>
      </c>
      <c r="BL60" s="402"/>
      <c r="BM60" s="402"/>
      <c r="BN60" s="402"/>
      <c r="BO60" s="1199"/>
      <c r="BP60" s="402"/>
      <c r="BQ60" s="402"/>
      <c r="BR60" s="402"/>
      <c r="BS60" s="402"/>
      <c r="BT60" s="402"/>
      <c r="BU60" s="402"/>
      <c r="BV60" s="1213"/>
      <c r="BW60" s="1188"/>
      <c r="BX60" s="344">
        <f t="shared" si="134"/>
        <v>0</v>
      </c>
      <c r="BY60" s="983">
        <f t="shared" si="111"/>
        <v>0</v>
      </c>
      <c r="BZ60" s="274">
        <f t="shared" si="106"/>
        <v>1000000</v>
      </c>
      <c r="CA60" s="275">
        <f t="shared" si="112"/>
        <v>0</v>
      </c>
      <c r="CB60" s="571">
        <f t="shared" si="108"/>
        <v>1</v>
      </c>
      <c r="CC60" s="1081"/>
      <c r="CD60" s="1081"/>
      <c r="CE60" s="1083"/>
      <c r="CF60" s="1084"/>
      <c r="CG60" s="862"/>
      <c r="CH60" s="862"/>
      <c r="CI60" s="862"/>
      <c r="CJ60" s="862"/>
      <c r="CK60" s="862"/>
      <c r="CL60" s="862"/>
      <c r="CM60" s="862"/>
      <c r="CN60" s="862"/>
      <c r="CO60" s="862"/>
      <c r="CP60" s="862"/>
      <c r="CQ60" s="1128"/>
      <c r="CR60" s="862"/>
      <c r="CS60" s="1128"/>
      <c r="CT60" s="862"/>
      <c r="CU60" s="862"/>
      <c r="CV60" s="862"/>
      <c r="CW60" s="862"/>
      <c r="CX60" s="862"/>
      <c r="CY60" s="73">
        <f t="shared" si="92"/>
        <v>0</v>
      </c>
      <c r="CZ60" s="862"/>
      <c r="DA60" s="862"/>
      <c r="DB60" s="862"/>
      <c r="DC60" s="862"/>
      <c r="DD60" s="862"/>
      <c r="DE60" s="862"/>
      <c r="DF60" s="862"/>
      <c r="DG60" s="862"/>
      <c r="DH60" s="1081"/>
      <c r="DI60" s="862"/>
      <c r="DJ60" s="862"/>
      <c r="DK60" s="862"/>
      <c r="DL60" s="862"/>
      <c r="DM60" s="862"/>
      <c r="DN60" s="862"/>
      <c r="DO60" s="862"/>
      <c r="DP60" s="862"/>
      <c r="DQ60" s="862"/>
      <c r="DR60" s="73">
        <f t="shared" si="93"/>
        <v>0</v>
      </c>
      <c r="DS60" s="412"/>
      <c r="DT60" s="412"/>
      <c r="DU60" s="420"/>
      <c r="DV60" s="412"/>
      <c r="DW60" s="412"/>
      <c r="DX60" s="412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</row>
    <row r="61" spans="1:139" s="278" customFormat="1" ht="24.75" customHeight="1" x14ac:dyDescent="0.2">
      <c r="A61" s="786"/>
      <c r="B61" s="894" t="s">
        <v>183</v>
      </c>
      <c r="C61" s="281"/>
      <c r="D61" s="573"/>
      <c r="E61" s="1016"/>
      <c r="F61" s="342"/>
      <c r="G61" s="270"/>
      <c r="H61" s="270"/>
      <c r="I61" s="342"/>
      <c r="J61" s="270"/>
      <c r="K61" s="342"/>
      <c r="L61" s="342"/>
      <c r="M61" s="342"/>
      <c r="N61" s="342"/>
      <c r="O61" s="342"/>
      <c r="P61" s="1207"/>
      <c r="Q61" s="1207"/>
      <c r="R61" s="1207"/>
      <c r="S61" s="464"/>
      <c r="T61" s="1299"/>
      <c r="U61" s="1184"/>
      <c r="V61" s="1184"/>
      <c r="W61" s="840">
        <f t="shared" si="19"/>
        <v>0</v>
      </c>
      <c r="X61" s="574"/>
      <c r="Y61" s="1020"/>
      <c r="Z61" s="1017"/>
      <c r="AA61" s="569"/>
      <c r="AB61" s="569"/>
      <c r="AC61" s="569"/>
      <c r="AD61" s="569"/>
      <c r="AE61" s="569"/>
      <c r="AF61" s="569"/>
      <c r="AG61" s="569"/>
      <c r="AH61" s="569"/>
      <c r="AI61" s="569"/>
      <c r="AJ61" s="569"/>
      <c r="AK61" s="1234"/>
      <c r="AL61" s="1234"/>
      <c r="AM61" s="1234"/>
      <c r="AN61" s="1186"/>
      <c r="AO61" s="1505"/>
      <c r="AP61" s="1186"/>
      <c r="AQ61" s="1186"/>
      <c r="AR61" s="570"/>
      <c r="AS61" s="1365"/>
      <c r="AT61" s="575"/>
      <c r="AU61" s="575"/>
      <c r="AV61" s="575"/>
      <c r="AW61" s="575"/>
      <c r="AX61" s="575"/>
      <c r="AY61" s="575"/>
      <c r="AZ61" s="575"/>
      <c r="BA61" s="575"/>
      <c r="BB61" s="575"/>
      <c r="BC61" s="1237"/>
      <c r="BD61" s="1237"/>
      <c r="BE61" s="1189"/>
      <c r="BF61" s="1189"/>
      <c r="BG61" s="1189"/>
      <c r="BH61" s="1585"/>
      <c r="BI61" s="1189"/>
      <c r="BJ61" s="1189"/>
      <c r="BK61" s="403">
        <f t="shared" si="21"/>
        <v>0</v>
      </c>
      <c r="BL61" s="402"/>
      <c r="BM61" s="575"/>
      <c r="BN61" s="575"/>
      <c r="BO61" s="1365"/>
      <c r="BP61" s="575"/>
      <c r="BQ61" s="575"/>
      <c r="BR61" s="575"/>
      <c r="BS61" s="575"/>
      <c r="BT61" s="575"/>
      <c r="BU61" s="575"/>
      <c r="BV61" s="1237"/>
      <c r="BW61" s="1189"/>
      <c r="BX61" s="344"/>
      <c r="BY61" s="983"/>
      <c r="BZ61" s="274"/>
      <c r="CA61" s="275"/>
      <c r="CB61" s="571"/>
      <c r="CC61" s="1081"/>
      <c r="CD61" s="1081"/>
      <c r="CE61" s="1083"/>
      <c r="CF61" s="1084"/>
      <c r="CG61" s="862"/>
      <c r="CH61" s="862"/>
      <c r="CI61" s="862"/>
      <c r="CJ61" s="862"/>
      <c r="CK61" s="862"/>
      <c r="CL61" s="862"/>
      <c r="CM61" s="862"/>
      <c r="CN61" s="862"/>
      <c r="CO61" s="862"/>
      <c r="CP61" s="862"/>
      <c r="CQ61" s="1128"/>
      <c r="CR61" s="862"/>
      <c r="CS61" s="1128"/>
      <c r="CT61" s="862"/>
      <c r="CU61" s="862"/>
      <c r="CV61" s="862"/>
      <c r="CW61" s="862"/>
      <c r="CX61" s="862"/>
      <c r="CY61" s="73">
        <f t="shared" si="92"/>
        <v>0</v>
      </c>
      <c r="CZ61" s="862"/>
      <c r="DA61" s="862"/>
      <c r="DB61" s="862"/>
      <c r="DC61" s="862"/>
      <c r="DD61" s="862"/>
      <c r="DE61" s="862"/>
      <c r="DF61" s="862"/>
      <c r="DG61" s="862"/>
      <c r="DH61" s="1081"/>
      <c r="DI61" s="862"/>
      <c r="DJ61" s="862"/>
      <c r="DK61" s="862"/>
      <c r="DL61" s="862"/>
      <c r="DM61" s="862"/>
      <c r="DN61" s="862"/>
      <c r="DO61" s="862"/>
      <c r="DP61" s="862"/>
      <c r="DQ61" s="862"/>
      <c r="DR61" s="73">
        <f t="shared" si="93"/>
        <v>0</v>
      </c>
      <c r="DS61" s="412"/>
      <c r="DT61" s="412"/>
      <c r="DU61" s="420"/>
      <c r="DV61" s="412"/>
      <c r="DW61" s="412"/>
      <c r="DX61" s="412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</row>
    <row r="62" spans="1:139" s="278" customFormat="1" ht="32.25" customHeight="1" x14ac:dyDescent="0.2">
      <c r="A62" s="786">
        <v>49</v>
      </c>
      <c r="B62" s="141" t="s">
        <v>181</v>
      </c>
      <c r="C62" s="281" t="s">
        <v>25</v>
      </c>
      <c r="D62" s="573">
        <v>12</v>
      </c>
      <c r="E62" s="573">
        <v>3</v>
      </c>
      <c r="F62" s="573"/>
      <c r="G62" s="573">
        <v>1</v>
      </c>
      <c r="H62" s="573"/>
      <c r="I62" s="573">
        <v>1</v>
      </c>
      <c r="J62" s="573"/>
      <c r="K62" s="573">
        <v>1</v>
      </c>
      <c r="L62" s="573"/>
      <c r="M62" s="573">
        <v>1</v>
      </c>
      <c r="N62" s="573"/>
      <c r="O62" s="342">
        <v>1</v>
      </c>
      <c r="P62" s="1207">
        <v>1</v>
      </c>
      <c r="Q62" s="1207"/>
      <c r="R62" s="1207">
        <v>1</v>
      </c>
      <c r="S62" s="464">
        <v>1</v>
      </c>
      <c r="T62" s="1297">
        <v>1</v>
      </c>
      <c r="U62" s="1184"/>
      <c r="V62" s="1184"/>
      <c r="W62" s="840">
        <f t="shared" si="19"/>
        <v>12</v>
      </c>
      <c r="X62" s="574" t="s">
        <v>107</v>
      </c>
      <c r="Y62" s="898">
        <v>100000</v>
      </c>
      <c r="Z62" s="898">
        <v>100000</v>
      </c>
      <c r="AA62" s="898">
        <v>100000</v>
      </c>
      <c r="AB62" s="898">
        <v>100000</v>
      </c>
      <c r="AC62" s="898">
        <v>100000</v>
      </c>
      <c r="AD62" s="898">
        <v>100000</v>
      </c>
      <c r="AE62" s="898"/>
      <c r="AF62" s="898">
        <v>100000</v>
      </c>
      <c r="AG62" s="898"/>
      <c r="AH62" s="898">
        <v>100000</v>
      </c>
      <c r="AI62" s="898"/>
      <c r="AJ62" s="898">
        <v>100000</v>
      </c>
      <c r="AK62" s="1236">
        <v>100000</v>
      </c>
      <c r="AL62" s="1236"/>
      <c r="AM62" s="1234">
        <v>100000</v>
      </c>
      <c r="AN62" s="1186">
        <v>100000</v>
      </c>
      <c r="AO62" s="1505">
        <v>100000</v>
      </c>
      <c r="AP62" s="1186"/>
      <c r="AQ62" s="1186"/>
      <c r="AR62" s="570">
        <f t="shared" si="20"/>
        <v>1200000</v>
      </c>
      <c r="AS62" s="1199">
        <f t="shared" ref="AS62:AS71" si="135">Z62*E62</f>
        <v>300000</v>
      </c>
      <c r="AT62" s="402">
        <f t="shared" ref="AT62:AT71" si="136">AA62*F62</f>
        <v>0</v>
      </c>
      <c r="AU62" s="402">
        <f t="shared" ref="AU62:AU71" si="137">AB62*G62</f>
        <v>100000</v>
      </c>
      <c r="AV62" s="402">
        <f t="shared" ref="AV62:AV71" si="138">AC62*H62</f>
        <v>0</v>
      </c>
      <c r="AW62" s="402">
        <f t="shared" ref="AW62:AW71" si="139">AD62*I62</f>
        <v>100000</v>
      </c>
      <c r="AX62" s="402">
        <f t="shared" ref="AX62:AX71" si="140">AE62*J62</f>
        <v>0</v>
      </c>
      <c r="AY62" s="402">
        <f t="shared" ref="AY62:AY71" si="141">AF62*K62</f>
        <v>100000</v>
      </c>
      <c r="AZ62" s="402">
        <f t="shared" ref="AZ62:AZ71" si="142">AG62*L62</f>
        <v>0</v>
      </c>
      <c r="BA62" s="402">
        <f t="shared" ref="BA62:BA71" si="143">AH62*M62</f>
        <v>100000</v>
      </c>
      <c r="BB62" s="402">
        <f t="shared" ref="BB62:BB71" si="144">AI62*N62</f>
        <v>0</v>
      </c>
      <c r="BC62" s="1213">
        <f t="shared" ref="BC62:BC71" si="145">AJ62*O62</f>
        <v>100000</v>
      </c>
      <c r="BD62" s="1213">
        <f t="shared" ref="BD62:BD71" si="146">AK62*P62</f>
        <v>100000</v>
      </c>
      <c r="BE62" s="1188">
        <f t="shared" ref="BE62:BE71" si="147">AL62*Q62</f>
        <v>0</v>
      </c>
      <c r="BF62" s="1188">
        <f t="shared" ref="BF62:BJ71" si="148">AM62*R62</f>
        <v>100000</v>
      </c>
      <c r="BG62" s="1188">
        <f t="shared" si="148"/>
        <v>100000</v>
      </c>
      <c r="BH62" s="1584">
        <f t="shared" si="148"/>
        <v>100000</v>
      </c>
      <c r="BI62" s="1188">
        <f t="shared" si="148"/>
        <v>0</v>
      </c>
      <c r="BJ62" s="1188">
        <f t="shared" si="148"/>
        <v>0</v>
      </c>
      <c r="BK62" s="403">
        <f t="shared" si="21"/>
        <v>1200000</v>
      </c>
      <c r="BL62" s="402"/>
      <c r="BM62" s="402"/>
      <c r="BN62" s="402"/>
      <c r="BO62" s="1199"/>
      <c r="BP62" s="402"/>
      <c r="BQ62" s="402"/>
      <c r="BR62" s="402"/>
      <c r="BS62" s="402"/>
      <c r="BT62" s="402"/>
      <c r="BU62" s="402"/>
      <c r="BV62" s="1213"/>
      <c r="BW62" s="1188"/>
      <c r="BX62" s="344">
        <f t="shared" si="25"/>
        <v>0</v>
      </c>
      <c r="BY62" s="983">
        <f t="shared" si="111"/>
        <v>0</v>
      </c>
      <c r="BZ62" s="274">
        <f t="shared" ref="BZ62:BZ71" si="149">Y62*D62</f>
        <v>1200000</v>
      </c>
      <c r="CA62" s="275">
        <f t="shared" si="112"/>
        <v>0</v>
      </c>
      <c r="CB62" s="571">
        <f t="shared" ref="CB62:CB71" si="150">SUM(W62/D62)</f>
        <v>1</v>
      </c>
      <c r="CC62" s="1081"/>
      <c r="CD62" s="1081"/>
      <c r="CE62" s="1083"/>
      <c r="CF62" s="1084"/>
      <c r="CG62" s="862"/>
      <c r="CH62" s="862"/>
      <c r="CI62" s="862"/>
      <c r="CJ62" s="862"/>
      <c r="CK62" s="862"/>
      <c r="CL62" s="862"/>
      <c r="CM62" s="862"/>
      <c r="CN62" s="862"/>
      <c r="CO62" s="862"/>
      <c r="CP62" s="862"/>
      <c r="CQ62" s="1128"/>
      <c r="CR62" s="862"/>
      <c r="CS62" s="1128"/>
      <c r="CT62" s="862"/>
      <c r="CU62" s="862"/>
      <c r="CV62" s="862"/>
      <c r="CW62" s="862"/>
      <c r="CX62" s="862"/>
      <c r="CY62" s="73">
        <f t="shared" si="92"/>
        <v>0</v>
      </c>
      <c r="CZ62" s="862"/>
      <c r="DA62" s="862"/>
      <c r="DB62" s="862"/>
      <c r="DC62" s="862"/>
      <c r="DD62" s="862"/>
      <c r="DE62" s="862"/>
      <c r="DF62" s="862"/>
      <c r="DG62" s="862"/>
      <c r="DH62" s="1081"/>
      <c r="DI62" s="862"/>
      <c r="DJ62" s="862"/>
      <c r="DK62" s="862"/>
      <c r="DL62" s="862"/>
      <c r="DM62" s="862"/>
      <c r="DN62" s="862"/>
      <c r="DO62" s="862"/>
      <c r="DP62" s="862"/>
      <c r="DQ62" s="862"/>
      <c r="DR62" s="73">
        <f t="shared" si="93"/>
        <v>0</v>
      </c>
      <c r="DS62" s="412"/>
      <c r="DT62" s="412"/>
      <c r="DU62" s="420"/>
      <c r="DV62" s="412"/>
      <c r="DW62" s="412"/>
      <c r="DX62" s="412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</row>
    <row r="63" spans="1:139" s="278" customFormat="1" ht="24.75" customHeight="1" x14ac:dyDescent="0.2">
      <c r="A63" s="786">
        <f t="shared" si="27"/>
        <v>50</v>
      </c>
      <c r="B63" s="141" t="s">
        <v>353</v>
      </c>
      <c r="C63" s="281" t="s">
        <v>25</v>
      </c>
      <c r="D63" s="573">
        <v>12</v>
      </c>
      <c r="E63" s="573">
        <v>3</v>
      </c>
      <c r="F63" s="573"/>
      <c r="G63" s="573">
        <v>1</v>
      </c>
      <c r="H63" s="573"/>
      <c r="I63" s="573">
        <v>1</v>
      </c>
      <c r="J63" s="573"/>
      <c r="K63" s="573">
        <v>1</v>
      </c>
      <c r="L63" s="573"/>
      <c r="M63" s="573">
        <v>1</v>
      </c>
      <c r="N63" s="573"/>
      <c r="O63" s="342">
        <v>1</v>
      </c>
      <c r="P63" s="1207">
        <v>1</v>
      </c>
      <c r="Q63" s="1207"/>
      <c r="R63" s="1207">
        <v>1</v>
      </c>
      <c r="S63" s="464">
        <v>1</v>
      </c>
      <c r="T63" s="1297">
        <v>1</v>
      </c>
      <c r="U63" s="1184"/>
      <c r="V63" s="1184"/>
      <c r="W63" s="840">
        <f t="shared" si="19"/>
        <v>12</v>
      </c>
      <c r="X63" s="574" t="s">
        <v>107</v>
      </c>
      <c r="Y63" s="898">
        <v>100000</v>
      </c>
      <c r="Z63" s="898">
        <v>100000</v>
      </c>
      <c r="AA63" s="898">
        <v>100000</v>
      </c>
      <c r="AB63" s="898">
        <v>100000</v>
      </c>
      <c r="AC63" s="898">
        <v>100000</v>
      </c>
      <c r="AD63" s="898">
        <v>100000</v>
      </c>
      <c r="AE63" s="898"/>
      <c r="AF63" s="898">
        <v>100000</v>
      </c>
      <c r="AG63" s="898"/>
      <c r="AH63" s="898">
        <v>100000</v>
      </c>
      <c r="AI63" s="898"/>
      <c r="AJ63" s="898">
        <v>100000</v>
      </c>
      <c r="AK63" s="1236">
        <v>100000</v>
      </c>
      <c r="AL63" s="1236"/>
      <c r="AM63" s="1234">
        <v>100000</v>
      </c>
      <c r="AN63" s="1186">
        <v>100000</v>
      </c>
      <c r="AO63" s="1505">
        <v>100000</v>
      </c>
      <c r="AP63" s="1186"/>
      <c r="AQ63" s="1186"/>
      <c r="AR63" s="570">
        <f t="shared" si="20"/>
        <v>1200000</v>
      </c>
      <c r="AS63" s="1199">
        <f t="shared" si="135"/>
        <v>300000</v>
      </c>
      <c r="AT63" s="402">
        <f t="shared" si="136"/>
        <v>0</v>
      </c>
      <c r="AU63" s="402">
        <f t="shared" si="137"/>
        <v>100000</v>
      </c>
      <c r="AV63" s="402">
        <f t="shared" si="138"/>
        <v>0</v>
      </c>
      <c r="AW63" s="402">
        <f t="shared" si="139"/>
        <v>100000</v>
      </c>
      <c r="AX63" s="402">
        <f t="shared" si="140"/>
        <v>0</v>
      </c>
      <c r="AY63" s="402">
        <f t="shared" si="141"/>
        <v>100000</v>
      </c>
      <c r="AZ63" s="402">
        <f t="shared" si="142"/>
        <v>0</v>
      </c>
      <c r="BA63" s="402">
        <f t="shared" si="143"/>
        <v>100000</v>
      </c>
      <c r="BB63" s="402">
        <f t="shared" si="144"/>
        <v>0</v>
      </c>
      <c r="BC63" s="1213">
        <f t="shared" si="145"/>
        <v>100000</v>
      </c>
      <c r="BD63" s="1213">
        <f t="shared" si="146"/>
        <v>100000</v>
      </c>
      <c r="BE63" s="1188">
        <f t="shared" si="147"/>
        <v>0</v>
      </c>
      <c r="BF63" s="1188">
        <f t="shared" si="148"/>
        <v>100000</v>
      </c>
      <c r="BG63" s="1188">
        <f t="shared" si="148"/>
        <v>100000</v>
      </c>
      <c r="BH63" s="1584">
        <f t="shared" si="148"/>
        <v>100000</v>
      </c>
      <c r="BI63" s="1188">
        <f t="shared" si="148"/>
        <v>0</v>
      </c>
      <c r="BJ63" s="1188">
        <f t="shared" si="148"/>
        <v>0</v>
      </c>
      <c r="BK63" s="403">
        <f t="shared" si="21"/>
        <v>1200000</v>
      </c>
      <c r="BL63" s="402"/>
      <c r="BM63" s="402"/>
      <c r="BN63" s="402"/>
      <c r="BO63" s="1199"/>
      <c r="BP63" s="402"/>
      <c r="BQ63" s="402"/>
      <c r="BR63" s="402"/>
      <c r="BS63" s="402"/>
      <c r="BT63" s="402"/>
      <c r="BU63" s="402"/>
      <c r="BV63" s="1213"/>
      <c r="BW63" s="1188"/>
      <c r="BX63" s="344">
        <f t="shared" si="25"/>
        <v>0</v>
      </c>
      <c r="BY63" s="983">
        <f t="shared" si="111"/>
        <v>0</v>
      </c>
      <c r="BZ63" s="274">
        <f t="shared" si="149"/>
        <v>1200000</v>
      </c>
      <c r="CA63" s="275">
        <f t="shared" si="112"/>
        <v>0</v>
      </c>
      <c r="CB63" s="571">
        <f t="shared" si="150"/>
        <v>1</v>
      </c>
      <c r="CC63" s="1081"/>
      <c r="CD63" s="1081"/>
      <c r="CE63" s="1083"/>
      <c r="CF63" s="1084"/>
      <c r="CG63" s="862"/>
      <c r="CH63" s="862"/>
      <c r="CI63" s="862"/>
      <c r="CJ63" s="862"/>
      <c r="CK63" s="862"/>
      <c r="CL63" s="862"/>
      <c r="CM63" s="862"/>
      <c r="CN63" s="862"/>
      <c r="CO63" s="862"/>
      <c r="CP63" s="862"/>
      <c r="CQ63" s="1128"/>
      <c r="CR63" s="862"/>
      <c r="CS63" s="1128"/>
      <c r="CT63" s="862"/>
      <c r="CU63" s="862"/>
      <c r="CV63" s="862"/>
      <c r="CW63" s="862"/>
      <c r="CX63" s="862"/>
      <c r="CY63" s="73">
        <f t="shared" si="92"/>
        <v>0</v>
      </c>
      <c r="CZ63" s="862"/>
      <c r="DA63" s="862"/>
      <c r="DB63" s="862"/>
      <c r="DC63" s="862"/>
      <c r="DD63" s="862"/>
      <c r="DE63" s="862"/>
      <c r="DF63" s="862"/>
      <c r="DG63" s="862"/>
      <c r="DH63" s="1081"/>
      <c r="DI63" s="862"/>
      <c r="DJ63" s="862"/>
      <c r="DK63" s="862"/>
      <c r="DL63" s="862"/>
      <c r="DM63" s="862"/>
      <c r="DN63" s="862"/>
      <c r="DO63" s="862"/>
      <c r="DP63" s="862"/>
      <c r="DQ63" s="862"/>
      <c r="DR63" s="73">
        <f t="shared" si="93"/>
        <v>0</v>
      </c>
      <c r="DS63" s="412"/>
      <c r="DT63" s="412"/>
      <c r="DU63" s="420"/>
      <c r="DV63" s="412"/>
      <c r="DW63" s="412"/>
      <c r="DX63" s="412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</row>
    <row r="64" spans="1:139" s="278" customFormat="1" ht="32.25" customHeight="1" x14ac:dyDescent="0.2">
      <c r="A64" s="786">
        <f t="shared" si="27"/>
        <v>51</v>
      </c>
      <c r="B64" s="141" t="s">
        <v>354</v>
      </c>
      <c r="C64" s="281" t="s">
        <v>25</v>
      </c>
      <c r="D64" s="573">
        <v>12</v>
      </c>
      <c r="E64" s="573">
        <v>3</v>
      </c>
      <c r="F64" s="573"/>
      <c r="G64" s="573">
        <v>1</v>
      </c>
      <c r="H64" s="573"/>
      <c r="I64" s="573">
        <v>1</v>
      </c>
      <c r="J64" s="573"/>
      <c r="K64" s="573">
        <v>1</v>
      </c>
      <c r="L64" s="573"/>
      <c r="M64" s="573">
        <v>1</v>
      </c>
      <c r="N64" s="573"/>
      <c r="O64" s="342">
        <v>1</v>
      </c>
      <c r="P64" s="1207">
        <v>1</v>
      </c>
      <c r="Q64" s="1207"/>
      <c r="R64" s="1207">
        <v>1</v>
      </c>
      <c r="S64" s="464">
        <v>1</v>
      </c>
      <c r="T64" s="1297">
        <v>1</v>
      </c>
      <c r="U64" s="1184"/>
      <c r="V64" s="1184"/>
      <c r="W64" s="840">
        <f t="shared" si="19"/>
        <v>12</v>
      </c>
      <c r="X64" s="574" t="s">
        <v>107</v>
      </c>
      <c r="Y64" s="898">
        <v>100000</v>
      </c>
      <c r="Z64" s="898">
        <v>100000</v>
      </c>
      <c r="AA64" s="898">
        <v>100000</v>
      </c>
      <c r="AB64" s="898">
        <v>100000</v>
      </c>
      <c r="AC64" s="898">
        <v>100000</v>
      </c>
      <c r="AD64" s="898">
        <v>100000</v>
      </c>
      <c r="AE64" s="898"/>
      <c r="AF64" s="898">
        <v>100000</v>
      </c>
      <c r="AG64" s="898"/>
      <c r="AH64" s="898">
        <v>100000</v>
      </c>
      <c r="AI64" s="898"/>
      <c r="AJ64" s="898">
        <v>100000</v>
      </c>
      <c r="AK64" s="1236">
        <v>100000</v>
      </c>
      <c r="AL64" s="1236"/>
      <c r="AM64" s="1234">
        <v>100000</v>
      </c>
      <c r="AN64" s="1186">
        <v>100000</v>
      </c>
      <c r="AO64" s="1505">
        <v>100000</v>
      </c>
      <c r="AP64" s="1186"/>
      <c r="AQ64" s="1186"/>
      <c r="AR64" s="570">
        <f t="shared" si="20"/>
        <v>1200000</v>
      </c>
      <c r="AS64" s="1199">
        <f t="shared" si="135"/>
        <v>300000</v>
      </c>
      <c r="AT64" s="402">
        <f t="shared" si="136"/>
        <v>0</v>
      </c>
      <c r="AU64" s="402">
        <f t="shared" si="137"/>
        <v>100000</v>
      </c>
      <c r="AV64" s="402">
        <f t="shared" si="138"/>
        <v>0</v>
      </c>
      <c r="AW64" s="402">
        <f t="shared" si="139"/>
        <v>100000</v>
      </c>
      <c r="AX64" s="402">
        <f t="shared" si="140"/>
        <v>0</v>
      </c>
      <c r="AY64" s="402">
        <f t="shared" si="141"/>
        <v>100000</v>
      </c>
      <c r="AZ64" s="402">
        <f t="shared" si="142"/>
        <v>0</v>
      </c>
      <c r="BA64" s="402">
        <f t="shared" si="143"/>
        <v>100000</v>
      </c>
      <c r="BB64" s="402">
        <f t="shared" si="144"/>
        <v>0</v>
      </c>
      <c r="BC64" s="1213">
        <f t="shared" si="145"/>
        <v>100000</v>
      </c>
      <c r="BD64" s="1213">
        <f t="shared" si="146"/>
        <v>100000</v>
      </c>
      <c r="BE64" s="1188">
        <f t="shared" si="147"/>
        <v>0</v>
      </c>
      <c r="BF64" s="1188">
        <f t="shared" si="148"/>
        <v>100000</v>
      </c>
      <c r="BG64" s="1188">
        <f t="shared" si="148"/>
        <v>100000</v>
      </c>
      <c r="BH64" s="1584">
        <f t="shared" si="148"/>
        <v>100000</v>
      </c>
      <c r="BI64" s="1188">
        <f t="shared" si="148"/>
        <v>0</v>
      </c>
      <c r="BJ64" s="1188">
        <f t="shared" si="148"/>
        <v>0</v>
      </c>
      <c r="BK64" s="403">
        <f t="shared" si="21"/>
        <v>1200000</v>
      </c>
      <c r="BL64" s="402"/>
      <c r="BM64" s="402"/>
      <c r="BN64" s="402"/>
      <c r="BO64" s="1199"/>
      <c r="BP64" s="402"/>
      <c r="BQ64" s="402"/>
      <c r="BR64" s="402"/>
      <c r="BS64" s="402"/>
      <c r="BT64" s="402"/>
      <c r="BU64" s="402"/>
      <c r="BV64" s="1213"/>
      <c r="BW64" s="1188"/>
      <c r="BX64" s="344">
        <f t="shared" si="25"/>
        <v>0</v>
      </c>
      <c r="BY64" s="983">
        <f t="shared" si="111"/>
        <v>0</v>
      </c>
      <c r="BZ64" s="274">
        <f t="shared" si="149"/>
        <v>1200000</v>
      </c>
      <c r="CA64" s="275">
        <f t="shared" si="112"/>
        <v>0</v>
      </c>
      <c r="CB64" s="571">
        <f t="shared" si="150"/>
        <v>1</v>
      </c>
      <c r="CC64" s="1081"/>
      <c r="CD64" s="1081"/>
      <c r="CE64" s="1083"/>
      <c r="CF64" s="1084"/>
      <c r="CG64" s="862"/>
      <c r="CH64" s="862"/>
      <c r="CI64" s="862"/>
      <c r="CJ64" s="862"/>
      <c r="CK64" s="862"/>
      <c r="CL64" s="862"/>
      <c r="CM64" s="862"/>
      <c r="CN64" s="862"/>
      <c r="CO64" s="862"/>
      <c r="CP64" s="862"/>
      <c r="CQ64" s="1128"/>
      <c r="CR64" s="862"/>
      <c r="CS64" s="1128"/>
      <c r="CT64" s="862"/>
      <c r="CU64" s="862"/>
      <c r="CV64" s="862"/>
      <c r="CW64" s="862"/>
      <c r="CX64" s="862"/>
      <c r="CY64" s="73">
        <f t="shared" si="92"/>
        <v>0</v>
      </c>
      <c r="CZ64" s="862"/>
      <c r="DA64" s="862"/>
      <c r="DB64" s="862"/>
      <c r="DC64" s="862"/>
      <c r="DD64" s="862"/>
      <c r="DE64" s="862"/>
      <c r="DF64" s="862"/>
      <c r="DG64" s="862"/>
      <c r="DH64" s="1081"/>
      <c r="DI64" s="862"/>
      <c r="DJ64" s="862"/>
      <c r="DK64" s="862"/>
      <c r="DL64" s="862"/>
      <c r="DM64" s="862"/>
      <c r="DN64" s="862"/>
      <c r="DO64" s="862"/>
      <c r="DP64" s="862"/>
      <c r="DQ64" s="862"/>
      <c r="DR64" s="73">
        <f t="shared" si="93"/>
        <v>0</v>
      </c>
      <c r="DS64" s="412"/>
      <c r="DT64" s="412"/>
      <c r="DU64" s="420"/>
      <c r="DV64" s="412"/>
      <c r="DW64" s="412"/>
      <c r="DX64" s="412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</row>
    <row r="65" spans="1:139" s="278" customFormat="1" ht="24.75" customHeight="1" x14ac:dyDescent="0.2">
      <c r="A65" s="786">
        <f t="shared" si="27"/>
        <v>52</v>
      </c>
      <c r="B65" s="141" t="s">
        <v>355</v>
      </c>
      <c r="C65" s="281" t="s">
        <v>25</v>
      </c>
      <c r="D65" s="573">
        <v>12</v>
      </c>
      <c r="E65" s="573">
        <v>3</v>
      </c>
      <c r="F65" s="573"/>
      <c r="G65" s="573">
        <v>1</v>
      </c>
      <c r="H65" s="573"/>
      <c r="I65" s="573">
        <v>1</v>
      </c>
      <c r="J65" s="573"/>
      <c r="K65" s="573">
        <v>1</v>
      </c>
      <c r="L65" s="573"/>
      <c r="M65" s="573">
        <v>1</v>
      </c>
      <c r="N65" s="573"/>
      <c r="O65" s="342">
        <v>1</v>
      </c>
      <c r="P65" s="1207">
        <v>1</v>
      </c>
      <c r="Q65" s="1207"/>
      <c r="R65" s="1207">
        <v>1</v>
      </c>
      <c r="S65" s="464">
        <v>1</v>
      </c>
      <c r="T65" s="1297">
        <v>1</v>
      </c>
      <c r="U65" s="1184"/>
      <c r="V65" s="1184"/>
      <c r="W65" s="840">
        <f t="shared" si="19"/>
        <v>12</v>
      </c>
      <c r="X65" s="574" t="s">
        <v>107</v>
      </c>
      <c r="Y65" s="898">
        <v>100000</v>
      </c>
      <c r="Z65" s="898">
        <v>100000</v>
      </c>
      <c r="AA65" s="898">
        <v>100000</v>
      </c>
      <c r="AB65" s="898">
        <v>100000</v>
      </c>
      <c r="AC65" s="898">
        <v>100000</v>
      </c>
      <c r="AD65" s="898">
        <v>100000</v>
      </c>
      <c r="AE65" s="898"/>
      <c r="AF65" s="898">
        <v>100000</v>
      </c>
      <c r="AG65" s="898"/>
      <c r="AH65" s="898">
        <v>100000</v>
      </c>
      <c r="AI65" s="898"/>
      <c r="AJ65" s="898">
        <v>100000</v>
      </c>
      <c r="AK65" s="1236">
        <v>100000</v>
      </c>
      <c r="AL65" s="1236"/>
      <c r="AM65" s="1234">
        <v>100000</v>
      </c>
      <c r="AN65" s="1186">
        <v>100000</v>
      </c>
      <c r="AO65" s="1505">
        <v>100000</v>
      </c>
      <c r="AP65" s="1186"/>
      <c r="AQ65" s="1186"/>
      <c r="AR65" s="570">
        <f t="shared" si="20"/>
        <v>1200000</v>
      </c>
      <c r="AS65" s="1199">
        <f t="shared" si="135"/>
        <v>300000</v>
      </c>
      <c r="AT65" s="402">
        <f t="shared" si="136"/>
        <v>0</v>
      </c>
      <c r="AU65" s="402">
        <f t="shared" si="137"/>
        <v>100000</v>
      </c>
      <c r="AV65" s="402">
        <f t="shared" si="138"/>
        <v>0</v>
      </c>
      <c r="AW65" s="402">
        <f t="shared" si="139"/>
        <v>100000</v>
      </c>
      <c r="AX65" s="402">
        <f t="shared" si="140"/>
        <v>0</v>
      </c>
      <c r="AY65" s="402">
        <f t="shared" si="141"/>
        <v>100000</v>
      </c>
      <c r="AZ65" s="402">
        <f t="shared" si="142"/>
        <v>0</v>
      </c>
      <c r="BA65" s="402">
        <f t="shared" si="143"/>
        <v>100000</v>
      </c>
      <c r="BB65" s="402">
        <f t="shared" si="144"/>
        <v>0</v>
      </c>
      <c r="BC65" s="1213">
        <f t="shared" si="145"/>
        <v>100000</v>
      </c>
      <c r="BD65" s="1213">
        <f t="shared" si="146"/>
        <v>100000</v>
      </c>
      <c r="BE65" s="1188">
        <f t="shared" si="147"/>
        <v>0</v>
      </c>
      <c r="BF65" s="1188">
        <f t="shared" si="148"/>
        <v>100000</v>
      </c>
      <c r="BG65" s="1188">
        <f t="shared" si="148"/>
        <v>100000</v>
      </c>
      <c r="BH65" s="1584">
        <f t="shared" si="148"/>
        <v>100000</v>
      </c>
      <c r="BI65" s="1188">
        <f t="shared" si="148"/>
        <v>0</v>
      </c>
      <c r="BJ65" s="1188">
        <f t="shared" si="148"/>
        <v>0</v>
      </c>
      <c r="BK65" s="403">
        <f t="shared" si="21"/>
        <v>1200000</v>
      </c>
      <c r="BL65" s="402"/>
      <c r="BM65" s="402"/>
      <c r="BN65" s="402"/>
      <c r="BO65" s="1199"/>
      <c r="BP65" s="402"/>
      <c r="BQ65" s="402"/>
      <c r="BR65" s="402"/>
      <c r="BS65" s="402"/>
      <c r="BT65" s="402"/>
      <c r="BU65" s="402"/>
      <c r="BV65" s="1213"/>
      <c r="BW65" s="1188"/>
      <c r="BX65" s="344">
        <f t="shared" si="25"/>
        <v>0</v>
      </c>
      <c r="BY65" s="983">
        <f t="shared" si="111"/>
        <v>0</v>
      </c>
      <c r="BZ65" s="274">
        <f t="shared" si="149"/>
        <v>1200000</v>
      </c>
      <c r="CA65" s="275">
        <f t="shared" si="112"/>
        <v>0</v>
      </c>
      <c r="CB65" s="571">
        <f t="shared" si="150"/>
        <v>1</v>
      </c>
      <c r="CC65" s="1081"/>
      <c r="CD65" s="1081"/>
      <c r="CE65" s="1083"/>
      <c r="CF65" s="1084"/>
      <c r="CG65" s="862"/>
      <c r="CH65" s="862"/>
      <c r="CI65" s="862"/>
      <c r="CJ65" s="862"/>
      <c r="CK65" s="862"/>
      <c r="CL65" s="862"/>
      <c r="CM65" s="862"/>
      <c r="CN65" s="862"/>
      <c r="CO65" s="862"/>
      <c r="CP65" s="862"/>
      <c r="CQ65" s="1128"/>
      <c r="CR65" s="862"/>
      <c r="CS65" s="1128"/>
      <c r="CT65" s="862"/>
      <c r="CU65" s="862"/>
      <c r="CV65" s="862"/>
      <c r="CW65" s="862"/>
      <c r="CX65" s="862"/>
      <c r="CY65" s="73">
        <f t="shared" si="92"/>
        <v>0</v>
      </c>
      <c r="CZ65" s="862"/>
      <c r="DA65" s="862"/>
      <c r="DB65" s="862"/>
      <c r="DC65" s="862"/>
      <c r="DD65" s="862"/>
      <c r="DE65" s="862"/>
      <c r="DF65" s="862"/>
      <c r="DG65" s="862"/>
      <c r="DH65" s="1081"/>
      <c r="DI65" s="862"/>
      <c r="DJ65" s="862"/>
      <c r="DK65" s="862"/>
      <c r="DL65" s="862"/>
      <c r="DM65" s="862"/>
      <c r="DN65" s="862"/>
      <c r="DO65" s="862"/>
      <c r="DP65" s="862"/>
      <c r="DQ65" s="862"/>
      <c r="DR65" s="73">
        <f t="shared" si="93"/>
        <v>0</v>
      </c>
      <c r="DS65" s="412"/>
      <c r="DT65" s="412"/>
      <c r="DU65" s="420"/>
      <c r="DV65" s="412"/>
      <c r="DW65" s="412"/>
      <c r="DX65" s="412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</row>
    <row r="66" spans="1:139" s="278" customFormat="1" ht="32.25" customHeight="1" x14ac:dyDescent="0.2">
      <c r="A66" s="786">
        <f t="shared" si="27"/>
        <v>53</v>
      </c>
      <c r="B66" s="141" t="s">
        <v>356</v>
      </c>
      <c r="C66" s="281" t="s">
        <v>25</v>
      </c>
      <c r="D66" s="573">
        <v>12</v>
      </c>
      <c r="E66" s="573">
        <v>3</v>
      </c>
      <c r="F66" s="573"/>
      <c r="G66" s="573">
        <v>1</v>
      </c>
      <c r="H66" s="573"/>
      <c r="I66" s="573">
        <v>1</v>
      </c>
      <c r="J66" s="573"/>
      <c r="K66" s="573">
        <v>1</v>
      </c>
      <c r="L66" s="573"/>
      <c r="M66" s="573">
        <v>1</v>
      </c>
      <c r="N66" s="573"/>
      <c r="O66" s="342">
        <v>1</v>
      </c>
      <c r="P66" s="1207">
        <v>1</v>
      </c>
      <c r="Q66" s="1207"/>
      <c r="R66" s="1207">
        <v>1</v>
      </c>
      <c r="S66" s="464">
        <v>1</v>
      </c>
      <c r="T66" s="1297">
        <v>1</v>
      </c>
      <c r="U66" s="1184"/>
      <c r="V66" s="1184"/>
      <c r="W66" s="840">
        <f t="shared" si="19"/>
        <v>12</v>
      </c>
      <c r="X66" s="574" t="s">
        <v>107</v>
      </c>
      <c r="Y66" s="898">
        <v>100000</v>
      </c>
      <c r="Z66" s="898">
        <v>100000</v>
      </c>
      <c r="AA66" s="898">
        <v>100000</v>
      </c>
      <c r="AB66" s="898">
        <v>100000</v>
      </c>
      <c r="AC66" s="898">
        <v>100000</v>
      </c>
      <c r="AD66" s="898">
        <v>100000</v>
      </c>
      <c r="AE66" s="898"/>
      <c r="AF66" s="898">
        <v>100000</v>
      </c>
      <c r="AG66" s="898"/>
      <c r="AH66" s="898">
        <v>100000</v>
      </c>
      <c r="AI66" s="898"/>
      <c r="AJ66" s="898">
        <v>100000</v>
      </c>
      <c r="AK66" s="1236">
        <v>100000</v>
      </c>
      <c r="AL66" s="1236"/>
      <c r="AM66" s="1234">
        <v>100000</v>
      </c>
      <c r="AN66" s="1186">
        <v>100000</v>
      </c>
      <c r="AO66" s="1505">
        <v>100000</v>
      </c>
      <c r="AP66" s="1186"/>
      <c r="AQ66" s="1186"/>
      <c r="AR66" s="570">
        <f t="shared" si="20"/>
        <v>1200000</v>
      </c>
      <c r="AS66" s="1199">
        <f t="shared" si="135"/>
        <v>300000</v>
      </c>
      <c r="AT66" s="402">
        <f t="shared" si="136"/>
        <v>0</v>
      </c>
      <c r="AU66" s="402">
        <f t="shared" si="137"/>
        <v>100000</v>
      </c>
      <c r="AV66" s="402">
        <f t="shared" si="138"/>
        <v>0</v>
      </c>
      <c r="AW66" s="402">
        <f t="shared" si="139"/>
        <v>100000</v>
      </c>
      <c r="AX66" s="402">
        <f t="shared" si="140"/>
        <v>0</v>
      </c>
      <c r="AY66" s="402">
        <f t="shared" si="141"/>
        <v>100000</v>
      </c>
      <c r="AZ66" s="402">
        <f t="shared" si="142"/>
        <v>0</v>
      </c>
      <c r="BA66" s="402">
        <f t="shared" si="143"/>
        <v>100000</v>
      </c>
      <c r="BB66" s="402">
        <f t="shared" si="144"/>
        <v>0</v>
      </c>
      <c r="BC66" s="1213">
        <f t="shared" si="145"/>
        <v>100000</v>
      </c>
      <c r="BD66" s="1213">
        <f t="shared" si="146"/>
        <v>100000</v>
      </c>
      <c r="BE66" s="1188">
        <f t="shared" si="147"/>
        <v>0</v>
      </c>
      <c r="BF66" s="1188">
        <f t="shared" si="148"/>
        <v>100000</v>
      </c>
      <c r="BG66" s="1188">
        <f t="shared" si="148"/>
        <v>100000</v>
      </c>
      <c r="BH66" s="1584">
        <f t="shared" si="148"/>
        <v>100000</v>
      </c>
      <c r="BI66" s="1188">
        <f t="shared" si="148"/>
        <v>0</v>
      </c>
      <c r="BJ66" s="1188">
        <f t="shared" si="148"/>
        <v>0</v>
      </c>
      <c r="BK66" s="403">
        <f t="shared" si="21"/>
        <v>1200000</v>
      </c>
      <c r="BL66" s="402"/>
      <c r="BM66" s="402"/>
      <c r="BN66" s="402"/>
      <c r="BO66" s="1199"/>
      <c r="BP66" s="402"/>
      <c r="BQ66" s="402"/>
      <c r="BR66" s="402"/>
      <c r="BS66" s="402"/>
      <c r="BT66" s="402"/>
      <c r="BU66" s="402"/>
      <c r="BV66" s="1213"/>
      <c r="BW66" s="1188"/>
      <c r="BX66" s="344">
        <f t="shared" si="25"/>
        <v>0</v>
      </c>
      <c r="BY66" s="983">
        <f t="shared" si="111"/>
        <v>0</v>
      </c>
      <c r="BZ66" s="274">
        <f t="shared" si="149"/>
        <v>1200000</v>
      </c>
      <c r="CA66" s="275">
        <f t="shared" si="112"/>
        <v>0</v>
      </c>
      <c r="CB66" s="571">
        <f t="shared" si="150"/>
        <v>1</v>
      </c>
      <c r="CC66" s="1081"/>
      <c r="CD66" s="1081"/>
      <c r="CE66" s="1083"/>
      <c r="CF66" s="1084"/>
      <c r="CG66" s="862"/>
      <c r="CH66" s="862"/>
      <c r="CI66" s="862"/>
      <c r="CJ66" s="862"/>
      <c r="CK66" s="862"/>
      <c r="CL66" s="862"/>
      <c r="CM66" s="862"/>
      <c r="CN66" s="862"/>
      <c r="CO66" s="862"/>
      <c r="CP66" s="862"/>
      <c r="CQ66" s="1128"/>
      <c r="CR66" s="862"/>
      <c r="CS66" s="1128"/>
      <c r="CT66" s="862"/>
      <c r="CU66" s="862"/>
      <c r="CV66" s="862"/>
      <c r="CW66" s="862"/>
      <c r="CX66" s="862"/>
      <c r="CY66" s="73">
        <f t="shared" si="92"/>
        <v>0</v>
      </c>
      <c r="CZ66" s="862"/>
      <c r="DA66" s="862"/>
      <c r="DB66" s="862"/>
      <c r="DC66" s="862"/>
      <c r="DD66" s="862"/>
      <c r="DE66" s="862"/>
      <c r="DF66" s="862"/>
      <c r="DG66" s="862"/>
      <c r="DH66" s="1081"/>
      <c r="DI66" s="862"/>
      <c r="DJ66" s="862"/>
      <c r="DK66" s="862"/>
      <c r="DL66" s="862"/>
      <c r="DM66" s="862"/>
      <c r="DN66" s="862"/>
      <c r="DO66" s="862"/>
      <c r="DP66" s="862"/>
      <c r="DQ66" s="862"/>
      <c r="DR66" s="73">
        <f t="shared" si="93"/>
        <v>0</v>
      </c>
      <c r="DS66" s="412"/>
      <c r="DT66" s="412"/>
      <c r="DU66" s="420"/>
      <c r="DV66" s="412"/>
      <c r="DW66" s="412"/>
      <c r="DX66" s="412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</row>
    <row r="67" spans="1:139" s="278" customFormat="1" ht="32.25" customHeight="1" x14ac:dyDescent="0.2">
      <c r="A67" s="786">
        <f t="shared" si="27"/>
        <v>54</v>
      </c>
      <c r="B67" s="141" t="s">
        <v>182</v>
      </c>
      <c r="C67" s="281" t="s">
        <v>25</v>
      </c>
      <c r="D67" s="573">
        <v>12</v>
      </c>
      <c r="E67" s="573">
        <v>3</v>
      </c>
      <c r="F67" s="573"/>
      <c r="G67" s="573">
        <v>1</v>
      </c>
      <c r="H67" s="573"/>
      <c r="I67" s="573">
        <v>1</v>
      </c>
      <c r="J67" s="573"/>
      <c r="K67" s="573">
        <v>1</v>
      </c>
      <c r="L67" s="573"/>
      <c r="M67" s="573">
        <v>1</v>
      </c>
      <c r="N67" s="573"/>
      <c r="O67" s="342">
        <v>1</v>
      </c>
      <c r="P67" s="1207">
        <v>1</v>
      </c>
      <c r="Q67" s="1207"/>
      <c r="R67" s="1207">
        <v>1</v>
      </c>
      <c r="S67" s="464">
        <v>1</v>
      </c>
      <c r="T67" s="1297">
        <v>1</v>
      </c>
      <c r="U67" s="1184"/>
      <c r="V67" s="1184"/>
      <c r="W67" s="840">
        <f t="shared" si="19"/>
        <v>12</v>
      </c>
      <c r="X67" s="574" t="s">
        <v>107</v>
      </c>
      <c r="Y67" s="898">
        <v>100000</v>
      </c>
      <c r="Z67" s="898">
        <v>100000</v>
      </c>
      <c r="AA67" s="898">
        <v>100000</v>
      </c>
      <c r="AB67" s="898">
        <v>100000</v>
      </c>
      <c r="AC67" s="898">
        <v>100000</v>
      </c>
      <c r="AD67" s="898">
        <v>100000</v>
      </c>
      <c r="AE67" s="898"/>
      <c r="AF67" s="898">
        <v>100000</v>
      </c>
      <c r="AG67" s="898"/>
      <c r="AH67" s="898">
        <v>100000</v>
      </c>
      <c r="AI67" s="898"/>
      <c r="AJ67" s="898">
        <v>100000</v>
      </c>
      <c r="AK67" s="1236">
        <v>100000</v>
      </c>
      <c r="AL67" s="1236"/>
      <c r="AM67" s="1234">
        <v>100000</v>
      </c>
      <c r="AN67" s="1186">
        <v>100000</v>
      </c>
      <c r="AO67" s="1505">
        <v>100000</v>
      </c>
      <c r="AP67" s="1186"/>
      <c r="AQ67" s="1186"/>
      <c r="AR67" s="570">
        <f t="shared" si="20"/>
        <v>1200000</v>
      </c>
      <c r="AS67" s="1199">
        <f t="shared" si="135"/>
        <v>300000</v>
      </c>
      <c r="AT67" s="402">
        <f t="shared" si="136"/>
        <v>0</v>
      </c>
      <c r="AU67" s="402">
        <f t="shared" si="137"/>
        <v>100000</v>
      </c>
      <c r="AV67" s="402">
        <f t="shared" si="138"/>
        <v>0</v>
      </c>
      <c r="AW67" s="402">
        <f t="shared" si="139"/>
        <v>100000</v>
      </c>
      <c r="AX67" s="402">
        <f t="shared" si="140"/>
        <v>0</v>
      </c>
      <c r="AY67" s="402">
        <f t="shared" si="141"/>
        <v>100000</v>
      </c>
      <c r="AZ67" s="402">
        <f t="shared" si="142"/>
        <v>0</v>
      </c>
      <c r="BA67" s="402">
        <f t="shared" si="143"/>
        <v>100000</v>
      </c>
      <c r="BB67" s="402">
        <f t="shared" si="144"/>
        <v>0</v>
      </c>
      <c r="BC67" s="1213">
        <f t="shared" si="145"/>
        <v>100000</v>
      </c>
      <c r="BD67" s="1213">
        <f t="shared" si="146"/>
        <v>100000</v>
      </c>
      <c r="BE67" s="1188">
        <f t="shared" si="147"/>
        <v>0</v>
      </c>
      <c r="BF67" s="1188">
        <f t="shared" si="148"/>
        <v>100000</v>
      </c>
      <c r="BG67" s="1188">
        <f t="shared" si="148"/>
        <v>100000</v>
      </c>
      <c r="BH67" s="1584">
        <f t="shared" si="148"/>
        <v>100000</v>
      </c>
      <c r="BI67" s="1188">
        <f t="shared" si="148"/>
        <v>0</v>
      </c>
      <c r="BJ67" s="1188">
        <f t="shared" si="148"/>
        <v>0</v>
      </c>
      <c r="BK67" s="403">
        <f t="shared" si="21"/>
        <v>1200000</v>
      </c>
      <c r="BL67" s="402"/>
      <c r="BM67" s="402"/>
      <c r="BN67" s="402"/>
      <c r="BO67" s="1199"/>
      <c r="BP67" s="402"/>
      <c r="BQ67" s="402"/>
      <c r="BR67" s="402"/>
      <c r="BS67" s="402"/>
      <c r="BT67" s="402"/>
      <c r="BU67" s="402"/>
      <c r="BV67" s="1213"/>
      <c r="BW67" s="1188"/>
      <c r="BX67" s="344">
        <f t="shared" si="25"/>
        <v>0</v>
      </c>
      <c r="BY67" s="983">
        <f t="shared" si="111"/>
        <v>0</v>
      </c>
      <c r="BZ67" s="274">
        <f t="shared" si="149"/>
        <v>1200000</v>
      </c>
      <c r="CA67" s="275">
        <f t="shared" si="112"/>
        <v>0</v>
      </c>
      <c r="CB67" s="571">
        <f t="shared" si="150"/>
        <v>1</v>
      </c>
      <c r="CC67" s="1081"/>
      <c r="CD67" s="1081"/>
      <c r="CE67" s="1083"/>
      <c r="CF67" s="1084"/>
      <c r="CG67" s="862"/>
      <c r="CH67" s="862"/>
      <c r="CI67" s="862"/>
      <c r="CJ67" s="862"/>
      <c r="CK67" s="862"/>
      <c r="CL67" s="862"/>
      <c r="CM67" s="862"/>
      <c r="CN67" s="862"/>
      <c r="CO67" s="862"/>
      <c r="CP67" s="862"/>
      <c r="CQ67" s="1128"/>
      <c r="CR67" s="862"/>
      <c r="CS67" s="1128"/>
      <c r="CT67" s="862"/>
      <c r="CU67" s="862"/>
      <c r="CV67" s="862"/>
      <c r="CW67" s="862"/>
      <c r="CX67" s="862"/>
      <c r="CY67" s="73">
        <f t="shared" si="92"/>
        <v>0</v>
      </c>
      <c r="CZ67" s="862"/>
      <c r="DA67" s="862"/>
      <c r="DB67" s="862"/>
      <c r="DC67" s="862"/>
      <c r="DD67" s="862"/>
      <c r="DE67" s="862"/>
      <c r="DF67" s="862"/>
      <c r="DG67" s="862"/>
      <c r="DH67" s="1081"/>
      <c r="DI67" s="862"/>
      <c r="DJ67" s="862"/>
      <c r="DK67" s="862"/>
      <c r="DL67" s="862"/>
      <c r="DM67" s="862"/>
      <c r="DN67" s="862"/>
      <c r="DO67" s="862"/>
      <c r="DP67" s="862"/>
      <c r="DQ67" s="862"/>
      <c r="DR67" s="73">
        <f t="shared" si="93"/>
        <v>0</v>
      </c>
      <c r="DS67" s="412"/>
      <c r="DT67" s="412"/>
      <c r="DU67" s="420"/>
      <c r="DV67" s="412"/>
      <c r="DW67" s="412"/>
      <c r="DX67" s="412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</row>
    <row r="68" spans="1:139" s="305" customFormat="1" ht="24.75" customHeight="1" x14ac:dyDescent="0.2">
      <c r="A68" s="786">
        <f t="shared" si="27"/>
        <v>55</v>
      </c>
      <c r="B68" s="141" t="s">
        <v>357</v>
      </c>
      <c r="C68" s="295" t="s">
        <v>25</v>
      </c>
      <c r="D68" s="251">
        <v>12</v>
      </c>
      <c r="E68" s="573">
        <v>3</v>
      </c>
      <c r="F68" s="251"/>
      <c r="G68" s="251">
        <v>1</v>
      </c>
      <c r="H68" s="251"/>
      <c r="I68" s="251">
        <v>1</v>
      </c>
      <c r="J68" s="251"/>
      <c r="K68" s="251">
        <v>1</v>
      </c>
      <c r="L68" s="251"/>
      <c r="M68" s="251">
        <v>1</v>
      </c>
      <c r="N68" s="251"/>
      <c r="O68" s="297">
        <v>1</v>
      </c>
      <c r="P68" s="1207">
        <v>1</v>
      </c>
      <c r="Q68" s="1207"/>
      <c r="R68" s="1207">
        <v>1</v>
      </c>
      <c r="S68" s="464">
        <v>1</v>
      </c>
      <c r="T68" s="1297">
        <v>1</v>
      </c>
      <c r="U68" s="1184"/>
      <c r="V68" s="1184"/>
      <c r="W68" s="840">
        <f t="shared" si="19"/>
        <v>12</v>
      </c>
      <c r="X68" s="146" t="s">
        <v>107</v>
      </c>
      <c r="Y68" s="442">
        <v>100000</v>
      </c>
      <c r="Z68" s="442">
        <v>100000</v>
      </c>
      <c r="AA68" s="442">
        <v>100000</v>
      </c>
      <c r="AB68" s="442">
        <v>100000</v>
      </c>
      <c r="AC68" s="442">
        <v>100000</v>
      </c>
      <c r="AD68" s="442">
        <v>100000</v>
      </c>
      <c r="AE68" s="442"/>
      <c r="AF68" s="442">
        <v>100000</v>
      </c>
      <c r="AG68" s="442"/>
      <c r="AH68" s="442">
        <v>100000</v>
      </c>
      <c r="AI68" s="442"/>
      <c r="AJ68" s="442">
        <v>100000</v>
      </c>
      <c r="AK68" s="1236">
        <v>100000</v>
      </c>
      <c r="AL68" s="1236"/>
      <c r="AM68" s="1234">
        <v>100000</v>
      </c>
      <c r="AN68" s="1186">
        <v>100000</v>
      </c>
      <c r="AO68" s="1505">
        <v>100000</v>
      </c>
      <c r="AP68" s="1186"/>
      <c r="AQ68" s="1186"/>
      <c r="AR68" s="271">
        <f t="shared" si="20"/>
        <v>1200000</v>
      </c>
      <c r="AS68" s="1199">
        <f t="shared" si="135"/>
        <v>300000</v>
      </c>
      <c r="AT68" s="402">
        <f t="shared" si="136"/>
        <v>0</v>
      </c>
      <c r="AU68" s="402">
        <f t="shared" si="137"/>
        <v>100000</v>
      </c>
      <c r="AV68" s="402">
        <f t="shared" si="138"/>
        <v>0</v>
      </c>
      <c r="AW68" s="402">
        <f t="shared" si="139"/>
        <v>100000</v>
      </c>
      <c r="AX68" s="402">
        <f t="shared" si="140"/>
        <v>0</v>
      </c>
      <c r="AY68" s="402">
        <f t="shared" si="141"/>
        <v>100000</v>
      </c>
      <c r="AZ68" s="402">
        <f t="shared" si="142"/>
        <v>0</v>
      </c>
      <c r="BA68" s="402">
        <f t="shared" si="143"/>
        <v>100000</v>
      </c>
      <c r="BB68" s="402">
        <f t="shared" si="144"/>
        <v>0</v>
      </c>
      <c r="BC68" s="1213">
        <f t="shared" si="145"/>
        <v>100000</v>
      </c>
      <c r="BD68" s="1213">
        <f t="shared" si="146"/>
        <v>100000</v>
      </c>
      <c r="BE68" s="1188">
        <f t="shared" si="147"/>
        <v>0</v>
      </c>
      <c r="BF68" s="1188">
        <f t="shared" si="148"/>
        <v>100000</v>
      </c>
      <c r="BG68" s="1188">
        <f t="shared" si="148"/>
        <v>100000</v>
      </c>
      <c r="BH68" s="1584">
        <f t="shared" si="148"/>
        <v>100000</v>
      </c>
      <c r="BI68" s="1188">
        <f t="shared" si="148"/>
        <v>0</v>
      </c>
      <c r="BJ68" s="1188">
        <f t="shared" si="148"/>
        <v>0</v>
      </c>
      <c r="BK68" s="403">
        <f t="shared" si="21"/>
        <v>1200000</v>
      </c>
      <c r="BL68" s="402"/>
      <c r="BM68" s="402"/>
      <c r="BN68" s="402"/>
      <c r="BO68" s="1199"/>
      <c r="BP68" s="402"/>
      <c r="BQ68" s="402"/>
      <c r="BR68" s="402"/>
      <c r="BS68" s="402"/>
      <c r="BT68" s="402"/>
      <c r="BU68" s="402"/>
      <c r="BV68" s="1213"/>
      <c r="BW68" s="1188"/>
      <c r="BX68" s="344">
        <f t="shared" si="25"/>
        <v>0</v>
      </c>
      <c r="BY68" s="983">
        <f t="shared" si="111"/>
        <v>0</v>
      </c>
      <c r="BZ68" s="274">
        <f t="shared" si="149"/>
        <v>1200000</v>
      </c>
      <c r="CA68" s="275">
        <f t="shared" si="112"/>
        <v>0</v>
      </c>
      <c r="CB68" s="276">
        <f t="shared" si="150"/>
        <v>1</v>
      </c>
      <c r="CC68" s="1081"/>
      <c r="CD68" s="1081"/>
      <c r="CE68" s="1083"/>
      <c r="CF68" s="1084"/>
      <c r="CG68" s="862"/>
      <c r="CH68" s="862"/>
      <c r="CI68" s="862"/>
      <c r="CJ68" s="862"/>
      <c r="CK68" s="862"/>
      <c r="CL68" s="862"/>
      <c r="CM68" s="862"/>
      <c r="CN68" s="862"/>
      <c r="CO68" s="862"/>
      <c r="CP68" s="862"/>
      <c r="CQ68" s="1128"/>
      <c r="CR68" s="862"/>
      <c r="CS68" s="1128"/>
      <c r="CT68" s="862"/>
      <c r="CU68" s="862"/>
      <c r="CV68" s="862"/>
      <c r="CW68" s="862"/>
      <c r="CX68" s="862"/>
      <c r="CY68" s="73">
        <f t="shared" si="92"/>
        <v>0</v>
      </c>
      <c r="CZ68" s="862"/>
      <c r="DA68" s="862"/>
      <c r="DB68" s="862"/>
      <c r="DC68" s="862"/>
      <c r="DD68" s="862"/>
      <c r="DE68" s="862"/>
      <c r="DF68" s="862"/>
      <c r="DG68" s="862"/>
      <c r="DH68" s="1081"/>
      <c r="DI68" s="862"/>
      <c r="DJ68" s="862"/>
      <c r="DK68" s="862"/>
      <c r="DL68" s="862"/>
      <c r="DM68" s="862"/>
      <c r="DN68" s="862"/>
      <c r="DO68" s="862"/>
      <c r="DP68" s="862"/>
      <c r="DQ68" s="862"/>
      <c r="DR68" s="73">
        <f t="shared" si="93"/>
        <v>0</v>
      </c>
      <c r="DS68" s="303"/>
      <c r="DT68" s="303"/>
      <c r="DU68" s="423"/>
      <c r="DV68" s="303"/>
      <c r="DW68" s="303"/>
      <c r="DX68" s="303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</row>
    <row r="69" spans="1:139" s="305" customFormat="1" ht="32.25" customHeight="1" x14ac:dyDescent="0.2">
      <c r="A69" s="786">
        <f t="shared" si="27"/>
        <v>56</v>
      </c>
      <c r="B69" s="579" t="s">
        <v>358</v>
      </c>
      <c r="C69" s="295" t="s">
        <v>25</v>
      </c>
      <c r="D69" s="251">
        <v>12</v>
      </c>
      <c r="E69" s="573">
        <v>3</v>
      </c>
      <c r="F69" s="251"/>
      <c r="G69" s="251">
        <v>1</v>
      </c>
      <c r="H69" s="251"/>
      <c r="I69" s="251">
        <v>1</v>
      </c>
      <c r="J69" s="251"/>
      <c r="K69" s="251">
        <v>1</v>
      </c>
      <c r="L69" s="251"/>
      <c r="M69" s="251">
        <v>1</v>
      </c>
      <c r="N69" s="251"/>
      <c r="O69" s="297">
        <v>1</v>
      </c>
      <c r="P69" s="1207">
        <v>1</v>
      </c>
      <c r="Q69" s="1207"/>
      <c r="R69" s="1207">
        <v>1</v>
      </c>
      <c r="S69" s="464">
        <v>1</v>
      </c>
      <c r="T69" s="1297">
        <v>1</v>
      </c>
      <c r="U69" s="1184"/>
      <c r="V69" s="1184"/>
      <c r="W69" s="840">
        <f t="shared" si="19"/>
        <v>12</v>
      </c>
      <c r="X69" s="146" t="s">
        <v>107</v>
      </c>
      <c r="Y69" s="442">
        <v>100000</v>
      </c>
      <c r="Z69" s="442">
        <v>100000</v>
      </c>
      <c r="AA69" s="442">
        <v>100000</v>
      </c>
      <c r="AB69" s="442">
        <v>100000</v>
      </c>
      <c r="AC69" s="442">
        <v>100000</v>
      </c>
      <c r="AD69" s="442">
        <v>100000</v>
      </c>
      <c r="AE69" s="442"/>
      <c r="AF69" s="442">
        <v>100000</v>
      </c>
      <c r="AG69" s="442"/>
      <c r="AH69" s="442">
        <v>100000</v>
      </c>
      <c r="AI69" s="442"/>
      <c r="AJ69" s="442">
        <v>100000</v>
      </c>
      <c r="AK69" s="1236">
        <v>100000</v>
      </c>
      <c r="AL69" s="1236"/>
      <c r="AM69" s="1234">
        <v>100000</v>
      </c>
      <c r="AN69" s="1186">
        <v>100000</v>
      </c>
      <c r="AO69" s="1505">
        <v>100000</v>
      </c>
      <c r="AP69" s="1186"/>
      <c r="AQ69" s="1186"/>
      <c r="AR69" s="271">
        <f t="shared" si="20"/>
        <v>1200000</v>
      </c>
      <c r="AS69" s="1199">
        <f t="shared" si="135"/>
        <v>300000</v>
      </c>
      <c r="AT69" s="402">
        <f t="shared" si="136"/>
        <v>0</v>
      </c>
      <c r="AU69" s="402">
        <f t="shared" si="137"/>
        <v>100000</v>
      </c>
      <c r="AV69" s="402">
        <f t="shared" si="138"/>
        <v>0</v>
      </c>
      <c r="AW69" s="402">
        <f t="shared" si="139"/>
        <v>100000</v>
      </c>
      <c r="AX69" s="402">
        <f t="shared" si="140"/>
        <v>0</v>
      </c>
      <c r="AY69" s="402">
        <f t="shared" si="141"/>
        <v>100000</v>
      </c>
      <c r="AZ69" s="402">
        <f t="shared" si="142"/>
        <v>0</v>
      </c>
      <c r="BA69" s="402">
        <f t="shared" si="143"/>
        <v>100000</v>
      </c>
      <c r="BB69" s="402">
        <f t="shared" si="144"/>
        <v>0</v>
      </c>
      <c r="BC69" s="1213">
        <f t="shared" si="145"/>
        <v>100000</v>
      </c>
      <c r="BD69" s="1213">
        <f t="shared" si="146"/>
        <v>100000</v>
      </c>
      <c r="BE69" s="1188">
        <f t="shared" si="147"/>
        <v>0</v>
      </c>
      <c r="BF69" s="1188">
        <f t="shared" si="148"/>
        <v>100000</v>
      </c>
      <c r="BG69" s="1188">
        <f t="shared" si="148"/>
        <v>100000</v>
      </c>
      <c r="BH69" s="1584">
        <f t="shared" si="148"/>
        <v>100000</v>
      </c>
      <c r="BI69" s="1188">
        <f t="shared" si="148"/>
        <v>0</v>
      </c>
      <c r="BJ69" s="1188">
        <f t="shared" si="148"/>
        <v>0</v>
      </c>
      <c r="BK69" s="403">
        <f t="shared" si="21"/>
        <v>1200000</v>
      </c>
      <c r="BL69" s="402"/>
      <c r="BM69" s="402"/>
      <c r="BN69" s="402"/>
      <c r="BO69" s="1199"/>
      <c r="BP69" s="402"/>
      <c r="BQ69" s="402"/>
      <c r="BR69" s="402"/>
      <c r="BS69" s="402"/>
      <c r="BT69" s="402"/>
      <c r="BU69" s="402"/>
      <c r="BV69" s="1213"/>
      <c r="BW69" s="1188"/>
      <c r="BX69" s="344">
        <f t="shared" si="25"/>
        <v>0</v>
      </c>
      <c r="BY69" s="983">
        <f t="shared" si="111"/>
        <v>0</v>
      </c>
      <c r="BZ69" s="274">
        <f t="shared" si="149"/>
        <v>1200000</v>
      </c>
      <c r="CA69" s="275">
        <f t="shared" si="112"/>
        <v>0</v>
      </c>
      <c r="CB69" s="276">
        <f t="shared" si="150"/>
        <v>1</v>
      </c>
      <c r="CC69" s="1081"/>
      <c r="CD69" s="1081"/>
      <c r="CE69" s="1083"/>
      <c r="CF69" s="1084"/>
      <c r="CG69" s="862"/>
      <c r="CH69" s="862"/>
      <c r="CI69" s="862"/>
      <c r="CJ69" s="862"/>
      <c r="CK69" s="862"/>
      <c r="CL69" s="862"/>
      <c r="CM69" s="862"/>
      <c r="CN69" s="862"/>
      <c r="CO69" s="862"/>
      <c r="CP69" s="862"/>
      <c r="CQ69" s="1128"/>
      <c r="CR69" s="862"/>
      <c r="CS69" s="1128"/>
      <c r="CT69" s="862"/>
      <c r="CU69" s="862"/>
      <c r="CV69" s="862"/>
      <c r="CW69" s="862"/>
      <c r="CX69" s="862"/>
      <c r="CY69" s="73">
        <f t="shared" ref="CY69:CY85" si="151">SUM(CG69:CX69)</f>
        <v>0</v>
      </c>
      <c r="CZ69" s="862"/>
      <c r="DA69" s="862"/>
      <c r="DB69" s="862"/>
      <c r="DC69" s="862"/>
      <c r="DD69" s="862"/>
      <c r="DE69" s="862"/>
      <c r="DF69" s="862"/>
      <c r="DG69" s="862"/>
      <c r="DH69" s="1081"/>
      <c r="DI69" s="862"/>
      <c r="DJ69" s="862"/>
      <c r="DK69" s="862"/>
      <c r="DL69" s="862"/>
      <c r="DM69" s="862"/>
      <c r="DN69" s="862"/>
      <c r="DO69" s="862"/>
      <c r="DP69" s="862"/>
      <c r="DQ69" s="862"/>
      <c r="DR69" s="73">
        <f t="shared" ref="DR69:DR85" si="152">SUM(CZ69:DQ69)</f>
        <v>0</v>
      </c>
      <c r="DS69" s="303"/>
      <c r="DT69" s="303"/>
      <c r="DU69" s="423"/>
      <c r="DV69" s="303"/>
      <c r="DW69" s="303"/>
      <c r="DX69" s="303"/>
      <c r="DY69" s="304"/>
      <c r="DZ69" s="304"/>
      <c r="EA69" s="304"/>
      <c r="EB69" s="304"/>
      <c r="EC69" s="304"/>
      <c r="ED69" s="304"/>
      <c r="EE69" s="304"/>
      <c r="EF69" s="304"/>
      <c r="EG69" s="304"/>
      <c r="EH69" s="304"/>
      <c r="EI69" s="304"/>
    </row>
    <row r="70" spans="1:139" s="305" customFormat="1" ht="32.25" customHeight="1" x14ac:dyDescent="0.2">
      <c r="A70" s="786">
        <f t="shared" si="27"/>
        <v>57</v>
      </c>
      <c r="B70" s="579" t="s">
        <v>359</v>
      </c>
      <c r="C70" s="295" t="s">
        <v>25</v>
      </c>
      <c r="D70" s="251">
        <v>12</v>
      </c>
      <c r="E70" s="573">
        <v>3</v>
      </c>
      <c r="F70" s="251"/>
      <c r="G70" s="251">
        <v>1</v>
      </c>
      <c r="H70" s="251"/>
      <c r="I70" s="251">
        <v>1</v>
      </c>
      <c r="J70" s="251"/>
      <c r="K70" s="251">
        <v>1</v>
      </c>
      <c r="L70" s="251"/>
      <c r="M70" s="251">
        <v>1</v>
      </c>
      <c r="N70" s="251"/>
      <c r="O70" s="297">
        <v>1</v>
      </c>
      <c r="P70" s="1207">
        <v>1</v>
      </c>
      <c r="Q70" s="1207"/>
      <c r="R70" s="1207">
        <v>1</v>
      </c>
      <c r="S70" s="464">
        <v>1</v>
      </c>
      <c r="T70" s="1297">
        <v>1</v>
      </c>
      <c r="U70" s="1184"/>
      <c r="V70" s="1184"/>
      <c r="W70" s="840">
        <f t="shared" ref="W70:W84" si="153">SUM(E70:V70)</f>
        <v>12</v>
      </c>
      <c r="X70" s="146" t="s">
        <v>107</v>
      </c>
      <c r="Y70" s="442">
        <v>100000</v>
      </c>
      <c r="Z70" s="442">
        <v>100000</v>
      </c>
      <c r="AA70" s="442">
        <v>100000</v>
      </c>
      <c r="AB70" s="442">
        <v>100000</v>
      </c>
      <c r="AC70" s="442">
        <v>100000</v>
      </c>
      <c r="AD70" s="442">
        <v>100000</v>
      </c>
      <c r="AE70" s="442"/>
      <c r="AF70" s="442">
        <v>100000</v>
      </c>
      <c r="AG70" s="442"/>
      <c r="AH70" s="442">
        <v>100000</v>
      </c>
      <c r="AI70" s="442"/>
      <c r="AJ70" s="442">
        <v>100000</v>
      </c>
      <c r="AK70" s="1236">
        <v>100000</v>
      </c>
      <c r="AL70" s="1236"/>
      <c r="AM70" s="1234">
        <v>100000</v>
      </c>
      <c r="AN70" s="1186">
        <v>100000</v>
      </c>
      <c r="AO70" s="1505">
        <v>100000</v>
      </c>
      <c r="AP70" s="1186"/>
      <c r="AQ70" s="1186"/>
      <c r="AR70" s="271">
        <f t="shared" si="20"/>
        <v>1200000</v>
      </c>
      <c r="AS70" s="1199">
        <f t="shared" si="135"/>
        <v>300000</v>
      </c>
      <c r="AT70" s="402">
        <f t="shared" si="136"/>
        <v>0</v>
      </c>
      <c r="AU70" s="402">
        <f t="shared" si="137"/>
        <v>100000</v>
      </c>
      <c r="AV70" s="402">
        <f t="shared" si="138"/>
        <v>0</v>
      </c>
      <c r="AW70" s="402">
        <f t="shared" si="139"/>
        <v>100000</v>
      </c>
      <c r="AX70" s="402">
        <f t="shared" si="140"/>
        <v>0</v>
      </c>
      <c r="AY70" s="402">
        <f t="shared" si="141"/>
        <v>100000</v>
      </c>
      <c r="AZ70" s="402">
        <f t="shared" si="142"/>
        <v>0</v>
      </c>
      <c r="BA70" s="402">
        <f t="shared" si="143"/>
        <v>100000</v>
      </c>
      <c r="BB70" s="402">
        <f t="shared" si="144"/>
        <v>0</v>
      </c>
      <c r="BC70" s="1213">
        <f t="shared" si="145"/>
        <v>100000</v>
      </c>
      <c r="BD70" s="1213">
        <f t="shared" si="146"/>
        <v>100000</v>
      </c>
      <c r="BE70" s="1188">
        <f t="shared" si="147"/>
        <v>0</v>
      </c>
      <c r="BF70" s="1188">
        <f t="shared" si="148"/>
        <v>100000</v>
      </c>
      <c r="BG70" s="1188">
        <f t="shared" si="148"/>
        <v>100000</v>
      </c>
      <c r="BH70" s="1584">
        <f t="shared" si="148"/>
        <v>100000</v>
      </c>
      <c r="BI70" s="1188">
        <f t="shared" si="148"/>
        <v>0</v>
      </c>
      <c r="BJ70" s="1188">
        <f t="shared" si="148"/>
        <v>0</v>
      </c>
      <c r="BK70" s="403">
        <f t="shared" ref="BK70:BK84" si="154">SUM(AS70:BJ70)</f>
        <v>1200000</v>
      </c>
      <c r="BL70" s="402"/>
      <c r="BM70" s="402"/>
      <c r="BN70" s="402"/>
      <c r="BO70" s="1199"/>
      <c r="BP70" s="402"/>
      <c r="BQ70" s="402"/>
      <c r="BR70" s="402"/>
      <c r="BS70" s="402"/>
      <c r="BT70" s="402"/>
      <c r="BU70" s="402"/>
      <c r="BV70" s="1213"/>
      <c r="BW70" s="1188"/>
      <c r="BX70" s="344"/>
      <c r="BY70" s="983">
        <f t="shared" si="111"/>
        <v>0</v>
      </c>
      <c r="BZ70" s="274">
        <f t="shared" si="149"/>
        <v>1200000</v>
      </c>
      <c r="CA70" s="275">
        <f t="shared" si="112"/>
        <v>0</v>
      </c>
      <c r="CB70" s="276">
        <f t="shared" si="150"/>
        <v>1</v>
      </c>
      <c r="CC70" s="1081"/>
      <c r="CD70" s="1081"/>
      <c r="CE70" s="1083"/>
      <c r="CF70" s="1084"/>
      <c r="CG70" s="862"/>
      <c r="CH70" s="862"/>
      <c r="CI70" s="862"/>
      <c r="CJ70" s="862"/>
      <c r="CK70" s="862"/>
      <c r="CL70" s="862"/>
      <c r="CM70" s="862"/>
      <c r="CN70" s="862"/>
      <c r="CO70" s="862"/>
      <c r="CP70" s="862"/>
      <c r="CQ70" s="1128"/>
      <c r="CR70" s="862"/>
      <c r="CS70" s="1128"/>
      <c r="CT70" s="862"/>
      <c r="CU70" s="862"/>
      <c r="CV70" s="862"/>
      <c r="CW70" s="862"/>
      <c r="CX70" s="862"/>
      <c r="CY70" s="73">
        <f t="shared" si="151"/>
        <v>0</v>
      </c>
      <c r="CZ70" s="862"/>
      <c r="DA70" s="862"/>
      <c r="DB70" s="862"/>
      <c r="DC70" s="862"/>
      <c r="DD70" s="862"/>
      <c r="DE70" s="862"/>
      <c r="DF70" s="862"/>
      <c r="DG70" s="862"/>
      <c r="DH70" s="1081"/>
      <c r="DI70" s="862"/>
      <c r="DJ70" s="862"/>
      <c r="DK70" s="862"/>
      <c r="DL70" s="862"/>
      <c r="DM70" s="862"/>
      <c r="DN70" s="862"/>
      <c r="DO70" s="862"/>
      <c r="DP70" s="862"/>
      <c r="DQ70" s="862"/>
      <c r="DR70" s="73">
        <f t="shared" si="152"/>
        <v>0</v>
      </c>
      <c r="DS70" s="303"/>
      <c r="DT70" s="303"/>
      <c r="DU70" s="423"/>
      <c r="DV70" s="303"/>
      <c r="DW70" s="303"/>
      <c r="DX70" s="303"/>
      <c r="DY70" s="304"/>
      <c r="DZ70" s="304"/>
      <c r="EA70" s="304"/>
      <c r="EB70" s="304"/>
      <c r="EC70" s="304"/>
      <c r="ED70" s="304"/>
      <c r="EE70" s="304"/>
      <c r="EF70" s="304"/>
      <c r="EG70" s="304"/>
      <c r="EH70" s="304"/>
      <c r="EI70" s="304"/>
    </row>
    <row r="71" spans="1:139" s="305" customFormat="1" ht="32.25" customHeight="1" x14ac:dyDescent="0.2">
      <c r="A71" s="786">
        <f t="shared" si="27"/>
        <v>58</v>
      </c>
      <c r="B71" s="579" t="s">
        <v>360</v>
      </c>
      <c r="C71" s="295" t="s">
        <v>25</v>
      </c>
      <c r="D71" s="251">
        <v>12</v>
      </c>
      <c r="E71" s="573">
        <v>3</v>
      </c>
      <c r="F71" s="251"/>
      <c r="G71" s="251">
        <v>1</v>
      </c>
      <c r="H71" s="251"/>
      <c r="I71" s="251">
        <v>1</v>
      </c>
      <c r="J71" s="251"/>
      <c r="K71" s="251">
        <v>1</v>
      </c>
      <c r="L71" s="251"/>
      <c r="M71" s="251">
        <v>1</v>
      </c>
      <c r="N71" s="251"/>
      <c r="O71" s="297">
        <v>1</v>
      </c>
      <c r="P71" s="1207">
        <v>1</v>
      </c>
      <c r="Q71" s="1207"/>
      <c r="R71" s="1207">
        <v>1</v>
      </c>
      <c r="S71" s="464">
        <v>1</v>
      </c>
      <c r="T71" s="1297">
        <v>1</v>
      </c>
      <c r="U71" s="1184"/>
      <c r="V71" s="1184"/>
      <c r="W71" s="840">
        <f t="shared" si="153"/>
        <v>12</v>
      </c>
      <c r="X71" s="146" t="s">
        <v>107</v>
      </c>
      <c r="Y71" s="442">
        <v>100000</v>
      </c>
      <c r="Z71" s="442">
        <v>100000</v>
      </c>
      <c r="AA71" s="442">
        <v>100000</v>
      </c>
      <c r="AB71" s="442">
        <v>100000</v>
      </c>
      <c r="AC71" s="442">
        <v>100000</v>
      </c>
      <c r="AD71" s="442">
        <v>100000</v>
      </c>
      <c r="AE71" s="442"/>
      <c r="AF71" s="442">
        <v>100000</v>
      </c>
      <c r="AG71" s="442"/>
      <c r="AH71" s="442">
        <v>100000</v>
      </c>
      <c r="AI71" s="442"/>
      <c r="AJ71" s="442">
        <v>100000</v>
      </c>
      <c r="AK71" s="1236">
        <v>100000</v>
      </c>
      <c r="AL71" s="1236"/>
      <c r="AM71" s="1234">
        <v>100000</v>
      </c>
      <c r="AN71" s="1186">
        <v>100000</v>
      </c>
      <c r="AO71" s="1505">
        <v>100000</v>
      </c>
      <c r="AP71" s="1186"/>
      <c r="AQ71" s="1186"/>
      <c r="AR71" s="271">
        <f t="shared" si="20"/>
        <v>1200000</v>
      </c>
      <c r="AS71" s="1199">
        <f t="shared" si="135"/>
        <v>300000</v>
      </c>
      <c r="AT71" s="402">
        <f t="shared" si="136"/>
        <v>0</v>
      </c>
      <c r="AU71" s="402">
        <f t="shared" si="137"/>
        <v>100000</v>
      </c>
      <c r="AV71" s="402">
        <f t="shared" si="138"/>
        <v>0</v>
      </c>
      <c r="AW71" s="402">
        <f t="shared" si="139"/>
        <v>100000</v>
      </c>
      <c r="AX71" s="402">
        <f t="shared" si="140"/>
        <v>0</v>
      </c>
      <c r="AY71" s="402">
        <f t="shared" si="141"/>
        <v>100000</v>
      </c>
      <c r="AZ71" s="402">
        <f t="shared" si="142"/>
        <v>0</v>
      </c>
      <c r="BA71" s="402">
        <f t="shared" si="143"/>
        <v>100000</v>
      </c>
      <c r="BB71" s="402">
        <f t="shared" si="144"/>
        <v>0</v>
      </c>
      <c r="BC71" s="1213">
        <f t="shared" si="145"/>
        <v>100000</v>
      </c>
      <c r="BD71" s="1213">
        <f t="shared" si="146"/>
        <v>100000</v>
      </c>
      <c r="BE71" s="1188">
        <f t="shared" si="147"/>
        <v>0</v>
      </c>
      <c r="BF71" s="1188">
        <f t="shared" si="148"/>
        <v>100000</v>
      </c>
      <c r="BG71" s="1188">
        <f t="shared" si="148"/>
        <v>100000</v>
      </c>
      <c r="BH71" s="1584">
        <f t="shared" si="148"/>
        <v>100000</v>
      </c>
      <c r="BI71" s="1188">
        <f t="shared" si="148"/>
        <v>0</v>
      </c>
      <c r="BJ71" s="1188">
        <f t="shared" si="148"/>
        <v>0</v>
      </c>
      <c r="BK71" s="403">
        <f t="shared" si="154"/>
        <v>1200000</v>
      </c>
      <c r="BL71" s="402"/>
      <c r="BM71" s="402"/>
      <c r="BN71" s="402"/>
      <c r="BO71" s="1199"/>
      <c r="BP71" s="402"/>
      <c r="BQ71" s="402"/>
      <c r="BR71" s="402"/>
      <c r="BS71" s="402"/>
      <c r="BT71" s="402"/>
      <c r="BU71" s="402"/>
      <c r="BV71" s="1213"/>
      <c r="BW71" s="1188"/>
      <c r="BX71" s="344"/>
      <c r="BY71" s="983">
        <f t="shared" si="111"/>
        <v>0</v>
      </c>
      <c r="BZ71" s="274">
        <f t="shared" si="149"/>
        <v>1200000</v>
      </c>
      <c r="CA71" s="275">
        <f t="shared" si="112"/>
        <v>0</v>
      </c>
      <c r="CB71" s="276">
        <f t="shared" si="150"/>
        <v>1</v>
      </c>
      <c r="CC71" s="1081"/>
      <c r="CD71" s="1081"/>
      <c r="CE71" s="1083"/>
      <c r="CF71" s="1084"/>
      <c r="CG71" s="862"/>
      <c r="CH71" s="862"/>
      <c r="CI71" s="862"/>
      <c r="CJ71" s="862"/>
      <c r="CK71" s="862"/>
      <c r="CL71" s="862"/>
      <c r="CM71" s="862"/>
      <c r="CN71" s="862"/>
      <c r="CO71" s="862"/>
      <c r="CP71" s="862"/>
      <c r="CQ71" s="1128"/>
      <c r="CR71" s="862"/>
      <c r="CS71" s="1128"/>
      <c r="CT71" s="862"/>
      <c r="CU71" s="862"/>
      <c r="CV71" s="862"/>
      <c r="CW71" s="862"/>
      <c r="CX71" s="862"/>
      <c r="CY71" s="73">
        <f t="shared" si="151"/>
        <v>0</v>
      </c>
      <c r="CZ71" s="862"/>
      <c r="DA71" s="862"/>
      <c r="DB71" s="862"/>
      <c r="DC71" s="862"/>
      <c r="DD71" s="862"/>
      <c r="DE71" s="862"/>
      <c r="DF71" s="862"/>
      <c r="DG71" s="862"/>
      <c r="DH71" s="1081"/>
      <c r="DI71" s="862"/>
      <c r="DJ71" s="862"/>
      <c r="DK71" s="862"/>
      <c r="DL71" s="862"/>
      <c r="DM71" s="862"/>
      <c r="DN71" s="862"/>
      <c r="DO71" s="862"/>
      <c r="DP71" s="862"/>
      <c r="DQ71" s="862"/>
      <c r="DR71" s="73">
        <f t="shared" si="152"/>
        <v>0</v>
      </c>
      <c r="DS71" s="303"/>
      <c r="DT71" s="303"/>
      <c r="DU71" s="423"/>
      <c r="DV71" s="303"/>
      <c r="DW71" s="303"/>
      <c r="DX71" s="303"/>
      <c r="DY71" s="304"/>
      <c r="DZ71" s="304"/>
      <c r="EA71" s="304"/>
      <c r="EB71" s="304"/>
      <c r="EC71" s="304"/>
      <c r="ED71" s="304"/>
      <c r="EE71" s="304"/>
      <c r="EF71" s="304"/>
      <c r="EG71" s="304"/>
      <c r="EH71" s="304"/>
      <c r="EI71" s="304"/>
    </row>
    <row r="72" spans="1:139" s="305" customFormat="1" ht="32.25" customHeight="1" x14ac:dyDescent="0.2">
      <c r="A72" s="786"/>
      <c r="B72" s="1073" t="s">
        <v>261</v>
      </c>
      <c r="C72" s="295"/>
      <c r="D72" s="251"/>
      <c r="E72" s="251"/>
      <c r="F72" s="251"/>
      <c r="G72" s="251"/>
      <c r="H72" s="251"/>
      <c r="I72" s="297"/>
      <c r="J72" s="251"/>
      <c r="K72" s="297"/>
      <c r="L72" s="297"/>
      <c r="M72" s="297"/>
      <c r="N72" s="297"/>
      <c r="O72" s="297"/>
      <c r="P72" s="1207"/>
      <c r="Q72" s="1207"/>
      <c r="R72" s="1207"/>
      <c r="S72" s="464"/>
      <c r="T72" s="1297"/>
      <c r="U72" s="1184"/>
      <c r="V72" s="1184"/>
      <c r="W72" s="840">
        <f t="shared" si="153"/>
        <v>0</v>
      </c>
      <c r="X72" s="146"/>
      <c r="Y72" s="578"/>
      <c r="Z72" s="306"/>
      <c r="AA72" s="306"/>
      <c r="AB72" s="306"/>
      <c r="AC72" s="306"/>
      <c r="AD72" s="440"/>
      <c r="AE72" s="306"/>
      <c r="AF72" s="440"/>
      <c r="AG72" s="440"/>
      <c r="AH72" s="440"/>
      <c r="AI72" s="440"/>
      <c r="AJ72" s="440"/>
      <c r="AK72" s="1234"/>
      <c r="AL72" s="1234"/>
      <c r="AM72" s="1234"/>
      <c r="AN72" s="1186"/>
      <c r="AO72" s="1505"/>
      <c r="AP72" s="1186"/>
      <c r="AQ72" s="1186"/>
      <c r="AR72" s="271"/>
      <c r="AS72" s="1199"/>
      <c r="AT72" s="402"/>
      <c r="AU72" s="402"/>
      <c r="AV72" s="402"/>
      <c r="AW72" s="402"/>
      <c r="AX72" s="402"/>
      <c r="AY72" s="402"/>
      <c r="AZ72" s="402"/>
      <c r="BA72" s="402"/>
      <c r="BB72" s="402"/>
      <c r="BC72" s="1213"/>
      <c r="BD72" s="1213"/>
      <c r="BE72" s="1188"/>
      <c r="BF72" s="1188"/>
      <c r="BG72" s="1188"/>
      <c r="BH72" s="1584"/>
      <c r="BI72" s="1188"/>
      <c r="BJ72" s="1188"/>
      <c r="BK72" s="403">
        <f t="shared" si="154"/>
        <v>0</v>
      </c>
      <c r="BL72" s="402"/>
      <c r="BM72" s="402"/>
      <c r="BN72" s="402"/>
      <c r="BO72" s="1199"/>
      <c r="BP72" s="402"/>
      <c r="BQ72" s="402"/>
      <c r="BR72" s="402"/>
      <c r="BS72" s="402"/>
      <c r="BT72" s="402"/>
      <c r="BU72" s="402"/>
      <c r="BV72" s="1213"/>
      <c r="BW72" s="1188"/>
      <c r="BX72" s="344"/>
      <c r="BY72" s="983"/>
      <c r="BZ72" s="274"/>
      <c r="CA72" s="275"/>
      <c r="CB72" s="276"/>
      <c r="CC72" s="1081"/>
      <c r="CD72" s="1081"/>
      <c r="CE72" s="1083"/>
      <c r="CF72" s="1084"/>
      <c r="CG72" s="862"/>
      <c r="CH72" s="862"/>
      <c r="CI72" s="862"/>
      <c r="CJ72" s="862"/>
      <c r="CK72" s="862"/>
      <c r="CL72" s="862"/>
      <c r="CM72" s="862"/>
      <c r="CN72" s="862"/>
      <c r="CO72" s="862"/>
      <c r="CP72" s="862"/>
      <c r="CQ72" s="1128"/>
      <c r="CR72" s="862"/>
      <c r="CS72" s="1128"/>
      <c r="CT72" s="862"/>
      <c r="CU72" s="862"/>
      <c r="CV72" s="862"/>
      <c r="CW72" s="862"/>
      <c r="CX72" s="862"/>
      <c r="CY72" s="73">
        <f t="shared" si="151"/>
        <v>0</v>
      </c>
      <c r="CZ72" s="862"/>
      <c r="DA72" s="862"/>
      <c r="DB72" s="862"/>
      <c r="DC72" s="862"/>
      <c r="DD72" s="862"/>
      <c r="DE72" s="862"/>
      <c r="DF72" s="862"/>
      <c r="DG72" s="862"/>
      <c r="DH72" s="1081"/>
      <c r="DI72" s="862"/>
      <c r="DJ72" s="862"/>
      <c r="DK72" s="862"/>
      <c r="DL72" s="862"/>
      <c r="DM72" s="862"/>
      <c r="DN72" s="862"/>
      <c r="DO72" s="862"/>
      <c r="DP72" s="862"/>
      <c r="DQ72" s="862"/>
      <c r="DR72" s="73">
        <f t="shared" si="152"/>
        <v>0</v>
      </c>
      <c r="DS72" s="303"/>
      <c r="DT72" s="303"/>
      <c r="DU72" s="423"/>
      <c r="DV72" s="303"/>
      <c r="DW72" s="303"/>
      <c r="DX72" s="303"/>
      <c r="DY72" s="304"/>
      <c r="DZ72" s="304"/>
      <c r="EA72" s="304"/>
      <c r="EB72" s="304"/>
      <c r="EC72" s="304"/>
      <c r="ED72" s="304"/>
      <c r="EE72" s="304"/>
      <c r="EF72" s="304"/>
      <c r="EG72" s="304"/>
      <c r="EH72" s="304"/>
      <c r="EI72" s="304"/>
    </row>
    <row r="73" spans="1:139" s="305" customFormat="1" ht="24.75" customHeight="1" x14ac:dyDescent="0.2">
      <c r="A73" s="786">
        <v>59</v>
      </c>
      <c r="B73" s="250" t="s">
        <v>261</v>
      </c>
      <c r="C73" s="295" t="s">
        <v>25</v>
      </c>
      <c r="D73" s="251">
        <v>12</v>
      </c>
      <c r="E73" s="251">
        <v>3</v>
      </c>
      <c r="F73" s="251"/>
      <c r="G73" s="251">
        <v>1</v>
      </c>
      <c r="H73" s="251"/>
      <c r="I73" s="251">
        <v>1</v>
      </c>
      <c r="J73" s="251"/>
      <c r="K73" s="251">
        <v>1</v>
      </c>
      <c r="L73" s="251"/>
      <c r="M73" s="251">
        <v>1</v>
      </c>
      <c r="N73" s="251"/>
      <c r="O73" s="297">
        <v>1</v>
      </c>
      <c r="P73" s="1207">
        <v>1</v>
      </c>
      <c r="Q73" s="1207"/>
      <c r="R73" s="1207">
        <v>1</v>
      </c>
      <c r="S73" s="464">
        <v>1</v>
      </c>
      <c r="T73" s="1297">
        <v>1</v>
      </c>
      <c r="U73" s="1184"/>
      <c r="V73" s="1184"/>
      <c r="W73" s="840">
        <f t="shared" si="153"/>
        <v>12</v>
      </c>
      <c r="X73" s="252" t="s">
        <v>107</v>
      </c>
      <c r="Y73" s="253">
        <v>400000</v>
      </c>
      <c r="Z73" s="306">
        <v>330000</v>
      </c>
      <c r="AA73" s="306">
        <v>330000</v>
      </c>
      <c r="AB73" s="306">
        <v>325150</v>
      </c>
      <c r="AC73" s="306">
        <v>325150</v>
      </c>
      <c r="AD73" s="306">
        <v>325150</v>
      </c>
      <c r="AE73" s="306"/>
      <c r="AF73" s="306">
        <v>325150</v>
      </c>
      <c r="AG73" s="306"/>
      <c r="AH73" s="306">
        <v>325150</v>
      </c>
      <c r="AI73" s="440"/>
      <c r="AJ73" s="440">
        <v>325150</v>
      </c>
      <c r="AK73" s="440">
        <v>325150</v>
      </c>
      <c r="AL73" s="1234"/>
      <c r="AM73" s="1234">
        <v>325150</v>
      </c>
      <c r="AN73" s="1186">
        <v>325150</v>
      </c>
      <c r="AO73" s="1505">
        <v>325150</v>
      </c>
      <c r="AP73" s="1186"/>
      <c r="AQ73" s="1186"/>
      <c r="AR73" s="271">
        <f t="shared" si="20"/>
        <v>4800000</v>
      </c>
      <c r="AS73" s="1199">
        <f t="shared" ref="AS73:BB73" si="155">Z73*E73</f>
        <v>990000</v>
      </c>
      <c r="AT73" s="402">
        <f t="shared" si="155"/>
        <v>0</v>
      </c>
      <c r="AU73" s="402">
        <f t="shared" si="155"/>
        <v>325150</v>
      </c>
      <c r="AV73" s="402">
        <f t="shared" si="155"/>
        <v>0</v>
      </c>
      <c r="AW73" s="402">
        <f t="shared" si="155"/>
        <v>325150</v>
      </c>
      <c r="AX73" s="402">
        <f t="shared" si="155"/>
        <v>0</v>
      </c>
      <c r="AY73" s="402">
        <f t="shared" si="155"/>
        <v>325150</v>
      </c>
      <c r="AZ73" s="402">
        <f t="shared" si="155"/>
        <v>0</v>
      </c>
      <c r="BA73" s="402">
        <f t="shared" si="155"/>
        <v>325150</v>
      </c>
      <c r="BB73" s="402">
        <f t="shared" si="155"/>
        <v>0</v>
      </c>
      <c r="BC73" s="1213">
        <v>325150</v>
      </c>
      <c r="BD73" s="1213">
        <f>AK73*P73</f>
        <v>325150</v>
      </c>
      <c r="BE73" s="1188">
        <f>AL73*Q73</f>
        <v>0</v>
      </c>
      <c r="BF73" s="1188">
        <f t="shared" ref="BF73:BJ73" si="156">AM73*R73</f>
        <v>325150</v>
      </c>
      <c r="BG73" s="1188">
        <f t="shared" si="156"/>
        <v>325150</v>
      </c>
      <c r="BH73" s="1584">
        <f t="shared" si="156"/>
        <v>325150</v>
      </c>
      <c r="BI73" s="1188">
        <f t="shared" si="156"/>
        <v>0</v>
      </c>
      <c r="BJ73" s="1188">
        <f t="shared" si="156"/>
        <v>0</v>
      </c>
      <c r="BK73" s="403">
        <f t="shared" si="154"/>
        <v>3916350</v>
      </c>
      <c r="BL73" s="402"/>
      <c r="BM73" s="402"/>
      <c r="BN73" s="402"/>
      <c r="BO73" s="1199"/>
      <c r="BP73" s="402"/>
      <c r="BQ73" s="402"/>
      <c r="BR73" s="402"/>
      <c r="BS73" s="402"/>
      <c r="BT73" s="402"/>
      <c r="BU73" s="402"/>
      <c r="BV73" s="1213"/>
      <c r="BW73" s="1188"/>
      <c r="BX73" s="344">
        <f t="shared" si="25"/>
        <v>0</v>
      </c>
      <c r="BY73" s="983">
        <f t="shared" si="29"/>
        <v>883650</v>
      </c>
      <c r="BZ73" s="274">
        <f t="shared" ref="BZ73:BZ81" si="157">Y73*D73</f>
        <v>4800000</v>
      </c>
      <c r="CA73" s="275">
        <f>BZ73-BK73-BX73</f>
        <v>883650</v>
      </c>
      <c r="CB73" s="276">
        <f>SUM(W73/D73)</f>
        <v>1</v>
      </c>
      <c r="CC73" s="1081"/>
      <c r="CD73" s="1081"/>
      <c r="CE73" s="1083"/>
      <c r="CF73" s="1084"/>
      <c r="CG73" s="862"/>
      <c r="CH73" s="862"/>
      <c r="CI73" s="862"/>
      <c r="CJ73" s="862"/>
      <c r="CK73" s="862"/>
      <c r="CL73" s="862"/>
      <c r="CM73" s="862"/>
      <c r="CN73" s="862"/>
      <c r="CO73" s="862"/>
      <c r="CP73" s="862"/>
      <c r="CQ73" s="1128"/>
      <c r="CR73" s="862"/>
      <c r="CS73" s="1128"/>
      <c r="CT73" s="862"/>
      <c r="CU73" s="862"/>
      <c r="CV73" s="862"/>
      <c r="CW73" s="862"/>
      <c r="CX73" s="862"/>
      <c r="CY73" s="73">
        <f t="shared" si="151"/>
        <v>0</v>
      </c>
      <c r="CZ73" s="862"/>
      <c r="DA73" s="862"/>
      <c r="DB73" s="862"/>
      <c r="DC73" s="862"/>
      <c r="DD73" s="862"/>
      <c r="DE73" s="862"/>
      <c r="DF73" s="862"/>
      <c r="DG73" s="862"/>
      <c r="DH73" s="1081"/>
      <c r="DI73" s="862"/>
      <c r="DJ73" s="862"/>
      <c r="DK73" s="862"/>
      <c r="DL73" s="862"/>
      <c r="DM73" s="862"/>
      <c r="DN73" s="862"/>
      <c r="DO73" s="862"/>
      <c r="DP73" s="862"/>
      <c r="DQ73" s="862"/>
      <c r="DR73" s="73">
        <f t="shared" si="152"/>
        <v>0</v>
      </c>
      <c r="DS73" s="303"/>
      <c r="DT73" s="303"/>
      <c r="DU73" s="423"/>
      <c r="DV73" s="303"/>
      <c r="DW73" s="303"/>
      <c r="DX73" s="303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</row>
    <row r="74" spans="1:139" s="305" customFormat="1" ht="24.75" customHeight="1" x14ac:dyDescent="0.2">
      <c r="A74" s="786"/>
      <c r="B74" s="255" t="s">
        <v>266</v>
      </c>
      <c r="C74" s="295"/>
      <c r="D74" s="251"/>
      <c r="E74" s="296"/>
      <c r="F74" s="297"/>
      <c r="G74" s="398"/>
      <c r="H74" s="297"/>
      <c r="I74" s="297"/>
      <c r="J74" s="297"/>
      <c r="K74" s="297"/>
      <c r="L74" s="297"/>
      <c r="M74" s="297"/>
      <c r="N74" s="297"/>
      <c r="O74" s="297"/>
      <c r="P74" s="1207"/>
      <c r="Q74" s="1207"/>
      <c r="R74" s="1207"/>
      <c r="S74" s="464"/>
      <c r="T74" s="1299"/>
      <c r="U74" s="1184"/>
      <c r="V74" s="1184"/>
      <c r="W74" s="840">
        <f t="shared" si="153"/>
        <v>0</v>
      </c>
      <c r="X74" s="252"/>
      <c r="Y74" s="253"/>
      <c r="Z74" s="306"/>
      <c r="AA74" s="440"/>
      <c r="AB74" s="440"/>
      <c r="AC74" s="440"/>
      <c r="AD74" s="440"/>
      <c r="AE74" s="440"/>
      <c r="AF74" s="440"/>
      <c r="AG74" s="440"/>
      <c r="AH74" s="440"/>
      <c r="AI74" s="440"/>
      <c r="AJ74" s="440"/>
      <c r="AK74" s="1234"/>
      <c r="AL74" s="1234"/>
      <c r="AM74" s="1234"/>
      <c r="AN74" s="1186"/>
      <c r="AO74" s="1505"/>
      <c r="AP74" s="1186"/>
      <c r="AQ74" s="1186"/>
      <c r="AR74" s="271">
        <f t="shared" si="20"/>
        <v>0</v>
      </c>
      <c r="AS74" s="1199"/>
      <c r="AT74" s="402"/>
      <c r="AU74" s="402"/>
      <c r="AV74" s="402"/>
      <c r="AW74" s="402"/>
      <c r="AX74" s="402"/>
      <c r="AY74" s="402"/>
      <c r="AZ74" s="402"/>
      <c r="BA74" s="402"/>
      <c r="BB74" s="402"/>
      <c r="BC74" s="1213"/>
      <c r="BD74" s="1213"/>
      <c r="BE74" s="1188"/>
      <c r="BF74" s="1188"/>
      <c r="BG74" s="1188"/>
      <c r="BH74" s="1584"/>
      <c r="BI74" s="1188"/>
      <c r="BJ74" s="1188"/>
      <c r="BK74" s="403">
        <f t="shared" si="154"/>
        <v>0</v>
      </c>
      <c r="BL74" s="402"/>
      <c r="BM74" s="402"/>
      <c r="BN74" s="402"/>
      <c r="BO74" s="1199"/>
      <c r="BP74" s="402"/>
      <c r="BQ74" s="402"/>
      <c r="BR74" s="402"/>
      <c r="BS74" s="402"/>
      <c r="BT74" s="402"/>
      <c r="BU74" s="402"/>
      <c r="BV74" s="1213"/>
      <c r="BW74" s="1188"/>
      <c r="BX74" s="344">
        <f t="shared" si="25"/>
        <v>0</v>
      </c>
      <c r="BY74" s="983">
        <f t="shared" si="29"/>
        <v>0</v>
      </c>
      <c r="BZ74" s="274">
        <f t="shared" si="157"/>
        <v>0</v>
      </c>
      <c r="CA74" s="275">
        <f t="shared" si="26"/>
        <v>0</v>
      </c>
      <c r="CB74" s="276"/>
      <c r="CC74" s="1081"/>
      <c r="CD74" s="1081"/>
      <c r="CE74" s="1083"/>
      <c r="CF74" s="1084"/>
      <c r="CG74" s="862"/>
      <c r="CH74" s="862"/>
      <c r="CI74" s="862"/>
      <c r="CJ74" s="862"/>
      <c r="CK74" s="862"/>
      <c r="CL74" s="862"/>
      <c r="CM74" s="862"/>
      <c r="CN74" s="862"/>
      <c r="CO74" s="862"/>
      <c r="CP74" s="862"/>
      <c r="CQ74" s="1128"/>
      <c r="CR74" s="862"/>
      <c r="CS74" s="1128"/>
      <c r="CT74" s="862"/>
      <c r="CU74" s="862"/>
      <c r="CV74" s="862"/>
      <c r="CW74" s="862"/>
      <c r="CX74" s="862"/>
      <c r="CY74" s="73">
        <f t="shared" si="151"/>
        <v>0</v>
      </c>
      <c r="CZ74" s="862"/>
      <c r="DA74" s="862"/>
      <c r="DB74" s="862"/>
      <c r="DC74" s="862"/>
      <c r="DD74" s="862"/>
      <c r="DE74" s="862"/>
      <c r="DF74" s="862"/>
      <c r="DG74" s="862"/>
      <c r="DH74" s="1081"/>
      <c r="DI74" s="862"/>
      <c r="DJ74" s="862"/>
      <c r="DK74" s="862"/>
      <c r="DL74" s="862"/>
      <c r="DM74" s="862"/>
      <c r="DN74" s="862"/>
      <c r="DO74" s="862"/>
      <c r="DP74" s="862"/>
      <c r="DQ74" s="862"/>
      <c r="DR74" s="73">
        <f t="shared" si="152"/>
        <v>0</v>
      </c>
      <c r="DS74" s="303"/>
      <c r="DT74" s="303"/>
      <c r="DU74" s="423"/>
      <c r="DV74" s="303"/>
      <c r="DW74" s="303"/>
      <c r="DX74" s="303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</row>
    <row r="75" spans="1:139" s="305" customFormat="1" ht="24.75" customHeight="1" x14ac:dyDescent="0.2">
      <c r="A75" s="786">
        <v>60</v>
      </c>
      <c r="B75" s="250" t="s">
        <v>262</v>
      </c>
      <c r="C75" s="295" t="s">
        <v>25</v>
      </c>
      <c r="D75" s="251">
        <v>1</v>
      </c>
      <c r="E75" s="296"/>
      <c r="F75" s="297"/>
      <c r="G75" s="398"/>
      <c r="H75" s="297"/>
      <c r="I75" s="297"/>
      <c r="J75" s="297"/>
      <c r="K75" s="297"/>
      <c r="L75" s="297"/>
      <c r="M75" s="297"/>
      <c r="N75" s="297"/>
      <c r="O75" s="297"/>
      <c r="P75" s="1207">
        <v>1</v>
      </c>
      <c r="Q75" s="1207"/>
      <c r="R75" s="1207"/>
      <c r="S75" s="464"/>
      <c r="T75" s="1299"/>
      <c r="U75" s="1184"/>
      <c r="V75" s="1184"/>
      <c r="W75" s="840">
        <f t="shared" si="153"/>
        <v>1</v>
      </c>
      <c r="X75" s="252" t="s">
        <v>36</v>
      </c>
      <c r="Y75" s="253">
        <v>800000</v>
      </c>
      <c r="Z75" s="306"/>
      <c r="AA75" s="440"/>
      <c r="AB75" s="440"/>
      <c r="AC75" s="440"/>
      <c r="AD75" s="440"/>
      <c r="AE75" s="440"/>
      <c r="AF75" s="440"/>
      <c r="AG75" s="440"/>
      <c r="AH75" s="440"/>
      <c r="AI75" s="440"/>
      <c r="AJ75" s="440"/>
      <c r="AK75" s="1234">
        <v>800000</v>
      </c>
      <c r="AL75" s="1234"/>
      <c r="AM75" s="1234"/>
      <c r="AN75" s="1186"/>
      <c r="AO75" s="1505"/>
      <c r="AP75" s="1186"/>
      <c r="AQ75" s="1186"/>
      <c r="AR75" s="271">
        <f t="shared" si="20"/>
        <v>800000</v>
      </c>
      <c r="AS75" s="1199">
        <f t="shared" ref="AS75:BE75" si="158">Z75*E75</f>
        <v>0</v>
      </c>
      <c r="AT75" s="402">
        <f t="shared" si="158"/>
        <v>0</v>
      </c>
      <c r="AU75" s="402">
        <f t="shared" si="158"/>
        <v>0</v>
      </c>
      <c r="AV75" s="402">
        <f t="shared" si="158"/>
        <v>0</v>
      </c>
      <c r="AW75" s="402">
        <f t="shared" si="158"/>
        <v>0</v>
      </c>
      <c r="AX75" s="402">
        <f t="shared" si="158"/>
        <v>0</v>
      </c>
      <c r="AY75" s="402">
        <f t="shared" si="158"/>
        <v>0</v>
      </c>
      <c r="AZ75" s="402">
        <f t="shared" si="158"/>
        <v>0</v>
      </c>
      <c r="BA75" s="402">
        <f t="shared" si="158"/>
        <v>0</v>
      </c>
      <c r="BB75" s="402">
        <f t="shared" si="158"/>
        <v>0</v>
      </c>
      <c r="BC75" s="1213">
        <f t="shared" si="158"/>
        <v>0</v>
      </c>
      <c r="BD75" s="1213">
        <f t="shared" si="158"/>
        <v>800000</v>
      </c>
      <c r="BE75" s="1188">
        <f t="shared" si="158"/>
        <v>0</v>
      </c>
      <c r="BF75" s="1188">
        <f t="shared" ref="BF75:BJ77" si="159">AM75*R75</f>
        <v>0</v>
      </c>
      <c r="BG75" s="1188">
        <f t="shared" si="159"/>
        <v>0</v>
      </c>
      <c r="BH75" s="1584">
        <f t="shared" si="159"/>
        <v>0</v>
      </c>
      <c r="BI75" s="1188">
        <f t="shared" si="159"/>
        <v>0</v>
      </c>
      <c r="BJ75" s="1188">
        <f t="shared" si="159"/>
        <v>0</v>
      </c>
      <c r="BK75" s="403">
        <f t="shared" si="154"/>
        <v>800000</v>
      </c>
      <c r="BL75" s="402">
        <f>SUM(AS75*4%)</f>
        <v>0</v>
      </c>
      <c r="BM75" s="402">
        <f t="shared" ref="BM75:BR77" si="160">SUM(AT75*14%)</f>
        <v>0</v>
      </c>
      <c r="BN75" s="402">
        <f t="shared" si="160"/>
        <v>0</v>
      </c>
      <c r="BO75" s="1199">
        <f t="shared" si="160"/>
        <v>0</v>
      </c>
      <c r="BP75" s="402">
        <f t="shared" si="160"/>
        <v>0</v>
      </c>
      <c r="BQ75" s="402">
        <f t="shared" si="160"/>
        <v>0</v>
      </c>
      <c r="BR75" s="402">
        <f t="shared" si="160"/>
        <v>0</v>
      </c>
      <c r="BS75" s="402"/>
      <c r="BT75" s="402">
        <f t="shared" ref="BT75:BU77" si="161">SUM(BA75*14%)</f>
        <v>0</v>
      </c>
      <c r="BU75" s="402">
        <f t="shared" si="161"/>
        <v>0</v>
      </c>
      <c r="BV75" s="1213"/>
      <c r="BW75" s="1188"/>
      <c r="BX75" s="344">
        <f t="shared" si="25"/>
        <v>0</v>
      </c>
      <c r="BY75" s="983">
        <f t="shared" si="29"/>
        <v>0</v>
      </c>
      <c r="BZ75" s="274">
        <f t="shared" si="157"/>
        <v>800000</v>
      </c>
      <c r="CA75" s="275">
        <f t="shared" si="26"/>
        <v>0</v>
      </c>
      <c r="CB75" s="276">
        <f>SUM(W75/D75)</f>
        <v>1</v>
      </c>
      <c r="CC75" s="1081"/>
      <c r="CD75" s="1081"/>
      <c r="CE75" s="1083"/>
      <c r="CF75" s="1084"/>
      <c r="CG75" s="862"/>
      <c r="CH75" s="862"/>
      <c r="CI75" s="862"/>
      <c r="CJ75" s="862"/>
      <c r="CK75" s="862"/>
      <c r="CL75" s="862"/>
      <c r="CM75" s="862"/>
      <c r="CN75" s="862"/>
      <c r="CO75" s="862"/>
      <c r="CP75" s="862"/>
      <c r="CQ75" s="1128"/>
      <c r="CR75" s="862"/>
      <c r="CS75" s="1128"/>
      <c r="CT75" s="862"/>
      <c r="CU75" s="862"/>
      <c r="CV75" s="862"/>
      <c r="CW75" s="862"/>
      <c r="CX75" s="862"/>
      <c r="CY75" s="73">
        <f t="shared" si="151"/>
        <v>0</v>
      </c>
      <c r="CZ75" s="862"/>
      <c r="DA75" s="862"/>
      <c r="DB75" s="862"/>
      <c r="DC75" s="862"/>
      <c r="DD75" s="862"/>
      <c r="DE75" s="862"/>
      <c r="DF75" s="862"/>
      <c r="DG75" s="862"/>
      <c r="DH75" s="1081"/>
      <c r="DI75" s="862"/>
      <c r="DJ75" s="862"/>
      <c r="DK75" s="862"/>
      <c r="DL75" s="862"/>
      <c r="DM75" s="862"/>
      <c r="DN75" s="862"/>
      <c r="DO75" s="862"/>
      <c r="DP75" s="862"/>
      <c r="DQ75" s="862"/>
      <c r="DR75" s="73">
        <f t="shared" si="152"/>
        <v>0</v>
      </c>
      <c r="DS75" s="303"/>
      <c r="DT75" s="303"/>
      <c r="DU75" s="423"/>
      <c r="DV75" s="303"/>
      <c r="DW75" s="303"/>
      <c r="DX75" s="303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</row>
    <row r="76" spans="1:139" s="305" customFormat="1" ht="24.75" customHeight="1" x14ac:dyDescent="0.2">
      <c r="A76" s="786">
        <f t="shared" si="27"/>
        <v>61</v>
      </c>
      <c r="B76" s="250" t="s">
        <v>263</v>
      </c>
      <c r="C76" s="295" t="s">
        <v>25</v>
      </c>
      <c r="D76" s="251">
        <v>4</v>
      </c>
      <c r="E76" s="296"/>
      <c r="F76" s="297"/>
      <c r="G76" s="398"/>
      <c r="H76" s="297"/>
      <c r="I76" s="297"/>
      <c r="J76" s="297"/>
      <c r="K76" s="297"/>
      <c r="L76" s="297"/>
      <c r="M76" s="297"/>
      <c r="N76" s="297"/>
      <c r="O76" s="297"/>
      <c r="P76" s="1207">
        <v>2</v>
      </c>
      <c r="Q76" s="1207">
        <v>2</v>
      </c>
      <c r="R76" s="1207"/>
      <c r="S76" s="464"/>
      <c r="T76" s="1299"/>
      <c r="U76" s="1184"/>
      <c r="V76" s="1184"/>
      <c r="W76" s="840">
        <f t="shared" si="153"/>
        <v>4</v>
      </c>
      <c r="X76" s="252" t="s">
        <v>36</v>
      </c>
      <c r="Y76" s="253">
        <v>250000</v>
      </c>
      <c r="Z76" s="306"/>
      <c r="AA76" s="440"/>
      <c r="AB76" s="440"/>
      <c r="AC76" s="440"/>
      <c r="AD76" s="440"/>
      <c r="AE76" s="440"/>
      <c r="AF76" s="440"/>
      <c r="AG76" s="440"/>
      <c r="AH76" s="440"/>
      <c r="AI76" s="440"/>
      <c r="AJ76" s="440"/>
      <c r="AK76" s="1234">
        <v>250000</v>
      </c>
      <c r="AL76" s="1234">
        <v>250000</v>
      </c>
      <c r="AM76" s="1234"/>
      <c r="AN76" s="1186"/>
      <c r="AO76" s="1505"/>
      <c r="AP76" s="1186"/>
      <c r="AQ76" s="1186"/>
      <c r="AR76" s="271">
        <f t="shared" si="20"/>
        <v>1000000</v>
      </c>
      <c r="AS76" s="1199">
        <f t="shared" ref="AS76:BB77" si="162">Z76*E76</f>
        <v>0</v>
      </c>
      <c r="AT76" s="402">
        <f t="shared" si="162"/>
        <v>0</v>
      </c>
      <c r="AU76" s="402">
        <f t="shared" si="162"/>
        <v>0</v>
      </c>
      <c r="AV76" s="402">
        <f t="shared" si="162"/>
        <v>0</v>
      </c>
      <c r="AW76" s="402">
        <f t="shared" si="162"/>
        <v>0</v>
      </c>
      <c r="AX76" s="402">
        <f t="shared" si="162"/>
        <v>0</v>
      </c>
      <c r="AY76" s="402">
        <f t="shared" si="162"/>
        <v>0</v>
      </c>
      <c r="AZ76" s="402">
        <f t="shared" si="162"/>
        <v>0</v>
      </c>
      <c r="BA76" s="402">
        <f t="shared" si="162"/>
        <v>0</v>
      </c>
      <c r="BB76" s="402">
        <f t="shared" si="162"/>
        <v>0</v>
      </c>
      <c r="BC76" s="1213">
        <f>O76*AJ76</f>
        <v>0</v>
      </c>
      <c r="BD76" s="1213">
        <f>AK76*P76</f>
        <v>500000</v>
      </c>
      <c r="BE76" s="1188">
        <f>AL76*Q76</f>
        <v>500000</v>
      </c>
      <c r="BF76" s="1188">
        <f t="shared" si="159"/>
        <v>0</v>
      </c>
      <c r="BG76" s="1188">
        <f t="shared" si="159"/>
        <v>0</v>
      </c>
      <c r="BH76" s="1584">
        <f t="shared" si="159"/>
        <v>0</v>
      </c>
      <c r="BI76" s="1188">
        <f t="shared" si="159"/>
        <v>0</v>
      </c>
      <c r="BJ76" s="1188">
        <f t="shared" si="159"/>
        <v>0</v>
      </c>
      <c r="BK76" s="403">
        <f t="shared" si="154"/>
        <v>1000000</v>
      </c>
      <c r="BL76" s="402">
        <f>SUM(AS76*4%)</f>
        <v>0</v>
      </c>
      <c r="BM76" s="402">
        <f t="shared" si="160"/>
        <v>0</v>
      </c>
      <c r="BN76" s="402">
        <f t="shared" si="160"/>
        <v>0</v>
      </c>
      <c r="BO76" s="1199">
        <f t="shared" si="160"/>
        <v>0</v>
      </c>
      <c r="BP76" s="402">
        <f t="shared" si="160"/>
        <v>0</v>
      </c>
      <c r="BQ76" s="402">
        <f t="shared" si="160"/>
        <v>0</v>
      </c>
      <c r="BR76" s="402">
        <f t="shared" si="160"/>
        <v>0</v>
      </c>
      <c r="BS76" s="402"/>
      <c r="BT76" s="402">
        <f t="shared" si="161"/>
        <v>0</v>
      </c>
      <c r="BU76" s="402">
        <f t="shared" si="161"/>
        <v>0</v>
      </c>
      <c r="BV76" s="1213"/>
      <c r="BW76" s="1188"/>
      <c r="BX76" s="344">
        <f t="shared" si="25"/>
        <v>0</v>
      </c>
      <c r="BY76" s="983">
        <f t="shared" si="29"/>
        <v>0</v>
      </c>
      <c r="BZ76" s="274">
        <f t="shared" si="157"/>
        <v>1000000</v>
      </c>
      <c r="CA76" s="275">
        <f t="shared" si="26"/>
        <v>0</v>
      </c>
      <c r="CB76" s="276">
        <f>SUM(W76/D76)</f>
        <v>1</v>
      </c>
      <c r="CC76" s="1081"/>
      <c r="CD76" s="1081"/>
      <c r="CE76" s="1083"/>
      <c r="CF76" s="1084"/>
      <c r="CG76" s="862"/>
      <c r="CH76" s="862"/>
      <c r="CI76" s="862"/>
      <c r="CJ76" s="862"/>
      <c r="CK76" s="862"/>
      <c r="CL76" s="862"/>
      <c r="CM76" s="862"/>
      <c r="CN76" s="862"/>
      <c r="CO76" s="862"/>
      <c r="CP76" s="862"/>
      <c r="CQ76" s="1128"/>
      <c r="CR76" s="862"/>
      <c r="CS76" s="1128"/>
      <c r="CT76" s="862"/>
      <c r="CU76" s="862"/>
      <c r="CV76" s="862"/>
      <c r="CW76" s="862"/>
      <c r="CX76" s="862"/>
      <c r="CY76" s="73">
        <f t="shared" si="151"/>
        <v>0</v>
      </c>
      <c r="CZ76" s="862"/>
      <c r="DA76" s="862"/>
      <c r="DB76" s="862"/>
      <c r="DC76" s="862"/>
      <c r="DD76" s="862"/>
      <c r="DE76" s="862"/>
      <c r="DF76" s="862"/>
      <c r="DG76" s="862"/>
      <c r="DH76" s="1081"/>
      <c r="DI76" s="862"/>
      <c r="DJ76" s="862"/>
      <c r="DK76" s="862"/>
      <c r="DL76" s="862"/>
      <c r="DM76" s="862"/>
      <c r="DN76" s="862"/>
      <c r="DO76" s="862"/>
      <c r="DP76" s="862"/>
      <c r="DQ76" s="862"/>
      <c r="DR76" s="73">
        <f t="shared" si="152"/>
        <v>0</v>
      </c>
      <c r="DS76" s="303"/>
      <c r="DT76" s="303"/>
      <c r="DU76" s="423"/>
      <c r="DV76" s="303"/>
      <c r="DW76" s="303"/>
      <c r="DX76" s="303"/>
      <c r="DY76" s="304"/>
      <c r="DZ76" s="304"/>
      <c r="EA76" s="304"/>
      <c r="EB76" s="304"/>
      <c r="EC76" s="304"/>
      <c r="ED76" s="304"/>
      <c r="EE76" s="304"/>
      <c r="EF76" s="304"/>
      <c r="EG76" s="304"/>
      <c r="EH76" s="304"/>
      <c r="EI76" s="304"/>
    </row>
    <row r="77" spans="1:139" s="305" customFormat="1" ht="32.25" customHeight="1" x14ac:dyDescent="0.2">
      <c r="A77" s="786">
        <f t="shared" si="27"/>
        <v>62</v>
      </c>
      <c r="B77" s="250" t="s">
        <v>264</v>
      </c>
      <c r="C77" s="295" t="s">
        <v>25</v>
      </c>
      <c r="D77" s="251">
        <v>11</v>
      </c>
      <c r="E77" s="296"/>
      <c r="F77" s="297"/>
      <c r="G77" s="398"/>
      <c r="H77" s="297"/>
      <c r="I77" s="297"/>
      <c r="J77" s="297"/>
      <c r="K77" s="297"/>
      <c r="L77" s="297"/>
      <c r="M77" s="297"/>
      <c r="N77" s="297"/>
      <c r="O77" s="297"/>
      <c r="P77" s="1207">
        <v>0</v>
      </c>
      <c r="Q77" s="1207">
        <v>11</v>
      </c>
      <c r="R77" s="1207"/>
      <c r="S77" s="464"/>
      <c r="T77" s="1299"/>
      <c r="U77" s="1184"/>
      <c r="V77" s="1184"/>
      <c r="W77" s="840">
        <f t="shared" si="153"/>
        <v>11</v>
      </c>
      <c r="X77" s="252" t="s">
        <v>36</v>
      </c>
      <c r="Y77" s="253">
        <v>250000</v>
      </c>
      <c r="Z77" s="306"/>
      <c r="AA77" s="440"/>
      <c r="AB77" s="440"/>
      <c r="AC77" s="440"/>
      <c r="AD77" s="440"/>
      <c r="AE77" s="440"/>
      <c r="AF77" s="440"/>
      <c r="AG77" s="440"/>
      <c r="AH77" s="440"/>
      <c r="AI77" s="440"/>
      <c r="AJ77" s="440"/>
      <c r="AK77" s="1234">
        <v>0</v>
      </c>
      <c r="AL77" s="1234">
        <v>250000</v>
      </c>
      <c r="AM77" s="1234"/>
      <c r="AN77" s="1186"/>
      <c r="AO77" s="1505"/>
      <c r="AP77" s="1186"/>
      <c r="AQ77" s="1186"/>
      <c r="AR77" s="271">
        <f t="shared" si="20"/>
        <v>2750000</v>
      </c>
      <c r="AS77" s="1199">
        <f t="shared" si="162"/>
        <v>0</v>
      </c>
      <c r="AT77" s="272">
        <f t="shared" si="162"/>
        <v>0</v>
      </c>
      <c r="AU77" s="272">
        <f t="shared" si="162"/>
        <v>0</v>
      </c>
      <c r="AV77" s="272">
        <f t="shared" si="162"/>
        <v>0</v>
      </c>
      <c r="AW77" s="402">
        <f t="shared" si="162"/>
        <v>0</v>
      </c>
      <c r="AX77" s="272">
        <f t="shared" si="162"/>
        <v>0</v>
      </c>
      <c r="AY77" s="272">
        <f t="shared" si="162"/>
        <v>0</v>
      </c>
      <c r="AZ77" s="272">
        <f t="shared" si="162"/>
        <v>0</v>
      </c>
      <c r="BA77" s="272">
        <f t="shared" si="162"/>
        <v>0</v>
      </c>
      <c r="BB77" s="272">
        <f t="shared" si="162"/>
        <v>0</v>
      </c>
      <c r="BC77" s="1213">
        <v>0</v>
      </c>
      <c r="BD77" s="1213">
        <f>AK77*P77</f>
        <v>0</v>
      </c>
      <c r="BE77" s="1188">
        <f>AL77*Q77</f>
        <v>2750000</v>
      </c>
      <c r="BF77" s="1188">
        <f t="shared" si="159"/>
        <v>0</v>
      </c>
      <c r="BG77" s="1188">
        <f t="shared" si="159"/>
        <v>0</v>
      </c>
      <c r="BH77" s="1584">
        <f t="shared" si="159"/>
        <v>0</v>
      </c>
      <c r="BI77" s="1188">
        <f t="shared" si="159"/>
        <v>0</v>
      </c>
      <c r="BJ77" s="1188">
        <f t="shared" si="159"/>
        <v>0</v>
      </c>
      <c r="BK77" s="403">
        <f t="shared" si="154"/>
        <v>2750000</v>
      </c>
      <c r="BL77" s="272">
        <f>SUM(AS77*4%)</f>
        <v>0</v>
      </c>
      <c r="BM77" s="272">
        <f t="shared" si="160"/>
        <v>0</v>
      </c>
      <c r="BN77" s="272">
        <f t="shared" si="160"/>
        <v>0</v>
      </c>
      <c r="BO77" s="1199">
        <f t="shared" si="160"/>
        <v>0</v>
      </c>
      <c r="BP77" s="272">
        <f t="shared" si="160"/>
        <v>0</v>
      </c>
      <c r="BQ77" s="272">
        <f t="shared" si="160"/>
        <v>0</v>
      </c>
      <c r="BR77" s="272">
        <f t="shared" si="160"/>
        <v>0</v>
      </c>
      <c r="BS77" s="272"/>
      <c r="BT77" s="272">
        <f t="shared" si="161"/>
        <v>0</v>
      </c>
      <c r="BU77" s="272">
        <f t="shared" si="161"/>
        <v>0</v>
      </c>
      <c r="BV77" s="1213"/>
      <c r="BW77" s="1302"/>
      <c r="BX77" s="299">
        <f t="shared" si="25"/>
        <v>0</v>
      </c>
      <c r="BY77" s="983">
        <f t="shared" si="29"/>
        <v>0</v>
      </c>
      <c r="BZ77" s="274">
        <f t="shared" si="157"/>
        <v>2750000</v>
      </c>
      <c r="CA77" s="275">
        <f t="shared" si="26"/>
        <v>0</v>
      </c>
      <c r="CB77" s="276">
        <f>SUM(W77/D77)</f>
        <v>1</v>
      </c>
      <c r="CC77" s="1081"/>
      <c r="CD77" s="1081"/>
      <c r="CE77" s="1083"/>
      <c r="CF77" s="1084"/>
      <c r="CG77" s="862"/>
      <c r="CH77" s="862"/>
      <c r="CI77" s="862"/>
      <c r="CJ77" s="862"/>
      <c r="CK77" s="862"/>
      <c r="CL77" s="862"/>
      <c r="CM77" s="862"/>
      <c r="CN77" s="862"/>
      <c r="CO77" s="862"/>
      <c r="CP77" s="862"/>
      <c r="CQ77" s="1128"/>
      <c r="CR77" s="862"/>
      <c r="CS77" s="1128"/>
      <c r="CT77" s="862"/>
      <c r="CU77" s="862"/>
      <c r="CV77" s="862"/>
      <c r="CW77" s="862"/>
      <c r="CX77" s="862"/>
      <c r="CY77" s="73">
        <f t="shared" si="151"/>
        <v>0</v>
      </c>
      <c r="CZ77" s="862"/>
      <c r="DA77" s="862"/>
      <c r="DB77" s="862"/>
      <c r="DC77" s="862"/>
      <c r="DD77" s="862"/>
      <c r="DE77" s="862"/>
      <c r="DF77" s="862"/>
      <c r="DG77" s="862"/>
      <c r="DH77" s="1081"/>
      <c r="DI77" s="862"/>
      <c r="DJ77" s="862"/>
      <c r="DK77" s="862"/>
      <c r="DL77" s="862"/>
      <c r="DM77" s="862"/>
      <c r="DN77" s="862"/>
      <c r="DO77" s="862"/>
      <c r="DP77" s="862"/>
      <c r="DQ77" s="862"/>
      <c r="DR77" s="73">
        <f t="shared" si="152"/>
        <v>0</v>
      </c>
      <c r="DS77" s="303"/>
      <c r="DT77" s="414"/>
      <c r="DU77" s="424"/>
      <c r="DV77" s="303"/>
      <c r="DW77" s="303"/>
      <c r="DX77" s="303"/>
      <c r="DY77" s="304"/>
      <c r="DZ77" s="304"/>
      <c r="EA77" s="304"/>
      <c r="EB77" s="304"/>
      <c r="EC77" s="304"/>
      <c r="ED77" s="304"/>
      <c r="EE77" s="304"/>
      <c r="EF77" s="304"/>
      <c r="EG77" s="304"/>
      <c r="EH77" s="304"/>
      <c r="EI77" s="304"/>
    </row>
    <row r="78" spans="1:139" s="305" customFormat="1" ht="24.75" customHeight="1" x14ac:dyDescent="0.2">
      <c r="A78" s="786"/>
      <c r="B78" s="255" t="s">
        <v>265</v>
      </c>
      <c r="C78" s="295"/>
      <c r="D78" s="251"/>
      <c r="E78" s="296"/>
      <c r="F78" s="297"/>
      <c r="G78" s="398"/>
      <c r="H78" s="297"/>
      <c r="I78" s="297"/>
      <c r="J78" s="297"/>
      <c r="K78" s="297"/>
      <c r="L78" s="297"/>
      <c r="M78" s="297"/>
      <c r="N78" s="297"/>
      <c r="O78" s="297"/>
      <c r="P78" s="1207"/>
      <c r="Q78" s="1207"/>
      <c r="R78" s="1207"/>
      <c r="S78" s="464"/>
      <c r="T78" s="1299"/>
      <c r="U78" s="1184"/>
      <c r="V78" s="1184"/>
      <c r="W78" s="840">
        <f t="shared" si="153"/>
        <v>0</v>
      </c>
      <c r="X78" s="252"/>
      <c r="Y78" s="253"/>
      <c r="Z78" s="306"/>
      <c r="AA78" s="440"/>
      <c r="AB78" s="440"/>
      <c r="AC78" s="440"/>
      <c r="AD78" s="440"/>
      <c r="AE78" s="440"/>
      <c r="AF78" s="440"/>
      <c r="AG78" s="440"/>
      <c r="AH78" s="440"/>
      <c r="AI78" s="440"/>
      <c r="AJ78" s="440"/>
      <c r="AK78" s="1234"/>
      <c r="AL78" s="1234"/>
      <c r="AM78" s="1234"/>
      <c r="AN78" s="1186"/>
      <c r="AO78" s="1505"/>
      <c r="AP78" s="1186"/>
      <c r="AQ78" s="1186"/>
      <c r="AR78" s="271">
        <f t="shared" si="20"/>
        <v>0</v>
      </c>
      <c r="AS78" s="1199"/>
      <c r="AT78" s="272"/>
      <c r="AU78" s="272"/>
      <c r="AV78" s="272"/>
      <c r="AW78" s="402"/>
      <c r="AX78" s="272"/>
      <c r="AY78" s="272"/>
      <c r="AZ78" s="272"/>
      <c r="BA78" s="272"/>
      <c r="BB78" s="272"/>
      <c r="BC78" s="1213"/>
      <c r="BD78" s="1213"/>
      <c r="BE78" s="1188"/>
      <c r="BF78" s="1188"/>
      <c r="BG78" s="1188"/>
      <c r="BH78" s="1584"/>
      <c r="BI78" s="1188"/>
      <c r="BJ78" s="1188"/>
      <c r="BK78" s="403">
        <f t="shared" si="154"/>
        <v>0</v>
      </c>
      <c r="BL78" s="272"/>
      <c r="BM78" s="272"/>
      <c r="BN78" s="272"/>
      <c r="BO78" s="1199"/>
      <c r="BP78" s="272"/>
      <c r="BQ78" s="272"/>
      <c r="BR78" s="272"/>
      <c r="BS78" s="272"/>
      <c r="BT78" s="272"/>
      <c r="BU78" s="272"/>
      <c r="BV78" s="1213"/>
      <c r="BW78" s="1302"/>
      <c r="BX78" s="299">
        <f t="shared" si="25"/>
        <v>0</v>
      </c>
      <c r="BY78" s="983">
        <f t="shared" si="29"/>
        <v>0</v>
      </c>
      <c r="BZ78" s="274">
        <f t="shared" si="157"/>
        <v>0</v>
      </c>
      <c r="CA78" s="275">
        <f t="shared" si="26"/>
        <v>0</v>
      </c>
      <c r="CB78" s="276"/>
      <c r="CC78" s="1081"/>
      <c r="CD78" s="1081"/>
      <c r="CE78" s="1083"/>
      <c r="CF78" s="1084"/>
      <c r="CG78" s="862"/>
      <c r="CH78" s="862"/>
      <c r="CI78" s="862"/>
      <c r="CJ78" s="862"/>
      <c r="CK78" s="862"/>
      <c r="CL78" s="862"/>
      <c r="CM78" s="862"/>
      <c r="CN78" s="862"/>
      <c r="CO78" s="862"/>
      <c r="CP78" s="862"/>
      <c r="CQ78" s="1128"/>
      <c r="CR78" s="862"/>
      <c r="CS78" s="1128"/>
      <c r="CT78" s="862"/>
      <c r="CU78" s="862"/>
      <c r="CV78" s="862"/>
      <c r="CW78" s="862"/>
      <c r="CX78" s="862"/>
      <c r="CY78" s="73">
        <f t="shared" si="151"/>
        <v>0</v>
      </c>
      <c r="CZ78" s="862"/>
      <c r="DA78" s="862"/>
      <c r="DB78" s="862"/>
      <c r="DC78" s="862"/>
      <c r="DD78" s="862"/>
      <c r="DE78" s="862"/>
      <c r="DF78" s="862"/>
      <c r="DG78" s="862"/>
      <c r="DH78" s="1081"/>
      <c r="DI78" s="862"/>
      <c r="DJ78" s="862"/>
      <c r="DK78" s="862"/>
      <c r="DL78" s="862"/>
      <c r="DM78" s="862"/>
      <c r="DN78" s="862"/>
      <c r="DO78" s="862"/>
      <c r="DP78" s="862"/>
      <c r="DQ78" s="862"/>
      <c r="DR78" s="73">
        <f t="shared" si="152"/>
        <v>0</v>
      </c>
      <c r="DS78" s="303"/>
      <c r="DT78" s="414"/>
      <c r="DU78" s="424"/>
      <c r="DV78" s="303"/>
      <c r="DW78" s="303"/>
      <c r="DX78" s="303"/>
      <c r="DY78" s="304"/>
      <c r="DZ78" s="304"/>
      <c r="EA78" s="304"/>
      <c r="EB78" s="304"/>
      <c r="EC78" s="304"/>
      <c r="ED78" s="304"/>
      <c r="EE78" s="304"/>
      <c r="EF78" s="304"/>
      <c r="EG78" s="304"/>
      <c r="EH78" s="304"/>
      <c r="EI78" s="304"/>
    </row>
    <row r="79" spans="1:139" s="305" customFormat="1" ht="24.75" customHeight="1" x14ac:dyDescent="0.2">
      <c r="A79" s="786">
        <v>63</v>
      </c>
      <c r="B79" s="392" t="s">
        <v>361</v>
      </c>
      <c r="C79" s="295" t="s">
        <v>25</v>
      </c>
      <c r="D79" s="551">
        <v>1</v>
      </c>
      <c r="E79" s="551"/>
      <c r="F79" s="297"/>
      <c r="G79" s="398"/>
      <c r="H79" s="297"/>
      <c r="I79" s="297"/>
      <c r="J79" s="297"/>
      <c r="K79" s="297"/>
      <c r="L79" s="297"/>
      <c r="M79" s="297">
        <v>1</v>
      </c>
      <c r="N79" s="297"/>
      <c r="O79" s="297"/>
      <c r="P79" s="1207"/>
      <c r="Q79" s="1207"/>
      <c r="R79" s="1207"/>
      <c r="S79" s="464"/>
      <c r="T79" s="1299"/>
      <c r="U79" s="1184"/>
      <c r="V79" s="1184"/>
      <c r="W79" s="840">
        <f t="shared" si="153"/>
        <v>1</v>
      </c>
      <c r="X79" s="252" t="s">
        <v>36</v>
      </c>
      <c r="Y79" s="394">
        <v>10000000</v>
      </c>
      <c r="Z79" s="306"/>
      <c r="AA79" s="306"/>
      <c r="AB79" s="306"/>
      <c r="AC79" s="440"/>
      <c r="AD79" s="440"/>
      <c r="AE79" s="440"/>
      <c r="AF79" s="440"/>
      <c r="AG79" s="440"/>
      <c r="AH79" s="440">
        <v>8600000</v>
      </c>
      <c r="AI79" s="440"/>
      <c r="AJ79" s="440"/>
      <c r="AK79" s="1234"/>
      <c r="AL79" s="1234"/>
      <c r="AM79" s="1234"/>
      <c r="AN79" s="1186"/>
      <c r="AO79" s="1505"/>
      <c r="AP79" s="1186"/>
      <c r="AQ79" s="1186"/>
      <c r="AR79" s="271">
        <f t="shared" si="20"/>
        <v>10000000</v>
      </c>
      <c r="AS79" s="1199">
        <f t="shared" ref="AS79:BE81" si="163">Z79*E79</f>
        <v>0</v>
      </c>
      <c r="AT79" s="272">
        <f t="shared" si="163"/>
        <v>0</v>
      </c>
      <c r="AU79" s="272">
        <f t="shared" si="163"/>
        <v>0</v>
      </c>
      <c r="AV79" s="272">
        <f t="shared" si="163"/>
        <v>0</v>
      </c>
      <c r="AW79" s="402">
        <f t="shared" si="163"/>
        <v>0</v>
      </c>
      <c r="AX79" s="272">
        <f t="shared" si="163"/>
        <v>0</v>
      </c>
      <c r="AY79" s="272">
        <f t="shared" si="163"/>
        <v>0</v>
      </c>
      <c r="AZ79" s="272">
        <f t="shared" si="163"/>
        <v>0</v>
      </c>
      <c r="BA79" s="272">
        <f t="shared" si="163"/>
        <v>8600000</v>
      </c>
      <c r="BB79" s="272">
        <f t="shared" si="163"/>
        <v>0</v>
      </c>
      <c r="BC79" s="1213">
        <f t="shared" si="163"/>
        <v>0</v>
      </c>
      <c r="BD79" s="1213">
        <f t="shared" si="163"/>
        <v>0</v>
      </c>
      <c r="BE79" s="1188">
        <f t="shared" si="163"/>
        <v>0</v>
      </c>
      <c r="BF79" s="1188">
        <f t="shared" ref="BF79:BJ81" si="164">AM79*R79</f>
        <v>0</v>
      </c>
      <c r="BG79" s="1188">
        <f t="shared" si="164"/>
        <v>0</v>
      </c>
      <c r="BH79" s="1584">
        <f t="shared" si="164"/>
        <v>0</v>
      </c>
      <c r="BI79" s="1188">
        <f t="shared" si="164"/>
        <v>0</v>
      </c>
      <c r="BJ79" s="1188">
        <f t="shared" si="164"/>
        <v>0</v>
      </c>
      <c r="BK79" s="403">
        <f t="shared" si="154"/>
        <v>8600000</v>
      </c>
      <c r="BL79" s="272">
        <f>SUM(AS79*4%)</f>
        <v>0</v>
      </c>
      <c r="BM79" s="272">
        <f t="shared" ref="BM79:BM84" si="165">SUM(AT79*14%)</f>
        <v>0</v>
      </c>
      <c r="BN79" s="272">
        <f t="shared" ref="BN79:BW79" si="166">SUM(AU79*14%)</f>
        <v>0</v>
      </c>
      <c r="BO79" s="1199">
        <f t="shared" si="166"/>
        <v>0</v>
      </c>
      <c r="BP79" s="272">
        <f t="shared" si="166"/>
        <v>0</v>
      </c>
      <c r="BQ79" s="272">
        <f t="shared" si="166"/>
        <v>0</v>
      </c>
      <c r="BR79" s="272">
        <f t="shared" si="166"/>
        <v>0</v>
      </c>
      <c r="BS79" s="272">
        <f t="shared" si="166"/>
        <v>0</v>
      </c>
      <c r="BT79" s="272">
        <f t="shared" si="166"/>
        <v>1204000</v>
      </c>
      <c r="BU79" s="272">
        <f t="shared" si="166"/>
        <v>0</v>
      </c>
      <c r="BV79" s="1213">
        <f t="shared" si="166"/>
        <v>0</v>
      </c>
      <c r="BW79" s="1302">
        <f t="shared" si="166"/>
        <v>0</v>
      </c>
      <c r="BX79" s="299">
        <f t="shared" si="25"/>
        <v>1204000</v>
      </c>
      <c r="BY79" s="983">
        <f t="shared" si="29"/>
        <v>196000</v>
      </c>
      <c r="BZ79" s="274">
        <f t="shared" si="157"/>
        <v>10000000</v>
      </c>
      <c r="CA79" s="275">
        <f>BZ79-BK79-BX79</f>
        <v>196000</v>
      </c>
      <c r="CB79" s="276">
        <f>SUM(W79/D79)</f>
        <v>1</v>
      </c>
      <c r="CC79" s="1081"/>
      <c r="CD79" s="1081"/>
      <c r="CE79" s="1083"/>
      <c r="CF79" s="1084"/>
      <c r="CG79" s="862"/>
      <c r="CH79" s="862"/>
      <c r="CI79" s="862"/>
      <c r="CJ79" s="862"/>
      <c r="CK79" s="862"/>
      <c r="CL79" s="862"/>
      <c r="CM79" s="862"/>
      <c r="CN79" s="862"/>
      <c r="CO79" s="862"/>
      <c r="CP79" s="862"/>
      <c r="CQ79" s="1128"/>
      <c r="CR79" s="862"/>
      <c r="CS79" s="1128"/>
      <c r="CT79" s="862"/>
      <c r="CU79" s="862"/>
      <c r="CV79" s="862"/>
      <c r="CW79" s="862"/>
      <c r="CX79" s="862"/>
      <c r="CY79" s="73">
        <f t="shared" si="151"/>
        <v>0</v>
      </c>
      <c r="CZ79" s="862"/>
      <c r="DA79" s="862"/>
      <c r="DB79" s="862"/>
      <c r="DC79" s="862"/>
      <c r="DD79" s="862"/>
      <c r="DE79" s="862"/>
      <c r="DF79" s="862"/>
      <c r="DG79" s="862"/>
      <c r="DH79" s="1081"/>
      <c r="DI79" s="862"/>
      <c r="DJ79" s="862"/>
      <c r="DK79" s="862"/>
      <c r="DL79" s="862"/>
      <c r="DM79" s="862"/>
      <c r="DN79" s="862"/>
      <c r="DO79" s="862"/>
      <c r="DP79" s="862"/>
      <c r="DQ79" s="862"/>
      <c r="DR79" s="73">
        <f t="shared" si="152"/>
        <v>0</v>
      </c>
      <c r="DS79" s="303"/>
      <c r="DT79" s="414"/>
      <c r="DU79" s="424"/>
      <c r="DV79" s="303"/>
      <c r="DW79" s="303"/>
      <c r="DX79" s="303"/>
      <c r="DY79" s="304"/>
      <c r="DZ79" s="304"/>
      <c r="EA79" s="304"/>
      <c r="EB79" s="304"/>
      <c r="EC79" s="304"/>
      <c r="ED79" s="304"/>
      <c r="EE79" s="304"/>
      <c r="EF79" s="304"/>
      <c r="EG79" s="304"/>
      <c r="EH79" s="304"/>
      <c r="EI79" s="304"/>
    </row>
    <row r="80" spans="1:139" s="305" customFormat="1" ht="24.75" customHeight="1" x14ac:dyDescent="0.2">
      <c r="A80" s="786">
        <f t="shared" si="27"/>
        <v>64</v>
      </c>
      <c r="B80" s="392" t="s">
        <v>362</v>
      </c>
      <c r="C80" s="295" t="s">
        <v>25</v>
      </c>
      <c r="D80" s="551">
        <v>4</v>
      </c>
      <c r="E80" s="551"/>
      <c r="F80" s="297"/>
      <c r="G80" s="398"/>
      <c r="H80" s="297"/>
      <c r="I80" s="297"/>
      <c r="J80" s="297"/>
      <c r="K80" s="297"/>
      <c r="L80" s="297"/>
      <c r="M80" s="297">
        <v>1</v>
      </c>
      <c r="N80" s="297">
        <v>3</v>
      </c>
      <c r="O80" s="297"/>
      <c r="P80" s="1207"/>
      <c r="Q80" s="1207"/>
      <c r="R80" s="1207"/>
      <c r="S80" s="464"/>
      <c r="T80" s="1299"/>
      <c r="U80" s="1184"/>
      <c r="V80" s="1184"/>
      <c r="W80" s="840">
        <f t="shared" si="153"/>
        <v>4</v>
      </c>
      <c r="X80" s="252" t="s">
        <v>36</v>
      </c>
      <c r="Y80" s="394">
        <v>500000</v>
      </c>
      <c r="Z80" s="306"/>
      <c r="AA80" s="440"/>
      <c r="AB80" s="440"/>
      <c r="AC80" s="440"/>
      <c r="AD80" s="440"/>
      <c r="AE80" s="440"/>
      <c r="AF80" s="440"/>
      <c r="AG80" s="440"/>
      <c r="AH80" s="440">
        <v>500000</v>
      </c>
      <c r="AI80" s="440">
        <v>500000</v>
      </c>
      <c r="AJ80" s="440"/>
      <c r="AK80" s="1234"/>
      <c r="AL80" s="1234"/>
      <c r="AM80" s="1234"/>
      <c r="AN80" s="1186"/>
      <c r="AO80" s="1505"/>
      <c r="AP80" s="1186"/>
      <c r="AQ80" s="1186"/>
      <c r="AR80" s="271">
        <f t="shared" si="20"/>
        <v>2000000</v>
      </c>
      <c r="AS80" s="1199">
        <f t="shared" si="163"/>
        <v>0</v>
      </c>
      <c r="AT80" s="272">
        <f t="shared" si="163"/>
        <v>0</v>
      </c>
      <c r="AU80" s="272">
        <f t="shared" si="163"/>
        <v>0</v>
      </c>
      <c r="AV80" s="272">
        <f t="shared" si="163"/>
        <v>0</v>
      </c>
      <c r="AW80" s="402">
        <f t="shared" si="163"/>
        <v>0</v>
      </c>
      <c r="AX80" s="272">
        <f t="shared" si="163"/>
        <v>0</v>
      </c>
      <c r="AY80" s="272">
        <f t="shared" si="163"/>
        <v>0</v>
      </c>
      <c r="AZ80" s="272">
        <f t="shared" si="163"/>
        <v>0</v>
      </c>
      <c r="BA80" s="272">
        <f t="shared" si="163"/>
        <v>500000</v>
      </c>
      <c r="BB80" s="272">
        <f t="shared" si="163"/>
        <v>1500000</v>
      </c>
      <c r="BC80" s="1213">
        <f t="shared" si="163"/>
        <v>0</v>
      </c>
      <c r="BD80" s="1213">
        <f t="shared" si="163"/>
        <v>0</v>
      </c>
      <c r="BE80" s="1188">
        <f t="shared" si="163"/>
        <v>0</v>
      </c>
      <c r="BF80" s="1188">
        <f t="shared" si="164"/>
        <v>0</v>
      </c>
      <c r="BG80" s="1188">
        <f t="shared" si="164"/>
        <v>0</v>
      </c>
      <c r="BH80" s="1584">
        <f t="shared" si="164"/>
        <v>0</v>
      </c>
      <c r="BI80" s="1188">
        <f t="shared" si="164"/>
        <v>0</v>
      </c>
      <c r="BJ80" s="1188">
        <f t="shared" si="164"/>
        <v>0</v>
      </c>
      <c r="BK80" s="403">
        <f t="shared" si="154"/>
        <v>2000000</v>
      </c>
      <c r="BL80" s="272">
        <f t="shared" ref="BL80:BL81" si="167">SUM(AS80*4%)</f>
        <v>0</v>
      </c>
      <c r="BM80" s="272">
        <f t="shared" si="165"/>
        <v>0</v>
      </c>
      <c r="BN80" s="272">
        <f t="shared" ref="BN80:BQ81" si="168">SUM(AU80*14%)</f>
        <v>0</v>
      </c>
      <c r="BO80" s="1199">
        <f t="shared" si="168"/>
        <v>0</v>
      </c>
      <c r="BP80" s="272">
        <f t="shared" si="168"/>
        <v>0</v>
      </c>
      <c r="BQ80" s="272">
        <f t="shared" si="168"/>
        <v>0</v>
      </c>
      <c r="BR80" s="272"/>
      <c r="BS80" s="272"/>
      <c r="BT80" s="272"/>
      <c r="BU80" s="272"/>
      <c r="BV80" s="1213">
        <f>SUM(BC80*14%)</f>
        <v>0</v>
      </c>
      <c r="BW80" s="1302">
        <f>SUM(BD80*14%)</f>
        <v>0</v>
      </c>
      <c r="BX80" s="299">
        <f t="shared" si="25"/>
        <v>0</v>
      </c>
      <c r="BY80" s="983">
        <f t="shared" si="29"/>
        <v>0</v>
      </c>
      <c r="BZ80" s="274">
        <f t="shared" si="157"/>
        <v>2000000</v>
      </c>
      <c r="CA80" s="275">
        <f t="shared" si="26"/>
        <v>0</v>
      </c>
      <c r="CB80" s="276">
        <f>SUM(W80/D80)</f>
        <v>1</v>
      </c>
      <c r="CC80" s="1081"/>
      <c r="CD80" s="1081"/>
      <c r="CE80" s="1083"/>
      <c r="CF80" s="1084"/>
      <c r="CG80" s="862"/>
      <c r="CH80" s="862"/>
      <c r="CI80" s="862"/>
      <c r="CJ80" s="862"/>
      <c r="CK80" s="862"/>
      <c r="CL80" s="862"/>
      <c r="CM80" s="862"/>
      <c r="CN80" s="862"/>
      <c r="CO80" s="862"/>
      <c r="CP80" s="862"/>
      <c r="CQ80" s="1128"/>
      <c r="CR80" s="862"/>
      <c r="CS80" s="1128"/>
      <c r="CT80" s="862"/>
      <c r="CU80" s="862"/>
      <c r="CV80" s="862"/>
      <c r="CW80" s="862"/>
      <c r="CX80" s="862"/>
      <c r="CY80" s="73">
        <f t="shared" si="151"/>
        <v>0</v>
      </c>
      <c r="CZ80" s="862"/>
      <c r="DA80" s="862"/>
      <c r="DB80" s="862"/>
      <c r="DC80" s="862"/>
      <c r="DD80" s="862"/>
      <c r="DE80" s="862"/>
      <c r="DF80" s="862"/>
      <c r="DG80" s="862"/>
      <c r="DH80" s="1081"/>
      <c r="DI80" s="862"/>
      <c r="DJ80" s="862"/>
      <c r="DK80" s="862"/>
      <c r="DL80" s="862"/>
      <c r="DM80" s="862"/>
      <c r="DN80" s="862"/>
      <c r="DO80" s="862"/>
      <c r="DP80" s="862"/>
      <c r="DQ80" s="862"/>
      <c r="DR80" s="73">
        <f t="shared" si="152"/>
        <v>0</v>
      </c>
      <c r="DS80" s="303"/>
      <c r="DT80" s="414"/>
      <c r="DU80" s="424"/>
      <c r="DV80" s="303"/>
      <c r="DW80" s="303"/>
      <c r="DX80" s="303"/>
      <c r="DY80" s="304"/>
      <c r="DZ80" s="304"/>
      <c r="EA80" s="304"/>
      <c r="EB80" s="304"/>
      <c r="EC80" s="304"/>
      <c r="ED80" s="304"/>
      <c r="EE80" s="304"/>
      <c r="EF80" s="304"/>
      <c r="EG80" s="304"/>
      <c r="EH80" s="304"/>
      <c r="EI80" s="304"/>
    </row>
    <row r="81" spans="1:157" s="305" customFormat="1" ht="32.25" customHeight="1" x14ac:dyDescent="0.2">
      <c r="A81" s="786">
        <f t="shared" si="27"/>
        <v>65</v>
      </c>
      <c r="B81" s="392" t="s">
        <v>184</v>
      </c>
      <c r="C81" s="295" t="s">
        <v>25</v>
      </c>
      <c r="D81" s="551">
        <v>11</v>
      </c>
      <c r="E81" s="551"/>
      <c r="F81" s="297"/>
      <c r="G81" s="398"/>
      <c r="H81" s="297"/>
      <c r="I81" s="297"/>
      <c r="J81" s="297"/>
      <c r="K81" s="297"/>
      <c r="L81" s="297"/>
      <c r="M81" s="297">
        <v>11</v>
      </c>
      <c r="N81" s="297"/>
      <c r="O81" s="297"/>
      <c r="P81" s="1207"/>
      <c r="Q81" s="1207"/>
      <c r="R81" s="1207"/>
      <c r="S81" s="464"/>
      <c r="T81" s="1299"/>
      <c r="U81" s="1184"/>
      <c r="V81" s="1184"/>
      <c r="W81" s="840">
        <f t="shared" si="153"/>
        <v>11</v>
      </c>
      <c r="X81" s="252" t="s">
        <v>36</v>
      </c>
      <c r="Y81" s="394">
        <v>500000</v>
      </c>
      <c r="Z81" s="306"/>
      <c r="AA81" s="440"/>
      <c r="AB81" s="440"/>
      <c r="AC81" s="440"/>
      <c r="AD81" s="440"/>
      <c r="AE81" s="440"/>
      <c r="AF81" s="440"/>
      <c r="AG81" s="429"/>
      <c r="AH81" s="429">
        <v>500000</v>
      </c>
      <c r="AI81" s="429"/>
      <c r="AJ81" s="440"/>
      <c r="AK81" s="1234"/>
      <c r="AL81" s="1234"/>
      <c r="AM81" s="1234"/>
      <c r="AN81" s="1186"/>
      <c r="AO81" s="1505"/>
      <c r="AP81" s="1186"/>
      <c r="AQ81" s="1186"/>
      <c r="AR81" s="271">
        <f t="shared" si="20"/>
        <v>5500000</v>
      </c>
      <c r="AS81" s="1199">
        <f t="shared" si="163"/>
        <v>0</v>
      </c>
      <c r="AT81" s="272">
        <f t="shared" si="163"/>
        <v>0</v>
      </c>
      <c r="AU81" s="272">
        <f t="shared" si="163"/>
        <v>0</v>
      </c>
      <c r="AV81" s="272">
        <f t="shared" si="163"/>
        <v>0</v>
      </c>
      <c r="AW81" s="402">
        <f t="shared" si="163"/>
        <v>0</v>
      </c>
      <c r="AX81" s="272">
        <f t="shared" si="163"/>
        <v>0</v>
      </c>
      <c r="AY81" s="272">
        <f t="shared" si="163"/>
        <v>0</v>
      </c>
      <c r="AZ81" s="272">
        <f t="shared" si="163"/>
        <v>0</v>
      </c>
      <c r="BA81" s="272">
        <f t="shared" si="163"/>
        <v>5500000</v>
      </c>
      <c r="BB81" s="272">
        <f t="shared" si="163"/>
        <v>0</v>
      </c>
      <c r="BC81" s="1213">
        <f t="shared" si="163"/>
        <v>0</v>
      </c>
      <c r="BD81" s="1213">
        <f t="shared" si="163"/>
        <v>0</v>
      </c>
      <c r="BE81" s="1188">
        <f t="shared" si="163"/>
        <v>0</v>
      </c>
      <c r="BF81" s="1188">
        <f t="shared" si="164"/>
        <v>0</v>
      </c>
      <c r="BG81" s="1188">
        <f t="shared" si="164"/>
        <v>0</v>
      </c>
      <c r="BH81" s="1584">
        <f t="shared" si="164"/>
        <v>0</v>
      </c>
      <c r="BI81" s="1188">
        <f t="shared" si="164"/>
        <v>0</v>
      </c>
      <c r="BJ81" s="1188">
        <f t="shared" si="164"/>
        <v>0</v>
      </c>
      <c r="BK81" s="403">
        <f t="shared" si="154"/>
        <v>5500000</v>
      </c>
      <c r="BL81" s="272">
        <f t="shared" si="167"/>
        <v>0</v>
      </c>
      <c r="BM81" s="272">
        <f t="shared" si="165"/>
        <v>0</v>
      </c>
      <c r="BN81" s="272">
        <f t="shared" si="168"/>
        <v>0</v>
      </c>
      <c r="BO81" s="1199">
        <f t="shared" si="168"/>
        <v>0</v>
      </c>
      <c r="BP81" s="272">
        <f t="shared" si="168"/>
        <v>0</v>
      </c>
      <c r="BQ81" s="272">
        <f t="shared" si="168"/>
        <v>0</v>
      </c>
      <c r="BR81" s="272"/>
      <c r="BS81" s="272"/>
      <c r="BT81" s="272"/>
      <c r="BU81" s="272">
        <f>SUM(BB81*14%)</f>
        <v>0</v>
      </c>
      <c r="BV81" s="1213">
        <f>SUM(BC81*14%)</f>
        <v>0</v>
      </c>
      <c r="BW81" s="1302">
        <f>SUM(BD81*14%)</f>
        <v>0</v>
      </c>
      <c r="BX81" s="299">
        <f t="shared" si="25"/>
        <v>0</v>
      </c>
      <c r="BY81" s="983">
        <f t="shared" si="29"/>
        <v>0</v>
      </c>
      <c r="BZ81" s="274">
        <f t="shared" si="157"/>
        <v>5500000</v>
      </c>
      <c r="CA81" s="275">
        <f t="shared" si="26"/>
        <v>0</v>
      </c>
      <c r="CB81" s="276">
        <f>SUM(W81/D81)</f>
        <v>1</v>
      </c>
      <c r="CC81" s="1081"/>
      <c r="CD81" s="1081"/>
      <c r="CE81" s="1083"/>
      <c r="CF81" s="1084"/>
      <c r="CG81" s="862"/>
      <c r="CH81" s="862"/>
      <c r="CI81" s="862"/>
      <c r="CJ81" s="862"/>
      <c r="CK81" s="862"/>
      <c r="CL81" s="862"/>
      <c r="CM81" s="862"/>
      <c r="CN81" s="862"/>
      <c r="CO81" s="862"/>
      <c r="CP81" s="862"/>
      <c r="CQ81" s="1128"/>
      <c r="CR81" s="862"/>
      <c r="CS81" s="1128"/>
      <c r="CT81" s="862"/>
      <c r="CU81" s="862"/>
      <c r="CV81" s="862"/>
      <c r="CW81" s="862"/>
      <c r="CX81" s="862"/>
      <c r="CY81" s="73">
        <f t="shared" si="151"/>
        <v>0</v>
      </c>
      <c r="CZ81" s="862"/>
      <c r="DA81" s="862"/>
      <c r="DB81" s="862"/>
      <c r="DC81" s="862"/>
      <c r="DD81" s="862"/>
      <c r="DE81" s="862"/>
      <c r="DF81" s="862"/>
      <c r="DG81" s="862"/>
      <c r="DH81" s="1081"/>
      <c r="DI81" s="862"/>
      <c r="DJ81" s="862"/>
      <c r="DK81" s="862"/>
      <c r="DL81" s="862"/>
      <c r="DM81" s="862"/>
      <c r="DN81" s="862"/>
      <c r="DO81" s="862"/>
      <c r="DP81" s="862"/>
      <c r="DQ81" s="862"/>
      <c r="DR81" s="73">
        <f t="shared" si="152"/>
        <v>0</v>
      </c>
      <c r="DS81" s="303"/>
      <c r="DT81" s="414"/>
      <c r="DU81" s="424"/>
      <c r="DV81" s="303"/>
      <c r="DW81" s="303"/>
      <c r="DX81" s="303"/>
      <c r="DY81" s="304"/>
      <c r="DZ81" s="304"/>
      <c r="EA81" s="304"/>
      <c r="EB81" s="304"/>
      <c r="EC81" s="304"/>
      <c r="ED81" s="304"/>
      <c r="EE81" s="304"/>
      <c r="EF81" s="304"/>
      <c r="EG81" s="304"/>
      <c r="EH81" s="304"/>
      <c r="EI81" s="304"/>
    </row>
    <row r="82" spans="1:157" s="305" customFormat="1" ht="32.25" customHeight="1" x14ac:dyDescent="0.2">
      <c r="A82" s="786"/>
      <c r="B82" s="255" t="s">
        <v>282</v>
      </c>
      <c r="C82" s="295"/>
      <c r="D82" s="251"/>
      <c r="E82" s="296"/>
      <c r="F82" s="297"/>
      <c r="G82" s="398"/>
      <c r="H82" s="297"/>
      <c r="I82" s="297"/>
      <c r="J82" s="297"/>
      <c r="K82" s="297"/>
      <c r="L82" s="297"/>
      <c r="M82" s="297"/>
      <c r="N82" s="297"/>
      <c r="O82" s="297"/>
      <c r="P82" s="1207"/>
      <c r="Q82" s="1207"/>
      <c r="R82" s="1207"/>
      <c r="S82" s="464"/>
      <c r="T82" s="1299"/>
      <c r="U82" s="1184"/>
      <c r="V82" s="1184"/>
      <c r="W82" s="840">
        <f t="shared" si="153"/>
        <v>0</v>
      </c>
      <c r="X82" s="252"/>
      <c r="Y82" s="253"/>
      <c r="Z82" s="306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1234"/>
      <c r="AL82" s="1234"/>
      <c r="AM82" s="1234"/>
      <c r="AN82" s="1186"/>
      <c r="AO82" s="1505"/>
      <c r="AP82" s="1186"/>
      <c r="AQ82" s="1186"/>
      <c r="AR82" s="271"/>
      <c r="AS82" s="1199"/>
      <c r="AT82" s="272"/>
      <c r="AU82" s="272"/>
      <c r="AV82" s="272"/>
      <c r="AW82" s="402"/>
      <c r="AX82" s="272"/>
      <c r="AY82" s="272"/>
      <c r="AZ82" s="272"/>
      <c r="BA82" s="272"/>
      <c r="BB82" s="272"/>
      <c r="BC82" s="1213"/>
      <c r="BD82" s="1213"/>
      <c r="BE82" s="1188"/>
      <c r="BF82" s="1188"/>
      <c r="BG82" s="1188"/>
      <c r="BH82" s="1584"/>
      <c r="BI82" s="1188"/>
      <c r="BJ82" s="1188"/>
      <c r="BK82" s="403">
        <f t="shared" si="154"/>
        <v>0</v>
      </c>
      <c r="BL82" s="272"/>
      <c r="BM82" s="272"/>
      <c r="BN82" s="272"/>
      <c r="BO82" s="1199"/>
      <c r="BP82" s="272"/>
      <c r="BQ82" s="272"/>
      <c r="BR82" s="272"/>
      <c r="BS82" s="272"/>
      <c r="BT82" s="272"/>
      <c r="BU82" s="272"/>
      <c r="BV82" s="1213"/>
      <c r="BW82" s="1302"/>
      <c r="BX82" s="299"/>
      <c r="BY82" s="983"/>
      <c r="BZ82" s="274"/>
      <c r="CA82" s="275"/>
      <c r="CB82" s="276"/>
      <c r="CC82" s="1081"/>
      <c r="CD82" s="1081"/>
      <c r="CE82" s="1083"/>
      <c r="CF82" s="1084"/>
      <c r="CG82" s="862"/>
      <c r="CH82" s="862"/>
      <c r="CI82" s="862"/>
      <c r="CJ82" s="862"/>
      <c r="CK82" s="862"/>
      <c r="CL82" s="862"/>
      <c r="CM82" s="862"/>
      <c r="CN82" s="862"/>
      <c r="CO82" s="862"/>
      <c r="CP82" s="862"/>
      <c r="CQ82" s="1128"/>
      <c r="CR82" s="862"/>
      <c r="CS82" s="1128"/>
      <c r="CT82" s="862"/>
      <c r="CU82" s="862"/>
      <c r="CV82" s="862"/>
      <c r="CW82" s="862"/>
      <c r="CX82" s="862"/>
      <c r="CY82" s="73">
        <f t="shared" si="151"/>
        <v>0</v>
      </c>
      <c r="CZ82" s="862"/>
      <c r="DA82" s="862"/>
      <c r="DB82" s="862"/>
      <c r="DC82" s="862"/>
      <c r="DD82" s="862"/>
      <c r="DE82" s="862"/>
      <c r="DF82" s="862"/>
      <c r="DG82" s="862"/>
      <c r="DH82" s="1081"/>
      <c r="DI82" s="862"/>
      <c r="DJ82" s="862"/>
      <c r="DK82" s="862"/>
      <c r="DL82" s="862"/>
      <c r="DM82" s="862"/>
      <c r="DN82" s="862"/>
      <c r="DO82" s="862"/>
      <c r="DP82" s="862"/>
      <c r="DQ82" s="862"/>
      <c r="DR82" s="73">
        <f t="shared" si="152"/>
        <v>0</v>
      </c>
      <c r="DS82" s="303"/>
      <c r="DT82" s="414"/>
      <c r="DU82" s="424"/>
      <c r="DV82" s="303"/>
      <c r="DW82" s="303"/>
      <c r="DX82" s="303"/>
      <c r="DY82" s="304"/>
      <c r="DZ82" s="304"/>
      <c r="EA82" s="304"/>
      <c r="EB82" s="304"/>
      <c r="EC82" s="304"/>
      <c r="ED82" s="304"/>
      <c r="EE82" s="304"/>
      <c r="EF82" s="304"/>
      <c r="EG82" s="304"/>
      <c r="EH82" s="304"/>
      <c r="EI82" s="304"/>
    </row>
    <row r="83" spans="1:157" s="305" customFormat="1" ht="32.25" customHeight="1" x14ac:dyDescent="0.2">
      <c r="A83" s="786">
        <v>66</v>
      </c>
      <c r="B83" s="392" t="s">
        <v>363</v>
      </c>
      <c r="C83" s="295" t="s">
        <v>25</v>
      </c>
      <c r="D83" s="551">
        <v>1</v>
      </c>
      <c r="E83" s="296"/>
      <c r="F83" s="297"/>
      <c r="G83" s="398"/>
      <c r="H83" s="297"/>
      <c r="I83" s="297"/>
      <c r="J83" s="297"/>
      <c r="K83" s="297"/>
      <c r="L83" s="297"/>
      <c r="M83" s="297"/>
      <c r="N83" s="297"/>
      <c r="O83" s="297"/>
      <c r="P83" s="1207">
        <v>1</v>
      </c>
      <c r="Q83" s="1207"/>
      <c r="R83" s="1207"/>
      <c r="S83" s="464"/>
      <c r="T83" s="1299"/>
      <c r="U83" s="1184"/>
      <c r="V83" s="1184"/>
      <c r="W83" s="840">
        <f t="shared" si="153"/>
        <v>1</v>
      </c>
      <c r="X83" s="252" t="s">
        <v>14</v>
      </c>
      <c r="Y83" s="394">
        <v>500000</v>
      </c>
      <c r="Z83" s="306"/>
      <c r="AA83" s="440"/>
      <c r="AB83" s="440"/>
      <c r="AC83" s="440"/>
      <c r="AD83" s="440"/>
      <c r="AE83" s="440"/>
      <c r="AF83" s="440"/>
      <c r="AG83" s="440"/>
      <c r="AH83" s="440"/>
      <c r="AI83" s="440"/>
      <c r="AJ83" s="440"/>
      <c r="AK83" s="1234">
        <v>500000</v>
      </c>
      <c r="AL83" s="1234"/>
      <c r="AM83" s="1234"/>
      <c r="AN83" s="1186"/>
      <c r="AO83" s="1505"/>
      <c r="AP83" s="1186"/>
      <c r="AQ83" s="1186"/>
      <c r="AR83" s="271">
        <f t="shared" ref="AR83" si="169">SUM(W83*Y83)</f>
        <v>500000</v>
      </c>
      <c r="AS83" s="1199">
        <f t="shared" ref="AS83:BE84" si="170">Z83*E83</f>
        <v>0</v>
      </c>
      <c r="AT83" s="272">
        <f t="shared" si="170"/>
        <v>0</v>
      </c>
      <c r="AU83" s="272">
        <f t="shared" si="170"/>
        <v>0</v>
      </c>
      <c r="AV83" s="272">
        <f t="shared" si="170"/>
        <v>0</v>
      </c>
      <c r="AW83" s="402">
        <f t="shared" si="170"/>
        <v>0</v>
      </c>
      <c r="AX83" s="272">
        <f t="shared" si="170"/>
        <v>0</v>
      </c>
      <c r="AY83" s="272">
        <f t="shared" si="170"/>
        <v>0</v>
      </c>
      <c r="AZ83" s="272">
        <f t="shared" si="170"/>
        <v>0</v>
      </c>
      <c r="BA83" s="272">
        <f t="shared" si="170"/>
        <v>0</v>
      </c>
      <c r="BB83" s="272">
        <f t="shared" si="170"/>
        <v>0</v>
      </c>
      <c r="BC83" s="1213">
        <f t="shared" si="170"/>
        <v>0</v>
      </c>
      <c r="BD83" s="1213">
        <f t="shared" si="170"/>
        <v>500000</v>
      </c>
      <c r="BE83" s="1188">
        <f t="shared" si="170"/>
        <v>0</v>
      </c>
      <c r="BF83" s="1188">
        <f t="shared" ref="BF83:BJ84" si="171">AM83*R83</f>
        <v>0</v>
      </c>
      <c r="BG83" s="1188">
        <f t="shared" si="171"/>
        <v>0</v>
      </c>
      <c r="BH83" s="1584">
        <f t="shared" si="171"/>
        <v>0</v>
      </c>
      <c r="BI83" s="1188">
        <f t="shared" si="171"/>
        <v>0</v>
      </c>
      <c r="BJ83" s="1188">
        <f t="shared" si="171"/>
        <v>0</v>
      </c>
      <c r="BK83" s="403">
        <f t="shared" si="154"/>
        <v>500000</v>
      </c>
      <c r="BL83" s="272">
        <f t="shared" ref="BL83" si="172">SUM(AS83*4%)</f>
        <v>0</v>
      </c>
      <c r="BM83" s="272">
        <f t="shared" ref="BM83" si="173">SUM(AT83*14%)</f>
        <v>0</v>
      </c>
      <c r="BN83" s="272">
        <f t="shared" ref="BN83" si="174">SUM(AU83*14%)</f>
        <v>0</v>
      </c>
      <c r="BO83" s="1199">
        <f t="shared" ref="BO83" si="175">SUM(AV83*14%)</f>
        <v>0</v>
      </c>
      <c r="BP83" s="272">
        <f t="shared" ref="BP83" si="176">SUM(AW83*14%)</f>
        <v>0</v>
      </c>
      <c r="BQ83" s="272">
        <f t="shared" ref="BQ83" si="177">SUM(AX83*14%)</f>
        <v>0</v>
      </c>
      <c r="BR83" s="272">
        <f t="shared" ref="BR83" si="178">SUM(AY83*14%)</f>
        <v>0</v>
      </c>
      <c r="BS83" s="272"/>
      <c r="BT83" s="272">
        <f t="shared" ref="BT83" si="179">SUM(BA83*14%)</f>
        <v>0</v>
      </c>
      <c r="BU83" s="272">
        <f t="shared" ref="BU83" si="180">SUM(BB83*14%)</f>
        <v>0</v>
      </c>
      <c r="BV83" s="1213">
        <f>SUM(BC83*2%)</f>
        <v>0</v>
      </c>
      <c r="BW83" s="1302"/>
      <c r="BX83" s="299">
        <f t="shared" ref="BX83" si="181">SUM(BL83:BW83)</f>
        <v>0</v>
      </c>
      <c r="BY83" s="983">
        <f>AR83-BK83</f>
        <v>0</v>
      </c>
      <c r="BZ83" s="274">
        <f>Y83*D83</f>
        <v>500000</v>
      </c>
      <c r="CA83" s="275">
        <f>BZ83-BK83</f>
        <v>0</v>
      </c>
      <c r="CB83" s="276">
        <f>SUM(W83/D83)</f>
        <v>1</v>
      </c>
      <c r="CC83" s="1081"/>
      <c r="CD83" s="1081"/>
      <c r="CE83" s="1083"/>
      <c r="CF83" s="1084"/>
      <c r="CG83" s="862"/>
      <c r="CH83" s="862"/>
      <c r="CI83" s="862"/>
      <c r="CJ83" s="862"/>
      <c r="CK83" s="862"/>
      <c r="CL83" s="862"/>
      <c r="CM83" s="862"/>
      <c r="CN83" s="862"/>
      <c r="CO83" s="862"/>
      <c r="CP83" s="862"/>
      <c r="CQ83" s="1128"/>
      <c r="CR83" s="862"/>
      <c r="CS83" s="1128"/>
      <c r="CT83" s="862"/>
      <c r="CU83" s="862"/>
      <c r="CV83" s="862"/>
      <c r="CW83" s="862"/>
      <c r="CX83" s="862"/>
      <c r="CY83" s="73">
        <f t="shared" si="151"/>
        <v>0</v>
      </c>
      <c r="CZ83" s="862"/>
      <c r="DA83" s="862"/>
      <c r="DB83" s="862"/>
      <c r="DC83" s="862"/>
      <c r="DD83" s="862"/>
      <c r="DE83" s="862"/>
      <c r="DF83" s="862"/>
      <c r="DG83" s="862"/>
      <c r="DH83" s="1081"/>
      <c r="DI83" s="862"/>
      <c r="DJ83" s="862"/>
      <c r="DK83" s="862"/>
      <c r="DL83" s="862"/>
      <c r="DM83" s="862"/>
      <c r="DN83" s="862"/>
      <c r="DO83" s="862"/>
      <c r="DP83" s="862"/>
      <c r="DQ83" s="862"/>
      <c r="DR83" s="73">
        <f t="shared" si="152"/>
        <v>0</v>
      </c>
      <c r="DS83" s="303"/>
      <c r="DT83" s="414"/>
      <c r="DU83" s="424"/>
      <c r="DV83" s="303"/>
      <c r="DW83" s="303"/>
      <c r="DX83" s="303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</row>
    <row r="84" spans="1:157" s="305" customFormat="1" ht="32.25" customHeight="1" thickBot="1" x14ac:dyDescent="0.25">
      <c r="A84" s="786">
        <f t="shared" si="27"/>
        <v>67</v>
      </c>
      <c r="B84" s="392" t="s">
        <v>364</v>
      </c>
      <c r="C84" s="295" t="s">
        <v>25</v>
      </c>
      <c r="D84" s="393">
        <v>1</v>
      </c>
      <c r="E84" s="296"/>
      <c r="F84" s="297"/>
      <c r="G84" s="398"/>
      <c r="H84" s="297"/>
      <c r="I84" s="297"/>
      <c r="J84" s="297"/>
      <c r="K84" s="297"/>
      <c r="L84" s="297"/>
      <c r="M84" s="297"/>
      <c r="N84" s="297"/>
      <c r="O84" s="297"/>
      <c r="P84" s="1207">
        <v>1</v>
      </c>
      <c r="Q84" s="1207"/>
      <c r="R84" s="1207"/>
      <c r="S84" s="464"/>
      <c r="T84" s="1299"/>
      <c r="U84" s="1184"/>
      <c r="V84" s="1184"/>
      <c r="W84" s="840">
        <f t="shared" si="153"/>
        <v>1</v>
      </c>
      <c r="X84" s="252" t="s">
        <v>14</v>
      </c>
      <c r="Y84" s="253">
        <v>150000</v>
      </c>
      <c r="Z84" s="306"/>
      <c r="AA84" s="440"/>
      <c r="AB84" s="440"/>
      <c r="AC84" s="440"/>
      <c r="AD84" s="440"/>
      <c r="AE84" s="440"/>
      <c r="AF84" s="440"/>
      <c r="AG84" s="440"/>
      <c r="AH84" s="440"/>
      <c r="AI84" s="440"/>
      <c r="AJ84" s="440"/>
      <c r="AK84" s="1234">
        <v>150000</v>
      </c>
      <c r="AL84" s="1234"/>
      <c r="AM84" s="1234"/>
      <c r="AN84" s="1186"/>
      <c r="AO84" s="1505"/>
      <c r="AP84" s="1186"/>
      <c r="AQ84" s="1186"/>
      <c r="AR84" s="271">
        <f t="shared" si="20"/>
        <v>150000</v>
      </c>
      <c r="AS84" s="1199">
        <f t="shared" si="170"/>
        <v>0</v>
      </c>
      <c r="AT84" s="272">
        <f t="shared" si="170"/>
        <v>0</v>
      </c>
      <c r="AU84" s="272">
        <f t="shared" si="170"/>
        <v>0</v>
      </c>
      <c r="AV84" s="272">
        <f t="shared" si="170"/>
        <v>0</v>
      </c>
      <c r="AW84" s="402">
        <f t="shared" si="170"/>
        <v>0</v>
      </c>
      <c r="AX84" s="272">
        <f t="shared" si="170"/>
        <v>0</v>
      </c>
      <c r="AY84" s="272">
        <f t="shared" si="170"/>
        <v>0</v>
      </c>
      <c r="AZ84" s="272">
        <f t="shared" si="170"/>
        <v>0</v>
      </c>
      <c r="BA84" s="272">
        <f t="shared" si="170"/>
        <v>0</v>
      </c>
      <c r="BB84" s="272">
        <f t="shared" si="170"/>
        <v>0</v>
      </c>
      <c r="BC84" s="1213">
        <f t="shared" si="170"/>
        <v>0</v>
      </c>
      <c r="BD84" s="1213">
        <f t="shared" si="170"/>
        <v>150000</v>
      </c>
      <c r="BE84" s="1188">
        <f t="shared" si="170"/>
        <v>0</v>
      </c>
      <c r="BF84" s="1188">
        <f t="shared" si="171"/>
        <v>0</v>
      </c>
      <c r="BG84" s="1188">
        <f t="shared" si="171"/>
        <v>0</v>
      </c>
      <c r="BH84" s="1584">
        <f t="shared" si="171"/>
        <v>0</v>
      </c>
      <c r="BI84" s="1188">
        <f t="shared" si="171"/>
        <v>0</v>
      </c>
      <c r="BJ84" s="1188">
        <f t="shared" si="171"/>
        <v>0</v>
      </c>
      <c r="BK84" s="403">
        <f t="shared" si="154"/>
        <v>150000</v>
      </c>
      <c r="BL84" s="272">
        <f t="shared" ref="BL84" si="182">SUM(AS84*4%)</f>
        <v>0</v>
      </c>
      <c r="BM84" s="272">
        <f t="shared" si="165"/>
        <v>0</v>
      </c>
      <c r="BN84" s="272">
        <f t="shared" ref="BN84" si="183">SUM(AU84*14%)</f>
        <v>0</v>
      </c>
      <c r="BO84" s="1199">
        <f t="shared" ref="BO84" si="184">SUM(AV84*14%)</f>
        <v>0</v>
      </c>
      <c r="BP84" s="272">
        <f>SUM(AW84*4%)</f>
        <v>0</v>
      </c>
      <c r="BQ84" s="272">
        <f t="shared" ref="BQ84" si="185">SUM(AX84*14%)</f>
        <v>0</v>
      </c>
      <c r="BR84" s="272">
        <f t="shared" ref="BR84" si="186">SUM(AY84*14%)</f>
        <v>0</v>
      </c>
      <c r="BS84" s="272">
        <f t="shared" ref="BS84" si="187">SUM(AZ84*14%)</f>
        <v>0</v>
      </c>
      <c r="BT84" s="272">
        <f t="shared" ref="BT84" si="188">SUM(BA84*14%)</f>
        <v>0</v>
      </c>
      <c r="BU84" s="272">
        <f t="shared" ref="BU84" si="189">SUM(BB84*14%)</f>
        <v>0</v>
      </c>
      <c r="BV84" s="1213">
        <f>SUM(BC84*2%)</f>
        <v>0</v>
      </c>
      <c r="BW84" s="1302"/>
      <c r="BX84" s="299">
        <f t="shared" si="25"/>
        <v>0</v>
      </c>
      <c r="BY84" s="983">
        <f>AR84-BK84</f>
        <v>0</v>
      </c>
      <c r="BZ84" s="274">
        <f>Y84*D84</f>
        <v>150000</v>
      </c>
      <c r="CA84" s="275">
        <f>BZ84-BK84</f>
        <v>0</v>
      </c>
      <c r="CB84" s="276">
        <f>SUM(W84/D84)</f>
        <v>1</v>
      </c>
      <c r="CC84" s="1081"/>
      <c r="CD84" s="1081"/>
      <c r="CE84" s="1083"/>
      <c r="CF84" s="1084"/>
      <c r="CG84" s="862"/>
      <c r="CH84" s="862"/>
      <c r="CI84" s="862"/>
      <c r="CJ84" s="862"/>
      <c r="CK84" s="862"/>
      <c r="CL84" s="862"/>
      <c r="CM84" s="862"/>
      <c r="CN84" s="862"/>
      <c r="CO84" s="862"/>
      <c r="CP84" s="862"/>
      <c r="CQ84" s="1128"/>
      <c r="CR84" s="862"/>
      <c r="CS84" s="1128"/>
      <c r="CT84" s="862"/>
      <c r="CU84" s="862"/>
      <c r="CV84" s="862"/>
      <c r="CW84" s="862"/>
      <c r="CX84" s="862"/>
      <c r="CY84" s="73">
        <f t="shared" si="151"/>
        <v>0</v>
      </c>
      <c r="CZ84" s="862"/>
      <c r="DA84" s="862"/>
      <c r="DB84" s="862"/>
      <c r="DC84" s="862"/>
      <c r="DD84" s="862"/>
      <c r="DE84" s="862"/>
      <c r="DF84" s="862"/>
      <c r="DG84" s="862"/>
      <c r="DH84" s="1081"/>
      <c r="DI84" s="862"/>
      <c r="DJ84" s="862"/>
      <c r="DK84" s="862"/>
      <c r="DL84" s="862"/>
      <c r="DM84" s="862"/>
      <c r="DN84" s="862"/>
      <c r="DO84" s="862"/>
      <c r="DP84" s="862"/>
      <c r="DQ84" s="862"/>
      <c r="DR84" s="73">
        <f t="shared" si="152"/>
        <v>0</v>
      </c>
      <c r="DS84" s="303"/>
      <c r="DT84" s="414"/>
      <c r="DU84" s="424"/>
      <c r="DV84" s="303"/>
      <c r="DW84" s="303"/>
      <c r="DX84" s="303"/>
      <c r="DY84" s="304"/>
      <c r="DZ84" s="304"/>
      <c r="EA84" s="304"/>
      <c r="EB84" s="304"/>
      <c r="EC84" s="304"/>
      <c r="ED84" s="304"/>
      <c r="EE84" s="304"/>
      <c r="EF84" s="304"/>
      <c r="EG84" s="304"/>
      <c r="EH84" s="304"/>
      <c r="EI84" s="304"/>
    </row>
    <row r="85" spans="1:157" s="282" customFormat="1" ht="24.75" customHeight="1" thickBot="1" x14ac:dyDescent="0.25">
      <c r="A85" s="577">
        <v>1</v>
      </c>
      <c r="B85" s="308" t="s">
        <v>4</v>
      </c>
      <c r="C85" s="308"/>
      <c r="D85" s="309"/>
      <c r="E85" s="465"/>
      <c r="F85" s="310"/>
      <c r="G85" s="399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1422"/>
      <c r="U85" s="310"/>
      <c r="V85" s="310"/>
      <c r="W85" s="311"/>
      <c r="X85" s="312"/>
      <c r="Y85" s="313"/>
      <c r="Z85" s="997"/>
      <c r="AA85" s="314"/>
      <c r="AB85" s="314"/>
      <c r="AC85" s="314"/>
      <c r="AD85" s="989"/>
      <c r="AE85" s="314"/>
      <c r="AF85" s="989"/>
      <c r="AG85" s="314"/>
      <c r="AH85" s="314"/>
      <c r="AI85" s="314"/>
      <c r="AJ85" s="314"/>
      <c r="AK85" s="997"/>
      <c r="AL85" s="997"/>
      <c r="AM85" s="989"/>
      <c r="AN85" s="989"/>
      <c r="AO85" s="989"/>
      <c r="AP85" s="989"/>
      <c r="AQ85" s="989"/>
      <c r="AR85" s="315">
        <f t="shared" ref="AR85:BW85" si="190">SUM(AR5:AR84)</f>
        <v>146553970</v>
      </c>
      <c r="AS85" s="1232">
        <f t="shared" si="190"/>
        <v>18360000</v>
      </c>
      <c r="AT85" s="315">
        <f t="shared" si="190"/>
        <v>3588000</v>
      </c>
      <c r="AU85" s="315">
        <f t="shared" si="190"/>
        <v>5332666</v>
      </c>
      <c r="AV85" s="315">
        <f t="shared" si="190"/>
        <v>1545000</v>
      </c>
      <c r="AW85" s="315">
        <f t="shared" si="190"/>
        <v>7020150</v>
      </c>
      <c r="AX85" s="315">
        <f t="shared" si="190"/>
        <v>3850000</v>
      </c>
      <c r="AY85" s="315">
        <f t="shared" si="190"/>
        <v>7020150</v>
      </c>
      <c r="AZ85" s="315">
        <f t="shared" si="190"/>
        <v>1300000</v>
      </c>
      <c r="BA85" s="315">
        <f t="shared" si="190"/>
        <v>29212650</v>
      </c>
      <c r="BB85" s="315">
        <f t="shared" si="190"/>
        <v>5300000</v>
      </c>
      <c r="BC85" s="430">
        <f>SUM(BC5:BC84)</f>
        <v>7020150</v>
      </c>
      <c r="BD85" s="1369">
        <f>SUM(BD5:BD84)</f>
        <v>15251650</v>
      </c>
      <c r="BE85" s="1369">
        <f>SUM(BE5:BE84)</f>
        <v>4320000</v>
      </c>
      <c r="BF85" s="1369">
        <f t="shared" si="190"/>
        <v>7261650</v>
      </c>
      <c r="BG85" s="315">
        <f>SUM(BG5:BG84)</f>
        <v>7971650</v>
      </c>
      <c r="BH85" s="1478">
        <f>SUM(BH5:BH84)</f>
        <v>10011650</v>
      </c>
      <c r="BI85" s="315">
        <f t="shared" si="190"/>
        <v>0</v>
      </c>
      <c r="BJ85" s="315">
        <f t="shared" si="190"/>
        <v>0</v>
      </c>
      <c r="BK85" s="315">
        <f>SUM(BK5:BK84)-3000000</f>
        <v>135465366</v>
      </c>
      <c r="BL85" s="315">
        <f t="shared" si="190"/>
        <v>405520</v>
      </c>
      <c r="BM85" s="315">
        <f t="shared" si="190"/>
        <v>149400</v>
      </c>
      <c r="BN85" s="315">
        <f t="shared" si="190"/>
        <v>5100</v>
      </c>
      <c r="BO85" s="1232">
        <f t="shared" si="190"/>
        <v>135000</v>
      </c>
      <c r="BP85" s="315">
        <f t="shared" si="190"/>
        <v>69000</v>
      </c>
      <c r="BQ85" s="315">
        <f t="shared" si="190"/>
        <v>0</v>
      </c>
      <c r="BR85" s="315">
        <f t="shared" si="190"/>
        <v>69000</v>
      </c>
      <c r="BS85" s="315">
        <f t="shared" si="190"/>
        <v>0</v>
      </c>
      <c r="BT85" s="315">
        <f t="shared" si="190"/>
        <v>1903680</v>
      </c>
      <c r="BU85" s="315">
        <f t="shared" si="190"/>
        <v>0</v>
      </c>
      <c r="BV85" s="315">
        <f t="shared" si="190"/>
        <v>69000</v>
      </c>
      <c r="BW85" s="315">
        <f t="shared" si="190"/>
        <v>0</v>
      </c>
      <c r="BX85" s="315">
        <f>SUM(BX5:BX84)</f>
        <v>2805700</v>
      </c>
      <c r="BY85" s="316">
        <f>SUM(BY5:BY84)-BX83-BX84</f>
        <v>4782904</v>
      </c>
      <c r="BZ85" s="316">
        <f>SUM(BZ5:BZ84)-BZ42-BZ43</f>
        <v>155889280</v>
      </c>
      <c r="CA85" s="316">
        <f>SUM(CA5:CA84)</f>
        <v>14618214</v>
      </c>
      <c r="CB85" s="279">
        <v>1</v>
      </c>
      <c r="CC85" s="1081"/>
      <c r="CD85" s="1081"/>
      <c r="CE85" s="1083"/>
      <c r="CF85" s="1084"/>
      <c r="CG85" s="862"/>
      <c r="CH85" s="862"/>
      <c r="CI85" s="862"/>
      <c r="CJ85" s="862"/>
      <c r="CK85" s="862"/>
      <c r="CL85" s="862"/>
      <c r="CM85" s="862"/>
      <c r="CN85" s="862"/>
      <c r="CO85" s="862"/>
      <c r="CP85" s="862"/>
      <c r="CQ85" s="1128">
        <f>SUM(CQ5:CQ84)</f>
        <v>34500</v>
      </c>
      <c r="CR85" s="862"/>
      <c r="CS85" s="1128">
        <f>SUM(CS5:CS84)</f>
        <v>0</v>
      </c>
      <c r="CT85" s="862"/>
      <c r="CU85" s="862"/>
      <c r="CV85" s="862"/>
      <c r="CW85" s="862"/>
      <c r="CX85" s="862"/>
      <c r="CY85" s="73">
        <f t="shared" si="151"/>
        <v>34500</v>
      </c>
      <c r="CZ85" s="862"/>
      <c r="DA85" s="862"/>
      <c r="DB85" s="862"/>
      <c r="DC85" s="862"/>
      <c r="DD85" s="862"/>
      <c r="DE85" s="862"/>
      <c r="DF85" s="862"/>
      <c r="DG85" s="862"/>
      <c r="DH85" s="1081"/>
      <c r="DI85" s="862"/>
      <c r="DJ85" s="862"/>
      <c r="DK85" s="862"/>
      <c r="DL85" s="862"/>
      <c r="DM85" s="862"/>
      <c r="DN85" s="862"/>
      <c r="DO85" s="862"/>
      <c r="DP85" s="862"/>
      <c r="DQ85" s="862"/>
      <c r="DR85" s="73">
        <f t="shared" si="152"/>
        <v>0</v>
      </c>
      <c r="DS85" s="317"/>
      <c r="DT85" s="317"/>
      <c r="DU85" s="425"/>
      <c r="DV85" s="317"/>
      <c r="DW85" s="317"/>
      <c r="DX85" s="317"/>
      <c r="DY85" s="318"/>
      <c r="DZ85" s="318"/>
      <c r="EA85" s="318"/>
      <c r="EB85" s="318"/>
      <c r="EC85" s="318"/>
      <c r="ED85" s="318"/>
      <c r="EE85" s="318"/>
      <c r="EF85" s="318"/>
      <c r="EG85" s="318"/>
      <c r="EH85" s="318"/>
      <c r="EI85" s="318"/>
    </row>
    <row r="86" spans="1:157" s="262" customFormat="1" ht="24.75" customHeight="1" x14ac:dyDescent="0.2">
      <c r="A86" s="283"/>
      <c r="D86" s="283"/>
      <c r="E86" s="463"/>
      <c r="F86" s="283"/>
      <c r="G86" s="397"/>
      <c r="H86" s="283"/>
      <c r="I86" s="46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Z86" s="998"/>
      <c r="AS86" s="998"/>
      <c r="BK86" s="291"/>
      <c r="BL86" s="387"/>
      <c r="BO86" s="998"/>
      <c r="BX86" s="319">
        <f>SUM(BK85+BX85)</f>
        <v>138271066</v>
      </c>
      <c r="BY86" s="284">
        <f>AR85-BK85-BX85</f>
        <v>8282904</v>
      </c>
      <c r="BZ86" s="320">
        <f>SUM(CA85+BK85+BX85)-BX83-BX84</f>
        <v>152889280</v>
      </c>
      <c r="CA86" s="285">
        <f>SUM(BY85)</f>
        <v>4782904</v>
      </c>
      <c r="CB86" s="280" t="s">
        <v>38</v>
      </c>
      <c r="CC86" s="1011"/>
      <c r="CD86" s="1012"/>
      <c r="CE86" s="260"/>
      <c r="CF86" s="409"/>
      <c r="CG86" s="417"/>
      <c r="CH86" s="409"/>
      <c r="CI86" s="409"/>
      <c r="CJ86" s="409"/>
      <c r="CK86" s="417"/>
      <c r="CL86" s="409"/>
      <c r="CM86" s="409"/>
      <c r="CN86" s="409"/>
      <c r="CO86" s="417"/>
      <c r="CP86" s="409"/>
      <c r="CQ86" s="409"/>
      <c r="CR86" s="409"/>
      <c r="CS86" s="409"/>
      <c r="CT86" s="409"/>
      <c r="CU86" s="409"/>
      <c r="CV86" s="409"/>
      <c r="CW86" s="409"/>
      <c r="CX86" s="409"/>
      <c r="CY86" s="417"/>
      <c r="CZ86" s="409"/>
      <c r="DA86" s="409"/>
      <c r="DB86" s="409"/>
      <c r="DC86" s="417"/>
      <c r="DD86" s="409"/>
      <c r="DE86" s="409"/>
      <c r="DF86" s="409"/>
      <c r="DG86" s="417"/>
      <c r="DH86" s="409"/>
      <c r="DI86" s="409"/>
      <c r="DJ86" s="409"/>
      <c r="DK86" s="409"/>
      <c r="DL86" s="409"/>
      <c r="DM86" s="409"/>
      <c r="DN86" s="409"/>
      <c r="DO86" s="409"/>
      <c r="DP86" s="409"/>
      <c r="DQ86" s="409"/>
      <c r="DR86" s="409"/>
      <c r="DS86" s="409"/>
      <c r="DT86" s="409"/>
      <c r="DU86" s="417"/>
      <c r="DV86" s="409"/>
      <c r="DW86" s="409"/>
      <c r="DX86" s="409"/>
      <c r="DY86" s="260"/>
      <c r="DZ86" s="260"/>
      <c r="EA86" s="260"/>
      <c r="EB86" s="260"/>
      <c r="EC86" s="260"/>
      <c r="ED86" s="260"/>
      <c r="EE86" s="260"/>
      <c r="EF86" s="260"/>
      <c r="EG86" s="260"/>
      <c r="EH86" s="260"/>
      <c r="EI86" s="260"/>
      <c r="EJ86" s="260"/>
    </row>
    <row r="87" spans="1:157" s="280" customFormat="1" ht="24.75" customHeight="1" x14ac:dyDescent="0.2">
      <c r="A87" s="384"/>
      <c r="B87" s="280" t="s">
        <v>730</v>
      </c>
      <c r="D87" s="384"/>
      <c r="E87" s="466"/>
      <c r="F87" s="384"/>
      <c r="G87" s="259"/>
      <c r="H87" s="384"/>
      <c r="I87" s="466"/>
      <c r="J87" s="384"/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Z87" s="999"/>
      <c r="AS87" s="1357"/>
      <c r="AY87" s="388"/>
      <c r="BH87" s="388"/>
      <c r="BL87" s="1358">
        <f t="shared" ref="BL87:BW87" si="191">SUM(AS85+BL85)</f>
        <v>18765520</v>
      </c>
      <c r="BM87" s="1358">
        <f t="shared" si="191"/>
        <v>3737400</v>
      </c>
      <c r="BN87" s="1358">
        <f t="shared" si="191"/>
        <v>5337766</v>
      </c>
      <c r="BO87" s="1367">
        <f t="shared" si="191"/>
        <v>1680000</v>
      </c>
      <c r="BP87" s="1367">
        <f t="shared" si="191"/>
        <v>7089150</v>
      </c>
      <c r="BQ87" s="1367">
        <f t="shared" si="191"/>
        <v>3850000</v>
      </c>
      <c r="BR87" s="1367">
        <f t="shared" si="191"/>
        <v>7089150</v>
      </c>
      <c r="BS87" s="1367">
        <f t="shared" si="191"/>
        <v>1300000</v>
      </c>
      <c r="BT87" s="1367">
        <f t="shared" si="191"/>
        <v>31116330</v>
      </c>
      <c r="BU87" s="1367">
        <f t="shared" si="191"/>
        <v>5300000</v>
      </c>
      <c r="BV87" s="1367">
        <f t="shared" si="191"/>
        <v>7089150</v>
      </c>
      <c r="BW87" s="1367">
        <f t="shared" si="191"/>
        <v>15251650</v>
      </c>
      <c r="BX87" s="388">
        <f>SUM(BL87:BW87)</f>
        <v>107606116</v>
      </c>
      <c r="BY87" s="1595">
        <f>SUM(BY85-BY86)</f>
        <v>-3500000</v>
      </c>
      <c r="BZ87" s="385">
        <f>SUM(BZ85-BZ86)</f>
        <v>3000000</v>
      </c>
      <c r="CA87" s="287">
        <f>SUM(CA85-CA86)</f>
        <v>9835310</v>
      </c>
      <c r="CB87" s="280" t="s">
        <v>37</v>
      </c>
      <c r="CC87" s="1011"/>
      <c r="CD87" s="1012"/>
      <c r="CE87" s="261"/>
      <c r="CF87" s="410"/>
      <c r="CG87" s="421"/>
      <c r="CH87" s="410"/>
      <c r="CI87" s="410"/>
      <c r="CJ87" s="410"/>
      <c r="CK87" s="421"/>
      <c r="CL87" s="410"/>
      <c r="CM87" s="410"/>
      <c r="CN87" s="410"/>
      <c r="CO87" s="421"/>
      <c r="CP87" s="410"/>
      <c r="CQ87" s="410"/>
      <c r="CR87" s="410"/>
      <c r="CS87" s="410"/>
      <c r="CT87" s="410"/>
      <c r="CU87" s="410"/>
      <c r="CV87" s="410"/>
      <c r="CW87" s="410"/>
      <c r="CX87" s="410"/>
      <c r="CY87" s="421"/>
      <c r="CZ87" s="410"/>
      <c r="DA87" s="410"/>
      <c r="DB87" s="410"/>
      <c r="DC87" s="421"/>
      <c r="DD87" s="410"/>
      <c r="DE87" s="410"/>
      <c r="DF87" s="410"/>
      <c r="DG87" s="421"/>
      <c r="DH87" s="410"/>
      <c r="DI87" s="410"/>
      <c r="DJ87" s="410"/>
      <c r="DK87" s="410"/>
      <c r="DL87" s="410"/>
      <c r="DM87" s="410"/>
      <c r="DN87" s="410"/>
      <c r="DO87" s="410"/>
      <c r="DP87" s="410"/>
      <c r="DQ87" s="410"/>
      <c r="DR87" s="410"/>
      <c r="DS87" s="410"/>
      <c r="DT87" s="410"/>
      <c r="DU87" s="421"/>
      <c r="DV87" s="410"/>
      <c r="DW87" s="410"/>
      <c r="DX87" s="410"/>
      <c r="DY87" s="261"/>
      <c r="DZ87" s="261"/>
      <c r="EA87" s="261"/>
      <c r="EB87" s="261"/>
      <c r="EC87" s="261"/>
      <c r="ED87" s="261"/>
      <c r="EE87" s="261"/>
      <c r="EF87" s="261"/>
      <c r="EG87" s="261"/>
      <c r="EH87" s="261"/>
      <c r="EI87" s="261"/>
      <c r="EJ87" s="261"/>
    </row>
    <row r="88" spans="1:157" s="1657" customFormat="1" ht="24.75" customHeight="1" x14ac:dyDescent="0.2">
      <c r="A88" s="1656"/>
      <c r="D88" s="1656"/>
      <c r="E88" s="1656"/>
      <c r="F88" s="1656"/>
      <c r="G88" s="1658"/>
      <c r="H88" s="1656"/>
      <c r="I88" s="1656"/>
      <c r="J88" s="1656"/>
      <c r="K88" s="1656"/>
      <c r="L88" s="1656"/>
      <c r="M88" s="1656"/>
      <c r="N88" s="1656"/>
      <c r="O88" s="1656"/>
      <c r="P88" s="1656"/>
      <c r="Q88" s="1656"/>
      <c r="R88" s="1656"/>
      <c r="S88" s="1656"/>
      <c r="T88" s="1656"/>
      <c r="U88" s="1656"/>
      <c r="V88" s="1656"/>
      <c r="W88" s="1656"/>
      <c r="X88" s="1656"/>
      <c r="AS88" s="1032"/>
      <c r="AY88" s="1032"/>
      <c r="BH88" s="1032"/>
      <c r="BK88" s="1662"/>
      <c r="BL88" s="1032"/>
      <c r="BM88" s="1032"/>
      <c r="BN88" s="1032"/>
      <c r="BO88" s="1032"/>
      <c r="BP88" s="1032"/>
      <c r="BQ88" s="1032"/>
      <c r="BR88" s="1032"/>
      <c r="BS88" s="1032"/>
      <c r="BT88" s="1032"/>
      <c r="BU88" s="1032"/>
      <c r="BV88" s="1032"/>
      <c r="BW88" s="1032"/>
      <c r="BX88" s="1032"/>
      <c r="BY88" s="1659"/>
      <c r="BZ88" s="1660"/>
      <c r="CA88" s="1661"/>
      <c r="CC88" s="1662"/>
      <c r="CD88" s="1663"/>
      <c r="CE88" s="1664"/>
      <c r="CF88" s="1665"/>
      <c r="CG88" s="1666"/>
      <c r="CH88" s="1665"/>
      <c r="CI88" s="1665"/>
      <c r="CJ88" s="1665"/>
      <c r="CK88" s="1666"/>
      <c r="CL88" s="1665"/>
      <c r="CM88" s="1665"/>
      <c r="CN88" s="1665"/>
      <c r="CO88" s="1666"/>
      <c r="CP88" s="1665"/>
      <c r="CQ88" s="1665"/>
      <c r="CR88" s="1665"/>
      <c r="CS88" s="1665"/>
      <c r="CT88" s="1665"/>
      <c r="CU88" s="1665"/>
      <c r="CV88" s="1665"/>
      <c r="CW88" s="1665"/>
      <c r="CX88" s="1665"/>
      <c r="CY88" s="1666"/>
      <c r="CZ88" s="1665"/>
      <c r="DA88" s="1665"/>
      <c r="DB88" s="1665"/>
      <c r="DC88" s="1666"/>
      <c r="DD88" s="1665"/>
      <c r="DE88" s="1665"/>
      <c r="DF88" s="1665"/>
      <c r="DG88" s="1666"/>
      <c r="DH88" s="1665"/>
      <c r="DI88" s="1665"/>
      <c r="DJ88" s="1665"/>
      <c r="DK88" s="1665"/>
      <c r="DL88" s="1665"/>
      <c r="DM88" s="1665"/>
      <c r="DN88" s="1665"/>
      <c r="DO88" s="1665"/>
      <c r="DP88" s="1665"/>
      <c r="DQ88" s="1665"/>
      <c r="DR88" s="1665"/>
      <c r="DS88" s="1665"/>
      <c r="DT88" s="1665"/>
      <c r="DU88" s="1666"/>
      <c r="DV88" s="1665"/>
      <c r="DW88" s="1665"/>
      <c r="DX88" s="1665"/>
      <c r="DY88" s="1664"/>
      <c r="DZ88" s="1664"/>
      <c r="EA88" s="1664"/>
      <c r="EB88" s="1664"/>
      <c r="EC88" s="1664"/>
      <c r="ED88" s="1664"/>
      <c r="EE88" s="1664"/>
      <c r="EF88" s="1664"/>
      <c r="EG88" s="1664"/>
      <c r="EH88" s="1664"/>
      <c r="EI88" s="1664"/>
      <c r="EJ88" s="1664"/>
    </row>
    <row r="89" spans="1:157" s="262" customFormat="1" ht="24.75" customHeight="1" x14ac:dyDescent="0.2">
      <c r="A89" s="1754" t="s">
        <v>8</v>
      </c>
      <c r="B89" s="1755"/>
      <c r="C89" s="244" t="s">
        <v>186</v>
      </c>
      <c r="D89" s="245"/>
      <c r="E89" s="462"/>
      <c r="F89" s="245"/>
      <c r="G89" s="292"/>
      <c r="H89" s="245"/>
      <c r="I89" s="462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994"/>
      <c r="AA89" s="431">
        <f>Z48+AA48</f>
        <v>0</v>
      </c>
      <c r="AB89" s="246"/>
      <c r="AC89" s="246"/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46"/>
      <c r="AO89" s="246"/>
      <c r="AP89" s="246"/>
      <c r="AQ89" s="246"/>
      <c r="AR89" s="245"/>
      <c r="AS89" s="994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1005"/>
      <c r="BE89" s="1005"/>
      <c r="BF89" s="1005"/>
      <c r="BG89" s="1005"/>
      <c r="BH89" s="1005"/>
      <c r="BI89" s="1005"/>
      <c r="BJ89" s="1005"/>
      <c r="BK89" s="439" t="e">
        <f>SUM(#REF!-BK88)</f>
        <v>#REF!</v>
      </c>
      <c r="BL89" s="431">
        <f>BL87-18765520</f>
        <v>0</v>
      </c>
      <c r="BM89" s="431"/>
      <c r="BN89" s="246"/>
      <c r="BO89" s="1366">
        <f>BO87-1680000</f>
        <v>0</v>
      </c>
      <c r="BP89" s="431"/>
      <c r="BQ89" s="246"/>
      <c r="BR89" s="431"/>
      <c r="BS89" s="431"/>
      <c r="BT89" s="431">
        <f>BT87-31120830</f>
        <v>-4500</v>
      </c>
      <c r="BU89" s="246"/>
      <c r="BV89" s="431">
        <f>BV87-7089150</f>
        <v>0</v>
      </c>
      <c r="BW89" s="431">
        <f>BW87-15251650</f>
        <v>0</v>
      </c>
      <c r="BX89" s="439"/>
      <c r="BY89" s="247"/>
      <c r="BZ89" s="436"/>
      <c r="CA89" s="435"/>
      <c r="CB89" s="245"/>
      <c r="CC89" s="1008"/>
      <c r="CD89" s="1008"/>
      <c r="CE89" s="246"/>
      <c r="CF89" s="292"/>
      <c r="CG89" s="418"/>
      <c r="CH89" s="292"/>
      <c r="CI89" s="249"/>
      <c r="CJ89" s="292"/>
      <c r="CK89" s="418"/>
      <c r="CL89" s="292"/>
      <c r="CM89" s="249"/>
      <c r="CN89" s="292"/>
      <c r="CO89" s="418"/>
      <c r="CP89" s="292"/>
      <c r="CQ89" s="249"/>
      <c r="CR89" s="249"/>
      <c r="CS89" s="249"/>
      <c r="CT89" s="249"/>
      <c r="CU89" s="249"/>
      <c r="CV89" s="249"/>
      <c r="CW89" s="249"/>
      <c r="CX89" s="249"/>
      <c r="CY89" s="418"/>
      <c r="CZ89" s="292"/>
      <c r="DA89" s="249"/>
      <c r="DB89" s="292"/>
      <c r="DC89" s="418"/>
      <c r="DD89" s="292"/>
      <c r="DE89" s="249"/>
      <c r="DF89" s="292"/>
      <c r="DG89" s="418"/>
      <c r="DH89" s="292"/>
      <c r="DI89" s="249"/>
      <c r="DJ89" s="292"/>
      <c r="DK89" s="292"/>
      <c r="DL89" s="292"/>
      <c r="DM89" s="292"/>
      <c r="DN89" s="292"/>
      <c r="DO89" s="292"/>
      <c r="DP89" s="292"/>
      <c r="DQ89" s="292"/>
      <c r="DR89" s="292"/>
      <c r="DS89" s="249"/>
      <c r="DT89" s="292"/>
      <c r="DU89" s="418"/>
      <c r="DV89" s="292"/>
      <c r="DW89" s="249"/>
      <c r="DX89" s="292"/>
      <c r="DY89" s="246"/>
      <c r="DZ89" s="246"/>
      <c r="EA89" s="246"/>
      <c r="EB89" s="246"/>
      <c r="EC89" s="247"/>
      <c r="ED89" s="247"/>
      <c r="EE89" s="247"/>
      <c r="EF89" s="243"/>
      <c r="EG89" s="248"/>
      <c r="EH89" s="247"/>
      <c r="EI89" s="247"/>
      <c r="EJ89" s="260"/>
      <c r="EK89" s="260"/>
      <c r="EL89" s="260"/>
      <c r="EM89" s="260"/>
      <c r="EN89" s="260"/>
      <c r="EO89" s="261"/>
      <c r="EP89" s="260"/>
      <c r="EQ89" s="260"/>
      <c r="ER89" s="260"/>
      <c r="ES89" s="260"/>
      <c r="ET89" s="260"/>
      <c r="EU89" s="260"/>
      <c r="EV89" s="260"/>
      <c r="EW89" s="260"/>
      <c r="EX89" s="260"/>
      <c r="EY89" s="260"/>
      <c r="EZ89" s="260"/>
      <c r="FA89" s="260"/>
    </row>
    <row r="90" spans="1:157" s="264" customFormat="1" ht="48.75" customHeight="1" x14ac:dyDescent="0.2">
      <c r="A90" s="1756" t="s">
        <v>10</v>
      </c>
      <c r="B90" s="1759" t="s">
        <v>11</v>
      </c>
      <c r="C90" s="1759" t="s">
        <v>22</v>
      </c>
      <c r="D90" s="1762" t="s">
        <v>12</v>
      </c>
      <c r="E90" s="1762"/>
      <c r="F90" s="1762"/>
      <c r="G90" s="1762"/>
      <c r="H90" s="1762"/>
      <c r="I90" s="1762"/>
      <c r="J90" s="1762"/>
      <c r="K90" s="1762"/>
      <c r="L90" s="1762"/>
      <c r="M90" s="1762"/>
      <c r="N90" s="1762"/>
      <c r="O90" s="1762"/>
      <c r="P90" s="1762"/>
      <c r="Q90" s="1762"/>
      <c r="R90" s="1762"/>
      <c r="S90" s="1762"/>
      <c r="T90" s="1762"/>
      <c r="U90" s="1762"/>
      <c r="V90" s="1762"/>
      <c r="W90" s="1762"/>
      <c r="X90" s="1759" t="s">
        <v>20</v>
      </c>
      <c r="Y90" s="1763" t="s">
        <v>17</v>
      </c>
      <c r="Z90" s="1764"/>
      <c r="AA90" s="1764"/>
      <c r="AB90" s="1764"/>
      <c r="AC90" s="1764"/>
      <c r="AD90" s="1764"/>
      <c r="AE90" s="1764"/>
      <c r="AF90" s="1764"/>
      <c r="AG90" s="1764"/>
      <c r="AH90" s="1764"/>
      <c r="AI90" s="1764"/>
      <c r="AJ90" s="1764"/>
      <c r="AK90" s="1764"/>
      <c r="AL90" s="1178"/>
      <c r="AM90" s="1178"/>
      <c r="AN90" s="1178"/>
      <c r="AO90" s="1178"/>
      <c r="AP90" s="1178"/>
      <c r="AQ90" s="1178"/>
      <c r="AR90" s="1766" t="s">
        <v>6</v>
      </c>
      <c r="AS90" s="1766"/>
      <c r="AT90" s="1766"/>
      <c r="AU90" s="1766"/>
      <c r="AV90" s="1766"/>
      <c r="AW90" s="1766"/>
      <c r="AX90" s="1766"/>
      <c r="AY90" s="1766"/>
      <c r="AZ90" s="1766"/>
      <c r="BA90" s="1766"/>
      <c r="BB90" s="1766"/>
      <c r="BC90" s="1766"/>
      <c r="BD90" s="1766"/>
      <c r="BE90" s="1766"/>
      <c r="BF90" s="1766"/>
      <c r="BG90" s="1766"/>
      <c r="BH90" s="1766"/>
      <c r="BI90" s="1766"/>
      <c r="BJ90" s="1766"/>
      <c r="BK90" s="1766"/>
      <c r="BL90" s="1767" t="s">
        <v>41</v>
      </c>
      <c r="BM90" s="1768"/>
      <c r="BN90" s="1768"/>
      <c r="BO90" s="1768"/>
      <c r="BP90" s="1768"/>
      <c r="BQ90" s="1768"/>
      <c r="BR90" s="1768"/>
      <c r="BS90" s="1768"/>
      <c r="BT90" s="1768"/>
      <c r="BU90" s="1768"/>
      <c r="BV90" s="1768"/>
      <c r="BW90" s="1768"/>
      <c r="BX90" s="1769"/>
      <c r="BY90" s="1759" t="s">
        <v>38</v>
      </c>
      <c r="BZ90" s="1759" t="s">
        <v>256</v>
      </c>
      <c r="CA90" s="1746" t="s">
        <v>39</v>
      </c>
      <c r="CB90" s="436">
        <f>CA85+BX85+BX86</f>
        <v>155694980</v>
      </c>
      <c r="CC90" s="135"/>
      <c r="CD90" s="135"/>
      <c r="CE90" s="135"/>
      <c r="CF90" s="135"/>
      <c r="CG90" s="1733" t="s">
        <v>41</v>
      </c>
      <c r="CH90" s="1734"/>
      <c r="CI90" s="1734"/>
      <c r="CJ90" s="1734"/>
      <c r="CK90" s="1734"/>
      <c r="CL90" s="1734"/>
      <c r="CM90" s="1734"/>
      <c r="CN90" s="1734"/>
      <c r="CO90" s="1734"/>
      <c r="CP90" s="1734"/>
      <c r="CQ90" s="1734"/>
      <c r="CR90" s="1734"/>
      <c r="CS90" s="1734"/>
      <c r="CT90" s="1734"/>
      <c r="CU90" s="1734"/>
      <c r="CV90" s="1734"/>
      <c r="CW90" s="1734"/>
      <c r="CX90" s="1734"/>
      <c r="CY90" s="1734"/>
      <c r="CZ90" s="1734"/>
      <c r="DA90" s="1734"/>
      <c r="DB90" s="1734"/>
      <c r="DC90" s="1734"/>
      <c r="DD90" s="1734"/>
      <c r="DE90" s="1734"/>
      <c r="DF90" s="1734"/>
      <c r="DG90" s="1734"/>
      <c r="DH90" s="1734"/>
      <c r="DI90" s="1734"/>
      <c r="DJ90" s="1734"/>
      <c r="DK90" s="1734"/>
      <c r="DL90" s="1734"/>
      <c r="DM90" s="1734"/>
      <c r="DN90" s="1734"/>
      <c r="DO90" s="1734"/>
      <c r="DP90" s="1734"/>
      <c r="DQ90" s="1734"/>
      <c r="DR90" s="1735"/>
      <c r="DS90" s="292"/>
      <c r="DT90" s="292"/>
      <c r="DU90" s="418"/>
      <c r="DV90" s="292"/>
      <c r="DW90" s="292"/>
      <c r="DX90" s="292"/>
      <c r="DY90" s="245"/>
      <c r="DZ90" s="245"/>
      <c r="EA90" s="245"/>
      <c r="EB90" s="245"/>
      <c r="EC90" s="245"/>
      <c r="ED90" s="245"/>
      <c r="EE90" s="245"/>
      <c r="EF90" s="245"/>
      <c r="EG90" s="245"/>
      <c r="EH90" s="263"/>
      <c r="EI90" s="263"/>
    </row>
    <row r="91" spans="1:157" s="264" customFormat="1" ht="48.75" customHeight="1" x14ac:dyDescent="0.2">
      <c r="A91" s="1757"/>
      <c r="B91" s="1760"/>
      <c r="C91" s="1760"/>
      <c r="D91" s="1749" t="s">
        <v>18</v>
      </c>
      <c r="E91" s="1751" t="s">
        <v>19</v>
      </c>
      <c r="F91" s="1752"/>
      <c r="G91" s="1752"/>
      <c r="H91" s="1752"/>
      <c r="I91" s="1752"/>
      <c r="J91" s="1752"/>
      <c r="K91" s="1752"/>
      <c r="L91" s="1752"/>
      <c r="M91" s="1752"/>
      <c r="N91" s="1752"/>
      <c r="O91" s="1752"/>
      <c r="P91" s="1752"/>
      <c r="Q91" s="1752"/>
      <c r="R91" s="1752"/>
      <c r="S91" s="1752"/>
      <c r="T91" s="1752"/>
      <c r="U91" s="1752"/>
      <c r="V91" s="1752"/>
      <c r="W91" s="1752"/>
      <c r="X91" s="1760"/>
      <c r="Y91" s="1749" t="s">
        <v>18</v>
      </c>
      <c r="Z91" s="1751" t="s">
        <v>19</v>
      </c>
      <c r="AA91" s="1752"/>
      <c r="AB91" s="1752"/>
      <c r="AC91" s="1752"/>
      <c r="AD91" s="1752"/>
      <c r="AE91" s="1752"/>
      <c r="AF91" s="1752"/>
      <c r="AG91" s="1752"/>
      <c r="AH91" s="1752"/>
      <c r="AI91" s="1752"/>
      <c r="AJ91" s="1752"/>
      <c r="AK91" s="1752"/>
      <c r="AL91" s="1179"/>
      <c r="AM91" s="1179"/>
      <c r="AN91" s="1179"/>
      <c r="AO91" s="1179"/>
      <c r="AP91" s="1179"/>
      <c r="AQ91" s="1179"/>
      <c r="AR91" s="1749" t="s">
        <v>18</v>
      </c>
      <c r="AS91" s="1751" t="s">
        <v>19</v>
      </c>
      <c r="AT91" s="1752"/>
      <c r="AU91" s="1752"/>
      <c r="AV91" s="1752"/>
      <c r="AW91" s="1752"/>
      <c r="AX91" s="1752"/>
      <c r="AY91" s="1752"/>
      <c r="AZ91" s="1752"/>
      <c r="BA91" s="1752"/>
      <c r="BB91" s="1752"/>
      <c r="BC91" s="1752"/>
      <c r="BD91" s="1752"/>
      <c r="BE91" s="1752"/>
      <c r="BF91" s="1752"/>
      <c r="BG91" s="1752"/>
      <c r="BH91" s="1752"/>
      <c r="BI91" s="1752"/>
      <c r="BJ91" s="1752"/>
      <c r="BK91" s="1753"/>
      <c r="BL91" s="1770"/>
      <c r="BM91" s="1771"/>
      <c r="BN91" s="1771"/>
      <c r="BO91" s="1771"/>
      <c r="BP91" s="1771"/>
      <c r="BQ91" s="1771"/>
      <c r="BR91" s="1771"/>
      <c r="BS91" s="1771"/>
      <c r="BT91" s="1771"/>
      <c r="BU91" s="1771"/>
      <c r="BV91" s="1771"/>
      <c r="BW91" s="1771"/>
      <c r="BX91" s="1772"/>
      <c r="BY91" s="1760"/>
      <c r="BZ91" s="1760"/>
      <c r="CA91" s="1747"/>
      <c r="CB91" s="243"/>
      <c r="CC91" s="1736">
        <f>SUM(CC93/60)</f>
        <v>0</v>
      </c>
      <c r="CD91" s="1736"/>
      <c r="CE91" s="1736"/>
      <c r="CF91" s="23"/>
      <c r="CG91" s="1737" t="s">
        <v>686</v>
      </c>
      <c r="CH91" s="1738"/>
      <c r="CI91" s="1738"/>
      <c r="CJ91" s="1738"/>
      <c r="CK91" s="1738"/>
      <c r="CL91" s="1738"/>
      <c r="CM91" s="1738"/>
      <c r="CN91" s="1738"/>
      <c r="CO91" s="1738"/>
      <c r="CP91" s="1738"/>
      <c r="CQ91" s="1738"/>
      <c r="CR91" s="1738"/>
      <c r="CS91" s="1738"/>
      <c r="CT91" s="1738"/>
      <c r="CU91" s="1738"/>
      <c r="CV91" s="1738"/>
      <c r="CW91" s="1738"/>
      <c r="CX91" s="1738"/>
      <c r="CY91" s="1739"/>
      <c r="CZ91" s="1740" t="s">
        <v>687</v>
      </c>
      <c r="DA91" s="1741"/>
      <c r="DB91" s="1741"/>
      <c r="DC91" s="1741"/>
      <c r="DD91" s="1741"/>
      <c r="DE91" s="1741"/>
      <c r="DF91" s="1741"/>
      <c r="DG91" s="1741"/>
      <c r="DH91" s="1741"/>
      <c r="DI91" s="1741"/>
      <c r="DJ91" s="1741"/>
      <c r="DK91" s="1741"/>
      <c r="DL91" s="1741"/>
      <c r="DM91" s="1741"/>
      <c r="DN91" s="1741"/>
      <c r="DO91" s="1741"/>
      <c r="DP91" s="1741"/>
      <c r="DQ91" s="1741"/>
      <c r="DR91" s="1742"/>
      <c r="DS91" s="292"/>
      <c r="DT91" s="292"/>
      <c r="DU91" s="418"/>
      <c r="DV91" s="292"/>
      <c r="DW91" s="292"/>
      <c r="DX91" s="292"/>
      <c r="DY91" s="245"/>
      <c r="DZ91" s="245"/>
      <c r="EA91" s="245"/>
      <c r="EB91" s="245"/>
      <c r="EC91" s="245"/>
      <c r="ED91" s="245"/>
      <c r="EE91" s="245"/>
      <c r="EF91" s="245"/>
      <c r="EG91" s="245"/>
      <c r="EH91" s="263"/>
      <c r="EI91" s="263"/>
    </row>
    <row r="92" spans="1:157" s="267" customFormat="1" ht="28.5" customHeight="1" x14ac:dyDescent="0.2">
      <c r="A92" s="1758"/>
      <c r="B92" s="1761"/>
      <c r="C92" s="1761"/>
      <c r="D92" s="1750"/>
      <c r="E92" s="265">
        <v>1</v>
      </c>
      <c r="F92" s="265">
        <v>2</v>
      </c>
      <c r="G92" s="265">
        <v>3</v>
      </c>
      <c r="H92" s="265">
        <v>4</v>
      </c>
      <c r="I92" s="265">
        <v>5</v>
      </c>
      <c r="J92" s="265">
        <v>6</v>
      </c>
      <c r="K92" s="265">
        <v>7</v>
      </c>
      <c r="L92" s="265">
        <v>8</v>
      </c>
      <c r="M92" s="265">
        <v>9</v>
      </c>
      <c r="N92" s="265">
        <v>10</v>
      </c>
      <c r="O92" s="265">
        <v>11</v>
      </c>
      <c r="P92" s="265">
        <v>12</v>
      </c>
      <c r="Q92" s="265">
        <v>13</v>
      </c>
      <c r="R92" s="265">
        <v>14</v>
      </c>
      <c r="S92" s="265">
        <v>15</v>
      </c>
      <c r="T92" s="265">
        <v>16</v>
      </c>
      <c r="U92" s="265">
        <v>17</v>
      </c>
      <c r="V92" s="265">
        <v>18</v>
      </c>
      <c r="W92" s="265" t="s">
        <v>21</v>
      </c>
      <c r="X92" s="1761"/>
      <c r="Y92" s="1750"/>
      <c r="Z92" s="265">
        <v>1</v>
      </c>
      <c r="AA92" s="265">
        <v>2</v>
      </c>
      <c r="AB92" s="265">
        <v>3</v>
      </c>
      <c r="AC92" s="265">
        <v>4</v>
      </c>
      <c r="AD92" s="265">
        <v>5</v>
      </c>
      <c r="AE92" s="265">
        <v>6</v>
      </c>
      <c r="AF92" s="265">
        <v>7</v>
      </c>
      <c r="AG92" s="265">
        <v>8</v>
      </c>
      <c r="AH92" s="265">
        <v>9</v>
      </c>
      <c r="AI92" s="265">
        <v>10</v>
      </c>
      <c r="AJ92" s="265">
        <v>11</v>
      </c>
      <c r="AK92" s="265">
        <v>12</v>
      </c>
      <c r="AL92" s="265">
        <v>13</v>
      </c>
      <c r="AM92" s="265">
        <v>14</v>
      </c>
      <c r="AN92" s="265">
        <v>15</v>
      </c>
      <c r="AO92" s="265">
        <v>16</v>
      </c>
      <c r="AP92" s="265">
        <v>17</v>
      </c>
      <c r="AQ92" s="265">
        <v>18</v>
      </c>
      <c r="AR92" s="1750"/>
      <c r="AS92" s="1351">
        <v>1</v>
      </c>
      <c r="AT92" s="265">
        <v>2</v>
      </c>
      <c r="AU92" s="265">
        <v>3</v>
      </c>
      <c r="AV92" s="265">
        <v>4</v>
      </c>
      <c r="AW92" s="265">
        <v>5</v>
      </c>
      <c r="AX92" s="265">
        <v>6</v>
      </c>
      <c r="AY92" s="265">
        <v>7</v>
      </c>
      <c r="AZ92" s="265">
        <v>8</v>
      </c>
      <c r="BA92" s="265">
        <v>9</v>
      </c>
      <c r="BB92" s="265">
        <v>10</v>
      </c>
      <c r="BC92" s="265">
        <v>11</v>
      </c>
      <c r="BD92" s="265">
        <v>12</v>
      </c>
      <c r="BE92" s="265">
        <v>13</v>
      </c>
      <c r="BF92" s="265">
        <v>14</v>
      </c>
      <c r="BG92" s="265">
        <v>15</v>
      </c>
      <c r="BH92" s="265">
        <v>16</v>
      </c>
      <c r="BI92" s="265">
        <v>17</v>
      </c>
      <c r="BJ92" s="265">
        <v>18</v>
      </c>
      <c r="BK92" s="265" t="s">
        <v>13</v>
      </c>
      <c r="BL92" s="266">
        <v>1</v>
      </c>
      <c r="BM92" s="266">
        <v>2</v>
      </c>
      <c r="BN92" s="266">
        <v>3</v>
      </c>
      <c r="BO92" s="266">
        <v>4</v>
      </c>
      <c r="BP92" s="266">
        <v>5</v>
      </c>
      <c r="BQ92" s="266">
        <v>6</v>
      </c>
      <c r="BR92" s="266">
        <v>7</v>
      </c>
      <c r="BS92" s="266">
        <v>8</v>
      </c>
      <c r="BT92" s="266">
        <v>9</v>
      </c>
      <c r="BU92" s="266">
        <v>10</v>
      </c>
      <c r="BV92" s="266">
        <v>11</v>
      </c>
      <c r="BW92" s="266">
        <v>12</v>
      </c>
      <c r="BX92" s="265" t="s">
        <v>13</v>
      </c>
      <c r="BY92" s="1761"/>
      <c r="BZ92" s="1761"/>
      <c r="CA92" s="1748"/>
      <c r="CC92" s="1743" t="s">
        <v>19</v>
      </c>
      <c r="CD92" s="1744"/>
      <c r="CE92" s="1745"/>
      <c r="CF92" s="621"/>
      <c r="CG92" s="173">
        <v>1</v>
      </c>
      <c r="CH92" s="173">
        <v>2</v>
      </c>
      <c r="CI92" s="173">
        <v>3</v>
      </c>
      <c r="CJ92" s="173">
        <v>4</v>
      </c>
      <c r="CK92" s="173">
        <v>5</v>
      </c>
      <c r="CL92" s="173">
        <v>6</v>
      </c>
      <c r="CM92" s="173">
        <v>7</v>
      </c>
      <c r="CN92" s="173">
        <v>8</v>
      </c>
      <c r="CO92" s="173">
        <v>9</v>
      </c>
      <c r="CP92" s="173">
        <v>10</v>
      </c>
      <c r="CQ92" s="173">
        <v>11</v>
      </c>
      <c r="CR92" s="173"/>
      <c r="CS92" s="173"/>
      <c r="CT92" s="173"/>
      <c r="CU92" s="173"/>
      <c r="CV92" s="173"/>
      <c r="CW92" s="173"/>
      <c r="CX92" s="173"/>
      <c r="CY92" s="26" t="s">
        <v>13</v>
      </c>
      <c r="CZ92" s="173">
        <v>1</v>
      </c>
      <c r="DA92" s="173">
        <v>2</v>
      </c>
      <c r="DB92" s="173">
        <v>3</v>
      </c>
      <c r="DC92" s="173">
        <v>4</v>
      </c>
      <c r="DD92" s="173">
        <v>5</v>
      </c>
      <c r="DE92" s="173">
        <v>6</v>
      </c>
      <c r="DF92" s="173">
        <v>7</v>
      </c>
      <c r="DG92" s="173">
        <v>8</v>
      </c>
      <c r="DH92" s="173">
        <v>9</v>
      </c>
      <c r="DI92" s="173">
        <v>10</v>
      </c>
      <c r="DJ92" s="173">
        <v>11</v>
      </c>
      <c r="DK92" s="173"/>
      <c r="DL92" s="173"/>
      <c r="DM92" s="173"/>
      <c r="DN92" s="173"/>
      <c r="DO92" s="173"/>
      <c r="DP92" s="173"/>
      <c r="DQ92" s="173"/>
      <c r="DR92" s="26" t="s">
        <v>13</v>
      </c>
      <c r="DS92" s="413"/>
      <c r="DT92" s="413"/>
      <c r="DU92" s="422"/>
      <c r="DV92" s="413"/>
      <c r="DW92" s="413"/>
      <c r="DX92" s="413"/>
      <c r="DY92" s="395"/>
      <c r="DZ92" s="395"/>
      <c r="EA92" s="395"/>
      <c r="EB92" s="395"/>
      <c r="EC92" s="395"/>
      <c r="ED92" s="395"/>
      <c r="EE92" s="395"/>
      <c r="EF92" s="395"/>
      <c r="EG92" s="395"/>
      <c r="EH92" s="395"/>
      <c r="EI92" s="395"/>
    </row>
    <row r="93" spans="1:157" s="305" customFormat="1" ht="24.75" customHeight="1" x14ac:dyDescent="0.2">
      <c r="A93" s="294">
        <v>1</v>
      </c>
      <c r="B93" s="392" t="s">
        <v>281</v>
      </c>
      <c r="C93" s="295" t="s">
        <v>25</v>
      </c>
      <c r="D93" s="580">
        <v>5</v>
      </c>
      <c r="E93" s="993"/>
      <c r="F93" s="297">
        <v>5</v>
      </c>
      <c r="G93" s="1239"/>
      <c r="H93" s="1207"/>
      <c r="I93" s="1207"/>
      <c r="J93" s="1299"/>
      <c r="K93" s="1184"/>
      <c r="L93" s="1184"/>
      <c r="M93" s="1184"/>
      <c r="N93" s="1184"/>
      <c r="O93" s="1184"/>
      <c r="P93" s="1184"/>
      <c r="Q93" s="1184"/>
      <c r="R93" s="1184"/>
      <c r="S93" s="1184"/>
      <c r="T93" s="1184"/>
      <c r="U93" s="1184"/>
      <c r="V93" s="1184"/>
      <c r="W93" s="840">
        <f t="shared" ref="W93:W123" si="192">SUM(E93:V93)</f>
        <v>5</v>
      </c>
      <c r="X93" s="581" t="s">
        <v>185</v>
      </c>
      <c r="Y93" s="582">
        <v>70000</v>
      </c>
      <c r="Z93" s="1000"/>
      <c r="AA93" s="441">
        <v>58000</v>
      </c>
      <c r="AB93" s="1186"/>
      <c r="AC93" s="440"/>
      <c r="AD93" s="1428"/>
      <c r="AE93" s="1194"/>
      <c r="AF93" s="440"/>
      <c r="AG93" s="440"/>
      <c r="AH93" s="440"/>
      <c r="AI93" s="440"/>
      <c r="AJ93" s="440"/>
      <c r="AK93" s="440"/>
      <c r="AL93" s="440"/>
      <c r="AM93" s="440"/>
      <c r="AN93" s="440"/>
      <c r="AO93" s="440"/>
      <c r="AP93" s="440"/>
      <c r="AQ93" s="440"/>
      <c r="AR93" s="271">
        <f t="shared" ref="AR93:AR104" si="193">SUM(W93*Y93)</f>
        <v>350000</v>
      </c>
      <c r="AS93" s="1199">
        <f t="shared" ref="AS93:AS102" si="194">Z93*E93</f>
        <v>0</v>
      </c>
      <c r="AT93" s="402">
        <f t="shared" ref="AT93:AT102" si="195">AA93*F93</f>
        <v>290000</v>
      </c>
      <c r="AU93" s="1213">
        <f t="shared" ref="AU93:AU102" si="196">AB93*G93</f>
        <v>0</v>
      </c>
      <c r="AV93" s="1199">
        <f t="shared" ref="AV93:AV102" si="197">AC93*H93</f>
        <v>0</v>
      </c>
      <c r="AW93" s="1199">
        <f t="shared" ref="AW93:AW102" si="198">AD93*I93</f>
        <v>0</v>
      </c>
      <c r="AX93" s="1298">
        <f t="shared" ref="AX93:AX102" si="199">AE93*J93</f>
        <v>0</v>
      </c>
      <c r="AY93" s="402">
        <f t="shared" ref="AY93:AY102" si="200">AF93*K93</f>
        <v>0</v>
      </c>
      <c r="AZ93" s="402">
        <f t="shared" ref="AZ93:AZ102" si="201">AG93*L93</f>
        <v>0</v>
      </c>
      <c r="BA93" s="402">
        <f t="shared" ref="BA93:BA102" si="202">AH93*M93</f>
        <v>0</v>
      </c>
      <c r="BB93" s="402">
        <f t="shared" ref="BB93:BB102" si="203">AI93*N93</f>
        <v>0</v>
      </c>
      <c r="BC93" s="402">
        <f t="shared" ref="BC93:BC102" si="204">AJ93*O93</f>
        <v>0</v>
      </c>
      <c r="BD93" s="402">
        <f t="shared" ref="BD93:BD102" si="205">AK93*P93</f>
        <v>0</v>
      </c>
      <c r="BE93" s="402">
        <f t="shared" ref="BE93:BJ102" si="206">AL93*Q93</f>
        <v>0</v>
      </c>
      <c r="BF93" s="402">
        <f t="shared" si="206"/>
        <v>0</v>
      </c>
      <c r="BG93" s="402">
        <f t="shared" si="206"/>
        <v>0</v>
      </c>
      <c r="BH93" s="402">
        <f t="shared" si="206"/>
        <v>0</v>
      </c>
      <c r="BI93" s="402">
        <f t="shared" si="206"/>
        <v>0</v>
      </c>
      <c r="BJ93" s="402">
        <f t="shared" si="206"/>
        <v>0</v>
      </c>
      <c r="BK93" s="403">
        <f t="shared" ref="BK93:BK123" si="207">SUM(AS93:BJ93)</f>
        <v>290000</v>
      </c>
      <c r="BL93" s="402">
        <f t="shared" ref="BL93:BL104" si="208">SUM(AS93*14%)</f>
        <v>0</v>
      </c>
      <c r="BM93" s="402">
        <f>SUM(AT93*3%)</f>
        <v>8700</v>
      </c>
      <c r="BN93" s="402">
        <f>SUM(AU93*3%)</f>
        <v>0</v>
      </c>
      <c r="BO93" s="1199">
        <f t="shared" ref="BO93:BW94" si="209">SUM(AV93*14%)</f>
        <v>0</v>
      </c>
      <c r="BP93" s="402">
        <f t="shared" si="209"/>
        <v>0</v>
      </c>
      <c r="BQ93" s="402">
        <f t="shared" si="209"/>
        <v>0</v>
      </c>
      <c r="BR93" s="402">
        <f t="shared" si="209"/>
        <v>0</v>
      </c>
      <c r="BS93" s="402">
        <f t="shared" si="209"/>
        <v>0</v>
      </c>
      <c r="BT93" s="402">
        <f t="shared" si="209"/>
        <v>0</v>
      </c>
      <c r="BU93" s="402">
        <f t="shared" si="209"/>
        <v>0</v>
      </c>
      <c r="BV93" s="402">
        <f t="shared" si="209"/>
        <v>0</v>
      </c>
      <c r="BW93" s="402">
        <f t="shared" si="209"/>
        <v>0</v>
      </c>
      <c r="BX93" s="344">
        <f t="shared" ref="BX93:BX104" si="210">SUM(BL93:BW93)</f>
        <v>8700</v>
      </c>
      <c r="BY93" s="300">
        <f t="shared" ref="BY93:BY120" si="211">AR93-BK93-BX93</f>
        <v>51300</v>
      </c>
      <c r="BZ93" s="301">
        <f t="shared" ref="BZ93:BZ102" si="212">Y93*D93</f>
        <v>350000</v>
      </c>
      <c r="CA93" s="302">
        <f>BZ93-BK93-BX93</f>
        <v>51300</v>
      </c>
      <c r="CB93" s="276">
        <f t="shared" ref="CB93:CB101" si="213">SUM(W93/D93)</f>
        <v>1</v>
      </c>
      <c r="CC93" s="1081"/>
      <c r="CD93" s="1081"/>
      <c r="CE93" s="1083"/>
      <c r="CF93" s="1084"/>
      <c r="CG93" s="862"/>
      <c r="CH93" s="862"/>
      <c r="CI93" s="862"/>
      <c r="CJ93" s="862"/>
      <c r="CK93" s="862"/>
      <c r="CL93" s="862"/>
      <c r="CM93" s="862"/>
      <c r="CN93" s="862"/>
      <c r="CO93" s="1128">
        <f t="shared" ref="CO93:CO96" si="214">SUM(AZ93*12.5%)</f>
        <v>0</v>
      </c>
      <c r="CP93" s="862"/>
      <c r="CQ93" s="862"/>
      <c r="CR93" s="862"/>
      <c r="CS93" s="862"/>
      <c r="CT93" s="862"/>
      <c r="CU93" s="862"/>
      <c r="CV93" s="862"/>
      <c r="CW93" s="862"/>
      <c r="CX93" s="862"/>
      <c r="CY93" s="73">
        <f t="shared" ref="CY93:CZ131" si="215">SUM(CG93:CX93)</f>
        <v>0</v>
      </c>
      <c r="CZ93" s="862"/>
      <c r="DA93" s="862"/>
      <c r="DB93" s="862"/>
      <c r="DC93" s="862"/>
      <c r="DD93" s="862"/>
      <c r="DE93" s="862"/>
      <c r="DF93" s="862"/>
      <c r="DG93" s="862"/>
      <c r="DH93" s="1128"/>
      <c r="DI93" s="862"/>
      <c r="DJ93" s="862"/>
      <c r="DK93" s="862"/>
      <c r="DL93" s="862"/>
      <c r="DM93" s="862"/>
      <c r="DN93" s="862"/>
      <c r="DO93" s="862"/>
      <c r="DP93" s="862"/>
      <c r="DQ93" s="862"/>
      <c r="DR93" s="73">
        <f t="shared" ref="DR93:DR131" si="216">SUM(CZ93:DQ93)</f>
        <v>0</v>
      </c>
      <c r="DS93" s="303"/>
      <c r="DT93" s="303"/>
      <c r="DU93" s="423"/>
      <c r="DV93" s="303"/>
      <c r="DW93" s="303"/>
      <c r="DX93" s="303"/>
      <c r="DY93" s="304"/>
      <c r="DZ93" s="304"/>
      <c r="EA93" s="304"/>
      <c r="EB93" s="304"/>
      <c r="EC93" s="304"/>
      <c r="ED93" s="304"/>
      <c r="EE93" s="304"/>
      <c r="EF93" s="304"/>
      <c r="EG93" s="304"/>
      <c r="EH93" s="304"/>
      <c r="EI93" s="304"/>
    </row>
    <row r="94" spans="1:157" s="305" customFormat="1" ht="24.75" customHeight="1" x14ac:dyDescent="0.2">
      <c r="A94" s="294">
        <f>A93+1</f>
        <v>2</v>
      </c>
      <c r="B94" s="392" t="s">
        <v>187</v>
      </c>
      <c r="C94" s="295" t="s">
        <v>25</v>
      </c>
      <c r="D94" s="580">
        <v>2</v>
      </c>
      <c r="E94" s="993"/>
      <c r="F94" s="297">
        <v>2</v>
      </c>
      <c r="G94" s="1239"/>
      <c r="H94" s="1207"/>
      <c r="I94" s="1207"/>
      <c r="J94" s="1299"/>
      <c r="K94" s="1184"/>
      <c r="L94" s="1184"/>
      <c r="M94" s="1184"/>
      <c r="N94" s="1184"/>
      <c r="O94" s="1184"/>
      <c r="P94" s="1184"/>
      <c r="Q94" s="1184"/>
      <c r="R94" s="1184"/>
      <c r="S94" s="1184"/>
      <c r="T94" s="1184"/>
      <c r="U94" s="1184"/>
      <c r="V94" s="1184"/>
      <c r="W94" s="840">
        <f t="shared" si="192"/>
        <v>2</v>
      </c>
      <c r="X94" s="581" t="s">
        <v>0</v>
      </c>
      <c r="Y94" s="582">
        <v>124900</v>
      </c>
      <c r="Z94" s="1000"/>
      <c r="AA94" s="441">
        <v>110000</v>
      </c>
      <c r="AB94" s="1186"/>
      <c r="AC94" s="440"/>
      <c r="AD94" s="1428"/>
      <c r="AE94" s="1194"/>
      <c r="AF94" s="440"/>
      <c r="AG94" s="440"/>
      <c r="AH94" s="440"/>
      <c r="AI94" s="440"/>
      <c r="AJ94" s="440"/>
      <c r="AK94" s="440"/>
      <c r="AL94" s="440"/>
      <c r="AM94" s="440"/>
      <c r="AN94" s="440"/>
      <c r="AO94" s="440"/>
      <c r="AP94" s="440"/>
      <c r="AQ94" s="440"/>
      <c r="AR94" s="271">
        <f t="shared" si="193"/>
        <v>249800</v>
      </c>
      <c r="AS94" s="1199">
        <f t="shared" si="194"/>
        <v>0</v>
      </c>
      <c r="AT94" s="402">
        <f t="shared" si="195"/>
        <v>220000</v>
      </c>
      <c r="AU94" s="1213">
        <f t="shared" si="196"/>
        <v>0</v>
      </c>
      <c r="AV94" s="1199">
        <f t="shared" si="197"/>
        <v>0</v>
      </c>
      <c r="AW94" s="1199">
        <f t="shared" si="198"/>
        <v>0</v>
      </c>
      <c r="AX94" s="1298">
        <f t="shared" si="199"/>
        <v>0</v>
      </c>
      <c r="AY94" s="402">
        <f t="shared" si="200"/>
        <v>0</v>
      </c>
      <c r="AZ94" s="402">
        <f t="shared" si="201"/>
        <v>0</v>
      </c>
      <c r="BA94" s="402">
        <f t="shared" si="202"/>
        <v>0</v>
      </c>
      <c r="BB94" s="402">
        <f t="shared" si="203"/>
        <v>0</v>
      </c>
      <c r="BC94" s="402">
        <f t="shared" si="204"/>
        <v>0</v>
      </c>
      <c r="BD94" s="402">
        <f t="shared" si="205"/>
        <v>0</v>
      </c>
      <c r="BE94" s="402">
        <f t="shared" si="206"/>
        <v>0</v>
      </c>
      <c r="BF94" s="402">
        <f t="shared" si="206"/>
        <v>0</v>
      </c>
      <c r="BG94" s="402">
        <f t="shared" si="206"/>
        <v>0</v>
      </c>
      <c r="BH94" s="402">
        <f t="shared" si="206"/>
        <v>0</v>
      </c>
      <c r="BI94" s="402">
        <f t="shared" si="206"/>
        <v>0</v>
      </c>
      <c r="BJ94" s="402">
        <f t="shared" si="206"/>
        <v>0</v>
      </c>
      <c r="BK94" s="403">
        <f t="shared" si="207"/>
        <v>220000</v>
      </c>
      <c r="BL94" s="402">
        <f t="shared" si="208"/>
        <v>0</v>
      </c>
      <c r="BM94" s="402">
        <f>SUM(AT94*3%)</f>
        <v>6600</v>
      </c>
      <c r="BN94" s="402">
        <f>SUM(AU94*3%)</f>
        <v>0</v>
      </c>
      <c r="BO94" s="1199">
        <f t="shared" si="209"/>
        <v>0</v>
      </c>
      <c r="BP94" s="402">
        <f t="shared" si="209"/>
        <v>0</v>
      </c>
      <c r="BQ94" s="402">
        <f t="shared" si="209"/>
        <v>0</v>
      </c>
      <c r="BR94" s="402">
        <f t="shared" si="209"/>
        <v>0</v>
      </c>
      <c r="BS94" s="402">
        <f t="shared" si="209"/>
        <v>0</v>
      </c>
      <c r="BT94" s="402">
        <f t="shared" si="209"/>
        <v>0</v>
      </c>
      <c r="BU94" s="402">
        <f t="shared" si="209"/>
        <v>0</v>
      </c>
      <c r="BV94" s="402">
        <f t="shared" si="209"/>
        <v>0</v>
      </c>
      <c r="BW94" s="402">
        <f t="shared" si="209"/>
        <v>0</v>
      </c>
      <c r="BX94" s="344">
        <f t="shared" si="210"/>
        <v>6600</v>
      </c>
      <c r="BY94" s="300">
        <f t="shared" si="211"/>
        <v>23200</v>
      </c>
      <c r="BZ94" s="301">
        <f t="shared" si="212"/>
        <v>249800</v>
      </c>
      <c r="CA94" s="302">
        <f t="shared" ref="CA94:CA120" si="217">BZ94-BK94-BX94</f>
        <v>23200</v>
      </c>
      <c r="CB94" s="276">
        <f t="shared" si="213"/>
        <v>1</v>
      </c>
      <c r="CC94" s="1081"/>
      <c r="CD94" s="1081"/>
      <c r="CE94" s="1083"/>
      <c r="CF94" s="1084"/>
      <c r="CG94" s="862"/>
      <c r="CH94" s="862"/>
      <c r="CI94" s="862"/>
      <c r="CJ94" s="862"/>
      <c r="CK94" s="862"/>
      <c r="CL94" s="862"/>
      <c r="CM94" s="862"/>
      <c r="CN94" s="862"/>
      <c r="CO94" s="1128">
        <f t="shared" si="214"/>
        <v>0</v>
      </c>
      <c r="CP94" s="862"/>
      <c r="CQ94" s="862"/>
      <c r="CR94" s="862"/>
      <c r="CS94" s="862"/>
      <c r="CT94" s="862"/>
      <c r="CU94" s="862"/>
      <c r="CV94" s="862"/>
      <c r="CW94" s="862"/>
      <c r="CX94" s="862"/>
      <c r="CY94" s="73">
        <f t="shared" si="215"/>
        <v>0</v>
      </c>
      <c r="CZ94" s="862"/>
      <c r="DA94" s="862"/>
      <c r="DB94" s="862"/>
      <c r="DC94" s="862"/>
      <c r="DD94" s="862"/>
      <c r="DE94" s="862"/>
      <c r="DF94" s="862"/>
      <c r="DG94" s="862"/>
      <c r="DH94" s="1128"/>
      <c r="DI94" s="862"/>
      <c r="DJ94" s="862"/>
      <c r="DK94" s="862"/>
      <c r="DL94" s="862"/>
      <c r="DM94" s="862"/>
      <c r="DN94" s="862"/>
      <c r="DO94" s="862"/>
      <c r="DP94" s="862"/>
      <c r="DQ94" s="862"/>
      <c r="DR94" s="73">
        <f t="shared" si="216"/>
        <v>0</v>
      </c>
      <c r="DS94" s="303"/>
      <c r="DT94" s="303"/>
      <c r="DU94" s="423"/>
      <c r="DV94" s="303"/>
      <c r="DW94" s="303"/>
      <c r="DX94" s="303"/>
      <c r="DY94" s="304"/>
      <c r="DZ94" s="304"/>
      <c r="EA94" s="304"/>
      <c r="EB94" s="304"/>
      <c r="EC94" s="304"/>
      <c r="ED94" s="304"/>
      <c r="EE94" s="304"/>
      <c r="EF94" s="304"/>
      <c r="EG94" s="304"/>
      <c r="EH94" s="304"/>
      <c r="EI94" s="304"/>
    </row>
    <row r="95" spans="1:157" s="305" customFormat="1" ht="24.75" customHeight="1" x14ac:dyDescent="0.2">
      <c r="A95" s="294">
        <f t="shared" ref="A95:A123" si="218">A94+1</f>
        <v>3</v>
      </c>
      <c r="B95" s="392" t="s">
        <v>188</v>
      </c>
      <c r="C95" s="295" t="s">
        <v>25</v>
      </c>
      <c r="D95" s="580">
        <v>1</v>
      </c>
      <c r="E95" s="993"/>
      <c r="F95" s="297">
        <v>1</v>
      </c>
      <c r="G95" s="1239"/>
      <c r="H95" s="1207"/>
      <c r="I95" s="1207"/>
      <c r="J95" s="1299"/>
      <c r="K95" s="1184"/>
      <c r="L95" s="1184"/>
      <c r="M95" s="1184"/>
      <c r="N95" s="1184"/>
      <c r="O95" s="1184"/>
      <c r="P95" s="1184"/>
      <c r="Q95" s="1184"/>
      <c r="R95" s="1184"/>
      <c r="S95" s="1184"/>
      <c r="T95" s="1184"/>
      <c r="U95" s="1184"/>
      <c r="V95" s="1184"/>
      <c r="W95" s="840">
        <f t="shared" si="192"/>
        <v>1</v>
      </c>
      <c r="X95" s="581" t="s">
        <v>0</v>
      </c>
      <c r="Y95" s="582">
        <v>153200</v>
      </c>
      <c r="Z95" s="1000"/>
      <c r="AA95" s="441">
        <v>110000</v>
      </c>
      <c r="AB95" s="1186"/>
      <c r="AC95" s="1333"/>
      <c r="AD95" s="1428"/>
      <c r="AE95" s="1194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271">
        <f t="shared" si="193"/>
        <v>153200</v>
      </c>
      <c r="AS95" s="1199">
        <f t="shared" si="194"/>
        <v>0</v>
      </c>
      <c r="AT95" s="402">
        <f t="shared" si="195"/>
        <v>110000</v>
      </c>
      <c r="AU95" s="1213">
        <f t="shared" si="196"/>
        <v>0</v>
      </c>
      <c r="AV95" s="1199">
        <f t="shared" si="197"/>
        <v>0</v>
      </c>
      <c r="AW95" s="1199">
        <f t="shared" si="198"/>
        <v>0</v>
      </c>
      <c r="AX95" s="1298">
        <f t="shared" si="199"/>
        <v>0</v>
      </c>
      <c r="AY95" s="402">
        <f t="shared" si="200"/>
        <v>0</v>
      </c>
      <c r="AZ95" s="402">
        <f t="shared" si="201"/>
        <v>0</v>
      </c>
      <c r="BA95" s="402">
        <f t="shared" si="202"/>
        <v>0</v>
      </c>
      <c r="BB95" s="402">
        <f t="shared" si="203"/>
        <v>0</v>
      </c>
      <c r="BC95" s="402">
        <f t="shared" si="204"/>
        <v>0</v>
      </c>
      <c r="BD95" s="402">
        <f t="shared" si="205"/>
        <v>0</v>
      </c>
      <c r="BE95" s="402">
        <f t="shared" si="206"/>
        <v>0</v>
      </c>
      <c r="BF95" s="402">
        <f t="shared" si="206"/>
        <v>0</v>
      </c>
      <c r="BG95" s="402">
        <f t="shared" si="206"/>
        <v>0</v>
      </c>
      <c r="BH95" s="402">
        <f t="shared" si="206"/>
        <v>0</v>
      </c>
      <c r="BI95" s="402">
        <f t="shared" si="206"/>
        <v>0</v>
      </c>
      <c r="BJ95" s="402">
        <f t="shared" si="206"/>
        <v>0</v>
      </c>
      <c r="BK95" s="403">
        <f t="shared" si="207"/>
        <v>110000</v>
      </c>
      <c r="BL95" s="402">
        <f t="shared" si="208"/>
        <v>0</v>
      </c>
      <c r="BM95" s="402">
        <f>SUM(AT95*3%)</f>
        <v>3300</v>
      </c>
      <c r="BN95" s="402">
        <f>SUM(AU95*14%)</f>
        <v>0</v>
      </c>
      <c r="BO95" s="1199"/>
      <c r="BP95" s="402">
        <f t="shared" ref="BP95:BW102" si="219">SUM(AW95*14%)</f>
        <v>0</v>
      </c>
      <c r="BQ95" s="402">
        <f t="shared" si="219"/>
        <v>0</v>
      </c>
      <c r="BR95" s="402">
        <f t="shared" si="219"/>
        <v>0</v>
      </c>
      <c r="BS95" s="402">
        <f t="shared" si="219"/>
        <v>0</v>
      </c>
      <c r="BT95" s="402">
        <f t="shared" si="219"/>
        <v>0</v>
      </c>
      <c r="BU95" s="402">
        <f t="shared" si="219"/>
        <v>0</v>
      </c>
      <c r="BV95" s="402">
        <f t="shared" si="219"/>
        <v>0</v>
      </c>
      <c r="BW95" s="402">
        <f t="shared" si="219"/>
        <v>0</v>
      </c>
      <c r="BX95" s="344">
        <f t="shared" si="210"/>
        <v>3300</v>
      </c>
      <c r="BY95" s="300">
        <f t="shared" si="211"/>
        <v>39900</v>
      </c>
      <c r="BZ95" s="301">
        <f t="shared" si="212"/>
        <v>153200</v>
      </c>
      <c r="CA95" s="302">
        <f t="shared" si="217"/>
        <v>39900</v>
      </c>
      <c r="CB95" s="276">
        <f t="shared" si="213"/>
        <v>1</v>
      </c>
      <c r="CC95" s="1081"/>
      <c r="CD95" s="1081"/>
      <c r="CE95" s="1083"/>
      <c r="CF95" s="1084"/>
      <c r="CG95" s="862"/>
      <c r="CH95" s="862"/>
      <c r="CI95" s="862"/>
      <c r="CJ95" s="862"/>
      <c r="CK95" s="862"/>
      <c r="CL95" s="862"/>
      <c r="CM95" s="862"/>
      <c r="CN95" s="862"/>
      <c r="CO95" s="1128">
        <f t="shared" si="214"/>
        <v>0</v>
      </c>
      <c r="CP95" s="862"/>
      <c r="CQ95" s="862"/>
      <c r="CR95" s="862"/>
      <c r="CS95" s="862"/>
      <c r="CT95" s="862"/>
      <c r="CU95" s="862"/>
      <c r="CV95" s="862"/>
      <c r="CW95" s="862"/>
      <c r="CX95" s="862"/>
      <c r="CY95" s="73">
        <f t="shared" si="215"/>
        <v>0</v>
      </c>
      <c r="CZ95" s="862"/>
      <c r="DA95" s="862"/>
      <c r="DB95" s="862"/>
      <c r="DC95" s="862"/>
      <c r="DD95" s="862"/>
      <c r="DE95" s="862"/>
      <c r="DF95" s="862"/>
      <c r="DG95" s="862"/>
      <c r="DH95" s="1128"/>
      <c r="DI95" s="862"/>
      <c r="DJ95" s="862"/>
      <c r="DK95" s="862"/>
      <c r="DL95" s="862"/>
      <c r="DM95" s="862"/>
      <c r="DN95" s="862"/>
      <c r="DO95" s="862"/>
      <c r="DP95" s="862"/>
      <c r="DQ95" s="862"/>
      <c r="DR95" s="73">
        <f t="shared" si="216"/>
        <v>0</v>
      </c>
      <c r="DS95" s="303"/>
      <c r="DT95" s="303"/>
      <c r="DU95" s="423"/>
      <c r="DV95" s="303"/>
      <c r="DW95" s="303"/>
      <c r="DX95" s="303"/>
      <c r="DY95" s="304"/>
      <c r="DZ95" s="304"/>
      <c r="EA95" s="304"/>
      <c r="EB95" s="304"/>
      <c r="EC95" s="304"/>
      <c r="ED95" s="304"/>
      <c r="EE95" s="304"/>
      <c r="EF95" s="304"/>
      <c r="EG95" s="304"/>
      <c r="EH95" s="304"/>
      <c r="EI95" s="304"/>
    </row>
    <row r="96" spans="1:157" s="305" customFormat="1" ht="24.75" customHeight="1" x14ac:dyDescent="0.2">
      <c r="A96" s="294">
        <f t="shared" si="218"/>
        <v>4</v>
      </c>
      <c r="B96" s="392" t="s">
        <v>189</v>
      </c>
      <c r="C96" s="295" t="s">
        <v>25</v>
      </c>
      <c r="D96" s="580">
        <v>1</v>
      </c>
      <c r="E96" s="993"/>
      <c r="F96" s="297">
        <v>1</v>
      </c>
      <c r="G96" s="1239"/>
      <c r="H96" s="1207"/>
      <c r="I96" s="1207"/>
      <c r="J96" s="1299"/>
      <c r="K96" s="1184"/>
      <c r="L96" s="1184"/>
      <c r="M96" s="1184"/>
      <c r="N96" s="1184"/>
      <c r="O96" s="1184"/>
      <c r="P96" s="1184"/>
      <c r="Q96" s="1184"/>
      <c r="R96" s="1184"/>
      <c r="S96" s="1184"/>
      <c r="T96" s="1184"/>
      <c r="U96" s="1184"/>
      <c r="V96" s="1184"/>
      <c r="W96" s="840">
        <f t="shared" si="192"/>
        <v>1</v>
      </c>
      <c r="X96" s="581" t="s">
        <v>0</v>
      </c>
      <c r="Y96" s="582">
        <v>153200</v>
      </c>
      <c r="Z96" s="1000"/>
      <c r="AA96" s="441">
        <v>110000</v>
      </c>
      <c r="AB96" s="1186"/>
      <c r="AC96" s="1333"/>
      <c r="AD96" s="1428"/>
      <c r="AE96" s="1194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271">
        <f t="shared" si="193"/>
        <v>153200</v>
      </c>
      <c r="AS96" s="1199">
        <f t="shared" si="194"/>
        <v>0</v>
      </c>
      <c r="AT96" s="402">
        <f t="shared" si="195"/>
        <v>110000</v>
      </c>
      <c r="AU96" s="1213">
        <f t="shared" si="196"/>
        <v>0</v>
      </c>
      <c r="AV96" s="1199">
        <f t="shared" si="197"/>
        <v>0</v>
      </c>
      <c r="AW96" s="1199">
        <f t="shared" si="198"/>
        <v>0</v>
      </c>
      <c r="AX96" s="1298">
        <f t="shared" si="199"/>
        <v>0</v>
      </c>
      <c r="AY96" s="402">
        <f t="shared" si="200"/>
        <v>0</v>
      </c>
      <c r="AZ96" s="402">
        <f t="shared" si="201"/>
        <v>0</v>
      </c>
      <c r="BA96" s="402">
        <f t="shared" si="202"/>
        <v>0</v>
      </c>
      <c r="BB96" s="402">
        <f t="shared" si="203"/>
        <v>0</v>
      </c>
      <c r="BC96" s="402">
        <f t="shared" si="204"/>
        <v>0</v>
      </c>
      <c r="BD96" s="402">
        <f t="shared" si="205"/>
        <v>0</v>
      </c>
      <c r="BE96" s="402">
        <f t="shared" si="206"/>
        <v>0</v>
      </c>
      <c r="BF96" s="402">
        <f t="shared" si="206"/>
        <v>0</v>
      </c>
      <c r="BG96" s="402">
        <f t="shared" si="206"/>
        <v>0</v>
      </c>
      <c r="BH96" s="402">
        <f t="shared" si="206"/>
        <v>0</v>
      </c>
      <c r="BI96" s="402">
        <f t="shared" si="206"/>
        <v>0</v>
      </c>
      <c r="BJ96" s="402">
        <f t="shared" si="206"/>
        <v>0</v>
      </c>
      <c r="BK96" s="403">
        <f t="shared" si="207"/>
        <v>110000</v>
      </c>
      <c r="BL96" s="402">
        <f t="shared" si="208"/>
        <v>0</v>
      </c>
      <c r="BM96" s="402">
        <f t="shared" ref="BM96:BM101" si="220">SUM(AT96*3%)</f>
        <v>3300</v>
      </c>
      <c r="BN96" s="402">
        <f>SUM(AU96*14%)</f>
        <v>0</v>
      </c>
      <c r="BO96" s="1199"/>
      <c r="BP96" s="402">
        <f t="shared" si="219"/>
        <v>0</v>
      </c>
      <c r="BQ96" s="402">
        <f t="shared" si="219"/>
        <v>0</v>
      </c>
      <c r="BR96" s="402">
        <f t="shared" si="219"/>
        <v>0</v>
      </c>
      <c r="BS96" s="402">
        <f t="shared" si="219"/>
        <v>0</v>
      </c>
      <c r="BT96" s="402">
        <f t="shared" si="219"/>
        <v>0</v>
      </c>
      <c r="BU96" s="402">
        <f t="shared" si="219"/>
        <v>0</v>
      </c>
      <c r="BV96" s="402">
        <f t="shared" si="219"/>
        <v>0</v>
      </c>
      <c r="BW96" s="402">
        <f t="shared" si="219"/>
        <v>0</v>
      </c>
      <c r="BX96" s="344">
        <f t="shared" si="210"/>
        <v>3300</v>
      </c>
      <c r="BY96" s="300">
        <f t="shared" si="211"/>
        <v>39900</v>
      </c>
      <c r="BZ96" s="301">
        <f t="shared" si="212"/>
        <v>153200</v>
      </c>
      <c r="CA96" s="302">
        <f t="shared" si="217"/>
        <v>39900</v>
      </c>
      <c r="CB96" s="276">
        <f t="shared" si="213"/>
        <v>1</v>
      </c>
      <c r="CC96" s="1081"/>
      <c r="CD96" s="1081"/>
      <c r="CE96" s="1083"/>
      <c r="CF96" s="1084"/>
      <c r="CG96" s="862"/>
      <c r="CH96" s="862"/>
      <c r="CI96" s="862"/>
      <c r="CJ96" s="862"/>
      <c r="CK96" s="862"/>
      <c r="CL96" s="862"/>
      <c r="CM96" s="862"/>
      <c r="CN96" s="862"/>
      <c r="CO96" s="1128">
        <f t="shared" si="214"/>
        <v>0</v>
      </c>
      <c r="CP96" s="862"/>
      <c r="CQ96" s="862"/>
      <c r="CR96" s="862"/>
      <c r="CS96" s="862"/>
      <c r="CT96" s="862"/>
      <c r="CU96" s="862"/>
      <c r="CV96" s="862"/>
      <c r="CW96" s="862"/>
      <c r="CX96" s="862"/>
      <c r="CY96" s="73">
        <f t="shared" si="215"/>
        <v>0</v>
      </c>
      <c r="CZ96" s="862"/>
      <c r="DA96" s="862"/>
      <c r="DB96" s="862"/>
      <c r="DC96" s="862"/>
      <c r="DD96" s="862"/>
      <c r="DE96" s="862"/>
      <c r="DF96" s="862"/>
      <c r="DG96" s="862"/>
      <c r="DH96" s="1128"/>
      <c r="DI96" s="862"/>
      <c r="DJ96" s="862"/>
      <c r="DK96" s="862"/>
      <c r="DL96" s="862"/>
      <c r="DM96" s="862"/>
      <c r="DN96" s="862"/>
      <c r="DO96" s="862"/>
      <c r="DP96" s="862"/>
      <c r="DQ96" s="862"/>
      <c r="DR96" s="73">
        <f t="shared" si="216"/>
        <v>0</v>
      </c>
      <c r="DS96" s="303"/>
      <c r="DT96" s="303"/>
      <c r="DU96" s="423"/>
      <c r="DV96" s="303"/>
      <c r="DW96" s="303"/>
      <c r="DX96" s="303"/>
      <c r="DY96" s="304"/>
      <c r="DZ96" s="304"/>
      <c r="EA96" s="304"/>
      <c r="EB96" s="304"/>
      <c r="EC96" s="304"/>
      <c r="ED96" s="304"/>
      <c r="EE96" s="304"/>
      <c r="EF96" s="304"/>
      <c r="EG96" s="304"/>
      <c r="EH96" s="304"/>
      <c r="EI96" s="304"/>
    </row>
    <row r="97" spans="1:139" s="305" customFormat="1" ht="24.75" customHeight="1" x14ac:dyDescent="0.2">
      <c r="A97" s="294">
        <f t="shared" si="218"/>
        <v>5</v>
      </c>
      <c r="B97" s="392" t="s">
        <v>190</v>
      </c>
      <c r="C97" s="295" t="s">
        <v>25</v>
      </c>
      <c r="D97" s="580">
        <v>1</v>
      </c>
      <c r="E97" s="993"/>
      <c r="F97" s="297">
        <v>1</v>
      </c>
      <c r="G97" s="1239"/>
      <c r="H97" s="1207"/>
      <c r="I97" s="1207"/>
      <c r="J97" s="1299"/>
      <c r="K97" s="1184"/>
      <c r="L97" s="1184"/>
      <c r="M97" s="1184"/>
      <c r="N97" s="1184"/>
      <c r="O97" s="1184"/>
      <c r="P97" s="1184"/>
      <c r="Q97" s="1184"/>
      <c r="R97" s="1184"/>
      <c r="S97" s="1184"/>
      <c r="T97" s="1184"/>
      <c r="U97" s="1184"/>
      <c r="V97" s="1184"/>
      <c r="W97" s="840">
        <f t="shared" si="192"/>
        <v>1</v>
      </c>
      <c r="X97" s="581" t="s">
        <v>0</v>
      </c>
      <c r="Y97" s="582">
        <v>153200</v>
      </c>
      <c r="Z97" s="1000"/>
      <c r="AA97" s="441">
        <v>110000</v>
      </c>
      <c r="AB97" s="1186"/>
      <c r="AC97" s="1333"/>
      <c r="AD97" s="1428"/>
      <c r="AE97" s="1194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271">
        <f t="shared" si="193"/>
        <v>153200</v>
      </c>
      <c r="AS97" s="1199">
        <f t="shared" si="194"/>
        <v>0</v>
      </c>
      <c r="AT97" s="402">
        <f t="shared" si="195"/>
        <v>110000</v>
      </c>
      <c r="AU97" s="1213">
        <f t="shared" si="196"/>
        <v>0</v>
      </c>
      <c r="AV97" s="1199">
        <f t="shared" si="197"/>
        <v>0</v>
      </c>
      <c r="AW97" s="1199">
        <f t="shared" si="198"/>
        <v>0</v>
      </c>
      <c r="AX97" s="1298">
        <f t="shared" si="199"/>
        <v>0</v>
      </c>
      <c r="AY97" s="402">
        <f t="shared" si="200"/>
        <v>0</v>
      </c>
      <c r="AZ97" s="402">
        <f t="shared" si="201"/>
        <v>0</v>
      </c>
      <c r="BA97" s="402">
        <f t="shared" si="202"/>
        <v>0</v>
      </c>
      <c r="BB97" s="402">
        <f t="shared" si="203"/>
        <v>0</v>
      </c>
      <c r="BC97" s="402">
        <f t="shared" si="204"/>
        <v>0</v>
      </c>
      <c r="BD97" s="402">
        <f t="shared" si="205"/>
        <v>0</v>
      </c>
      <c r="BE97" s="402">
        <f t="shared" si="206"/>
        <v>0</v>
      </c>
      <c r="BF97" s="402">
        <f t="shared" si="206"/>
        <v>0</v>
      </c>
      <c r="BG97" s="402">
        <f t="shared" si="206"/>
        <v>0</v>
      </c>
      <c r="BH97" s="402">
        <f t="shared" si="206"/>
        <v>0</v>
      </c>
      <c r="BI97" s="402">
        <f t="shared" si="206"/>
        <v>0</v>
      </c>
      <c r="BJ97" s="402">
        <f t="shared" si="206"/>
        <v>0</v>
      </c>
      <c r="BK97" s="403">
        <f t="shared" si="207"/>
        <v>110000</v>
      </c>
      <c r="BL97" s="402">
        <f t="shared" si="208"/>
        <v>0</v>
      </c>
      <c r="BM97" s="402">
        <f>SUM(AT97*3%)</f>
        <v>3300</v>
      </c>
      <c r="BN97" s="402">
        <f>SUM(AU97*14%)</f>
        <v>0</v>
      </c>
      <c r="BO97" s="1199"/>
      <c r="BP97" s="402">
        <f t="shared" si="219"/>
        <v>0</v>
      </c>
      <c r="BQ97" s="402">
        <f t="shared" si="219"/>
        <v>0</v>
      </c>
      <c r="BR97" s="402">
        <f t="shared" si="219"/>
        <v>0</v>
      </c>
      <c r="BS97" s="402">
        <f t="shared" si="219"/>
        <v>0</v>
      </c>
      <c r="BT97" s="402">
        <f t="shared" si="219"/>
        <v>0</v>
      </c>
      <c r="BU97" s="402">
        <f t="shared" si="219"/>
        <v>0</v>
      </c>
      <c r="BV97" s="402">
        <f t="shared" si="219"/>
        <v>0</v>
      </c>
      <c r="BW97" s="402">
        <f t="shared" si="219"/>
        <v>0</v>
      </c>
      <c r="BX97" s="344">
        <f t="shared" si="210"/>
        <v>3300</v>
      </c>
      <c r="BY97" s="300">
        <f t="shared" si="211"/>
        <v>39900</v>
      </c>
      <c r="BZ97" s="301">
        <f t="shared" si="212"/>
        <v>153200</v>
      </c>
      <c r="CA97" s="302">
        <f t="shared" si="217"/>
        <v>39900</v>
      </c>
      <c r="CB97" s="276">
        <f t="shared" si="213"/>
        <v>1</v>
      </c>
      <c r="CC97" s="1081"/>
      <c r="CD97" s="1081"/>
      <c r="CE97" s="1083"/>
      <c r="CF97" s="1084"/>
      <c r="CG97" s="862"/>
      <c r="CH97" s="862"/>
      <c r="CI97" s="862"/>
      <c r="CJ97" s="862"/>
      <c r="CK97" s="862"/>
      <c r="CL97" s="862"/>
      <c r="CM97" s="862"/>
      <c r="CN97" s="862"/>
      <c r="CO97" s="1128">
        <f t="shared" ref="CO97:CO131" si="221">SUM(AZ97*12.5%)</f>
        <v>0</v>
      </c>
      <c r="CP97" s="862"/>
      <c r="CQ97" s="862"/>
      <c r="CR97" s="862"/>
      <c r="CS97" s="862"/>
      <c r="CT97" s="862"/>
      <c r="CU97" s="862"/>
      <c r="CV97" s="862"/>
      <c r="CW97" s="862"/>
      <c r="CX97" s="862"/>
      <c r="CY97" s="73">
        <f t="shared" si="215"/>
        <v>0</v>
      </c>
      <c r="CZ97" s="862"/>
      <c r="DA97" s="862"/>
      <c r="DB97" s="862"/>
      <c r="DC97" s="862"/>
      <c r="DD97" s="862"/>
      <c r="DE97" s="862"/>
      <c r="DF97" s="862"/>
      <c r="DG97" s="862"/>
      <c r="DH97" s="1128"/>
      <c r="DI97" s="862"/>
      <c r="DJ97" s="862"/>
      <c r="DK97" s="862"/>
      <c r="DL97" s="862"/>
      <c r="DM97" s="862"/>
      <c r="DN97" s="862"/>
      <c r="DO97" s="862"/>
      <c r="DP97" s="862"/>
      <c r="DQ97" s="862"/>
      <c r="DR97" s="73">
        <f t="shared" si="216"/>
        <v>0</v>
      </c>
      <c r="DS97" s="303"/>
      <c r="DT97" s="303"/>
      <c r="DU97" s="423"/>
      <c r="DV97" s="303"/>
      <c r="DW97" s="303"/>
      <c r="DX97" s="303"/>
      <c r="DY97" s="304"/>
      <c r="DZ97" s="304"/>
      <c r="EA97" s="304"/>
      <c r="EB97" s="304"/>
      <c r="EC97" s="304"/>
      <c r="ED97" s="304"/>
      <c r="EE97" s="304"/>
      <c r="EF97" s="304"/>
      <c r="EG97" s="304"/>
      <c r="EH97" s="304"/>
      <c r="EI97" s="304"/>
    </row>
    <row r="98" spans="1:139" s="305" customFormat="1" ht="24.75" customHeight="1" x14ac:dyDescent="0.2">
      <c r="A98" s="294">
        <f t="shared" si="218"/>
        <v>6</v>
      </c>
      <c r="B98" s="145" t="s">
        <v>365</v>
      </c>
      <c r="C98" s="295" t="s">
        <v>25</v>
      </c>
      <c r="D98" s="580">
        <v>1</v>
      </c>
      <c r="E98" s="993"/>
      <c r="F98" s="297">
        <v>1</v>
      </c>
      <c r="G98" s="1240"/>
      <c r="H98" s="1240"/>
      <c r="I98" s="1207"/>
      <c r="J98" s="1299"/>
      <c r="K98" s="1184"/>
      <c r="L98" s="1184"/>
      <c r="M98" s="1184"/>
      <c r="N98" s="1184"/>
      <c r="O98" s="1184"/>
      <c r="P98" s="1184"/>
      <c r="Q98" s="1184"/>
      <c r="R98" s="1184"/>
      <c r="S98" s="1184"/>
      <c r="T98" s="1184"/>
      <c r="U98" s="1184"/>
      <c r="V98" s="1184"/>
      <c r="W98" s="840">
        <f t="shared" si="192"/>
        <v>1</v>
      </c>
      <c r="X98" s="581" t="s">
        <v>14</v>
      </c>
      <c r="Y98" s="582">
        <v>49500</v>
      </c>
      <c r="Z98" s="1000"/>
      <c r="AA98" s="441">
        <v>35000</v>
      </c>
      <c r="AB98" s="1334"/>
      <c r="AC98" s="441"/>
      <c r="AD98" s="1428"/>
      <c r="AE98" s="1194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271">
        <f t="shared" si="193"/>
        <v>49500</v>
      </c>
      <c r="AS98" s="1199">
        <f t="shared" si="194"/>
        <v>0</v>
      </c>
      <c r="AT98" s="402">
        <f t="shared" si="195"/>
        <v>35000</v>
      </c>
      <c r="AU98" s="1213">
        <f t="shared" si="196"/>
        <v>0</v>
      </c>
      <c r="AV98" s="1199">
        <f t="shared" si="197"/>
        <v>0</v>
      </c>
      <c r="AW98" s="1199">
        <f t="shared" si="198"/>
        <v>0</v>
      </c>
      <c r="AX98" s="1298">
        <f t="shared" si="199"/>
        <v>0</v>
      </c>
      <c r="AY98" s="402">
        <f t="shared" si="200"/>
        <v>0</v>
      </c>
      <c r="AZ98" s="402">
        <f t="shared" si="201"/>
        <v>0</v>
      </c>
      <c r="BA98" s="402">
        <f t="shared" si="202"/>
        <v>0</v>
      </c>
      <c r="BB98" s="402">
        <f t="shared" si="203"/>
        <v>0</v>
      </c>
      <c r="BC98" s="402">
        <f t="shared" si="204"/>
        <v>0</v>
      </c>
      <c r="BD98" s="402">
        <f t="shared" si="205"/>
        <v>0</v>
      </c>
      <c r="BE98" s="402">
        <f t="shared" si="206"/>
        <v>0</v>
      </c>
      <c r="BF98" s="402">
        <f t="shared" si="206"/>
        <v>0</v>
      </c>
      <c r="BG98" s="402">
        <f t="shared" si="206"/>
        <v>0</v>
      </c>
      <c r="BH98" s="402">
        <f t="shared" si="206"/>
        <v>0</v>
      </c>
      <c r="BI98" s="402">
        <f t="shared" si="206"/>
        <v>0</v>
      </c>
      <c r="BJ98" s="402">
        <f t="shared" si="206"/>
        <v>0</v>
      </c>
      <c r="BK98" s="403">
        <f t="shared" si="207"/>
        <v>35000</v>
      </c>
      <c r="BL98" s="402">
        <f t="shared" si="208"/>
        <v>0</v>
      </c>
      <c r="BM98" s="402">
        <f>SUM(AT98*3%)</f>
        <v>1050</v>
      </c>
      <c r="BN98" s="402">
        <f>SUM(AU98*3%)</f>
        <v>0</v>
      </c>
      <c r="BO98" s="1199">
        <f>SUM(AV98*14%)</f>
        <v>0</v>
      </c>
      <c r="BP98" s="402">
        <f t="shared" si="219"/>
        <v>0</v>
      </c>
      <c r="BQ98" s="402">
        <f t="shared" si="219"/>
        <v>0</v>
      </c>
      <c r="BR98" s="402">
        <f t="shared" si="219"/>
        <v>0</v>
      </c>
      <c r="BS98" s="402">
        <f t="shared" si="219"/>
        <v>0</v>
      </c>
      <c r="BT98" s="402">
        <f t="shared" si="219"/>
        <v>0</v>
      </c>
      <c r="BU98" s="402">
        <f t="shared" si="219"/>
        <v>0</v>
      </c>
      <c r="BV98" s="402">
        <f t="shared" si="219"/>
        <v>0</v>
      </c>
      <c r="BW98" s="402">
        <f t="shared" si="219"/>
        <v>0</v>
      </c>
      <c r="BX98" s="344">
        <f t="shared" si="210"/>
        <v>1050</v>
      </c>
      <c r="BY98" s="300">
        <f t="shared" si="211"/>
        <v>13450</v>
      </c>
      <c r="BZ98" s="301">
        <f t="shared" si="212"/>
        <v>49500</v>
      </c>
      <c r="CA98" s="302">
        <f t="shared" si="217"/>
        <v>13450</v>
      </c>
      <c r="CB98" s="276">
        <f t="shared" si="213"/>
        <v>1</v>
      </c>
      <c r="CC98" s="1081"/>
      <c r="CD98" s="1081"/>
      <c r="CE98" s="1083"/>
      <c r="CF98" s="1084"/>
      <c r="CG98" s="862"/>
      <c r="CH98" s="862"/>
      <c r="CI98" s="862"/>
      <c r="CJ98" s="862"/>
      <c r="CK98" s="862"/>
      <c r="CL98" s="862"/>
      <c r="CM98" s="862"/>
      <c r="CN98" s="862"/>
      <c r="CO98" s="1128">
        <f t="shared" si="221"/>
        <v>0</v>
      </c>
      <c r="CP98" s="862"/>
      <c r="CQ98" s="862"/>
      <c r="CR98" s="862"/>
      <c r="CS98" s="862"/>
      <c r="CT98" s="862"/>
      <c r="CU98" s="862"/>
      <c r="CV98" s="862"/>
      <c r="CW98" s="862"/>
      <c r="CX98" s="862"/>
      <c r="CY98" s="73">
        <f t="shared" si="215"/>
        <v>0</v>
      </c>
      <c r="CZ98" s="862"/>
      <c r="DA98" s="862"/>
      <c r="DB98" s="862"/>
      <c r="DC98" s="862"/>
      <c r="DD98" s="862"/>
      <c r="DE98" s="862"/>
      <c r="DF98" s="862"/>
      <c r="DG98" s="862"/>
      <c r="DH98" s="1128"/>
      <c r="DI98" s="862"/>
      <c r="DJ98" s="862"/>
      <c r="DK98" s="862"/>
      <c r="DL98" s="862"/>
      <c r="DM98" s="862"/>
      <c r="DN98" s="862"/>
      <c r="DO98" s="862"/>
      <c r="DP98" s="862"/>
      <c r="DQ98" s="862"/>
      <c r="DR98" s="73">
        <f t="shared" si="216"/>
        <v>0</v>
      </c>
      <c r="DS98" s="303"/>
      <c r="DT98" s="303"/>
      <c r="DU98" s="423"/>
      <c r="DV98" s="303"/>
      <c r="DW98" s="303"/>
      <c r="DX98" s="303"/>
      <c r="DY98" s="304"/>
      <c r="DZ98" s="304"/>
      <c r="EA98" s="304"/>
      <c r="EB98" s="304"/>
      <c r="EC98" s="304"/>
      <c r="ED98" s="304"/>
      <c r="EE98" s="304"/>
      <c r="EF98" s="304"/>
      <c r="EG98" s="304"/>
      <c r="EH98" s="304"/>
      <c r="EI98" s="304"/>
    </row>
    <row r="99" spans="1:139" s="305" customFormat="1" ht="24.75" customHeight="1" x14ac:dyDescent="0.2">
      <c r="A99" s="294">
        <f t="shared" si="218"/>
        <v>7</v>
      </c>
      <c r="B99" s="392" t="s">
        <v>161</v>
      </c>
      <c r="C99" s="295" t="s">
        <v>25</v>
      </c>
      <c r="D99" s="580">
        <v>1</v>
      </c>
      <c r="E99" s="993"/>
      <c r="F99" s="297">
        <v>1</v>
      </c>
      <c r="G99" s="1240"/>
      <c r="H99" s="1240"/>
      <c r="I99" s="1207"/>
      <c r="J99" s="1299"/>
      <c r="K99" s="1184"/>
      <c r="L99" s="1184"/>
      <c r="M99" s="1184"/>
      <c r="N99" s="1184"/>
      <c r="O99" s="1184"/>
      <c r="P99" s="1184"/>
      <c r="Q99" s="1184"/>
      <c r="R99" s="1184"/>
      <c r="S99" s="1184"/>
      <c r="T99" s="1184"/>
      <c r="U99" s="1184"/>
      <c r="V99" s="1184"/>
      <c r="W99" s="840">
        <f t="shared" si="192"/>
        <v>1</v>
      </c>
      <c r="X99" s="581" t="s">
        <v>27</v>
      </c>
      <c r="Y99" s="582">
        <v>22700</v>
      </c>
      <c r="Z99" s="1000"/>
      <c r="AA99" s="441">
        <v>8000</v>
      </c>
      <c r="AB99" s="1334"/>
      <c r="AC99" s="441"/>
      <c r="AD99" s="1428"/>
      <c r="AE99" s="1194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271">
        <f t="shared" si="193"/>
        <v>22700</v>
      </c>
      <c r="AS99" s="1199">
        <f t="shared" si="194"/>
        <v>0</v>
      </c>
      <c r="AT99" s="402">
        <f t="shared" si="195"/>
        <v>8000</v>
      </c>
      <c r="AU99" s="1213">
        <f t="shared" si="196"/>
        <v>0</v>
      </c>
      <c r="AV99" s="1199">
        <f t="shared" si="197"/>
        <v>0</v>
      </c>
      <c r="AW99" s="1199">
        <f t="shared" si="198"/>
        <v>0</v>
      </c>
      <c r="AX99" s="1298">
        <f t="shared" si="199"/>
        <v>0</v>
      </c>
      <c r="AY99" s="402">
        <f t="shared" si="200"/>
        <v>0</v>
      </c>
      <c r="AZ99" s="402">
        <f t="shared" si="201"/>
        <v>0</v>
      </c>
      <c r="BA99" s="402">
        <f t="shared" si="202"/>
        <v>0</v>
      </c>
      <c r="BB99" s="402">
        <f t="shared" si="203"/>
        <v>0</v>
      </c>
      <c r="BC99" s="402">
        <f t="shared" si="204"/>
        <v>0</v>
      </c>
      <c r="BD99" s="402">
        <f t="shared" si="205"/>
        <v>0</v>
      </c>
      <c r="BE99" s="402">
        <f t="shared" si="206"/>
        <v>0</v>
      </c>
      <c r="BF99" s="402">
        <f t="shared" si="206"/>
        <v>0</v>
      </c>
      <c r="BG99" s="402">
        <f t="shared" si="206"/>
        <v>0</v>
      </c>
      <c r="BH99" s="402">
        <f t="shared" si="206"/>
        <v>0</v>
      </c>
      <c r="BI99" s="402">
        <f t="shared" si="206"/>
        <v>0</v>
      </c>
      <c r="BJ99" s="402">
        <f t="shared" si="206"/>
        <v>0</v>
      </c>
      <c r="BK99" s="403">
        <f t="shared" si="207"/>
        <v>8000</v>
      </c>
      <c r="BL99" s="402">
        <f t="shared" si="208"/>
        <v>0</v>
      </c>
      <c r="BM99" s="402">
        <f t="shared" si="220"/>
        <v>240</v>
      </c>
      <c r="BN99" s="402">
        <f t="shared" ref="BN99:BN102" si="222">SUM(AU99*3%)</f>
        <v>0</v>
      </c>
      <c r="BO99" s="1199">
        <f>SUM(AV99*14%)</f>
        <v>0</v>
      </c>
      <c r="BP99" s="402">
        <f t="shared" si="219"/>
        <v>0</v>
      </c>
      <c r="BQ99" s="402">
        <f t="shared" si="219"/>
        <v>0</v>
      </c>
      <c r="BR99" s="402">
        <f t="shared" si="219"/>
        <v>0</v>
      </c>
      <c r="BS99" s="402">
        <f t="shared" si="219"/>
        <v>0</v>
      </c>
      <c r="BT99" s="402">
        <f t="shared" si="219"/>
        <v>0</v>
      </c>
      <c r="BU99" s="402">
        <f t="shared" si="219"/>
        <v>0</v>
      </c>
      <c r="BV99" s="402">
        <f t="shared" si="219"/>
        <v>0</v>
      </c>
      <c r="BW99" s="402">
        <f t="shared" si="219"/>
        <v>0</v>
      </c>
      <c r="BX99" s="344">
        <f t="shared" si="210"/>
        <v>240</v>
      </c>
      <c r="BY99" s="300">
        <f t="shared" si="211"/>
        <v>14460</v>
      </c>
      <c r="BZ99" s="301">
        <f t="shared" si="212"/>
        <v>22700</v>
      </c>
      <c r="CA99" s="302">
        <f t="shared" si="217"/>
        <v>14460</v>
      </c>
      <c r="CB99" s="276">
        <f t="shared" si="213"/>
        <v>1</v>
      </c>
      <c r="CC99" s="1081"/>
      <c r="CD99" s="1081"/>
      <c r="CE99" s="1083"/>
      <c r="CF99" s="1084"/>
      <c r="CG99" s="862"/>
      <c r="CH99" s="862"/>
      <c r="CI99" s="862"/>
      <c r="CJ99" s="862"/>
      <c r="CK99" s="862"/>
      <c r="CL99" s="862"/>
      <c r="CM99" s="862"/>
      <c r="CN99" s="862"/>
      <c r="CO99" s="1128">
        <f t="shared" si="221"/>
        <v>0</v>
      </c>
      <c r="CP99" s="862"/>
      <c r="CQ99" s="862"/>
      <c r="CR99" s="862"/>
      <c r="CS99" s="862"/>
      <c r="CT99" s="862"/>
      <c r="CU99" s="862"/>
      <c r="CV99" s="862"/>
      <c r="CW99" s="862"/>
      <c r="CX99" s="862"/>
      <c r="CY99" s="73">
        <f t="shared" si="215"/>
        <v>0</v>
      </c>
      <c r="CZ99" s="862"/>
      <c r="DA99" s="862"/>
      <c r="DB99" s="862"/>
      <c r="DC99" s="862"/>
      <c r="DD99" s="862"/>
      <c r="DE99" s="862"/>
      <c r="DF99" s="862"/>
      <c r="DG99" s="862"/>
      <c r="DH99" s="1128"/>
      <c r="DI99" s="862"/>
      <c r="DJ99" s="862"/>
      <c r="DK99" s="862"/>
      <c r="DL99" s="862"/>
      <c r="DM99" s="862"/>
      <c r="DN99" s="862"/>
      <c r="DO99" s="862"/>
      <c r="DP99" s="862"/>
      <c r="DQ99" s="862"/>
      <c r="DR99" s="73">
        <f t="shared" si="216"/>
        <v>0</v>
      </c>
      <c r="DS99" s="303"/>
      <c r="DT99" s="303"/>
      <c r="DU99" s="423"/>
      <c r="DV99" s="303"/>
      <c r="DW99" s="303"/>
      <c r="DX99" s="303"/>
      <c r="DY99" s="304"/>
      <c r="DZ99" s="304"/>
      <c r="EA99" s="304"/>
      <c r="EB99" s="304"/>
      <c r="EC99" s="304"/>
      <c r="ED99" s="304"/>
      <c r="EE99" s="304"/>
      <c r="EF99" s="304"/>
      <c r="EG99" s="304"/>
      <c r="EH99" s="304"/>
      <c r="EI99" s="304"/>
    </row>
    <row r="100" spans="1:139" s="305" customFormat="1" ht="24" customHeight="1" x14ac:dyDescent="0.2">
      <c r="A100" s="294">
        <f t="shared" si="218"/>
        <v>8</v>
      </c>
      <c r="B100" s="392" t="s">
        <v>366</v>
      </c>
      <c r="C100" s="295" t="s">
        <v>25</v>
      </c>
      <c r="D100" s="580">
        <v>16</v>
      </c>
      <c r="E100" s="993"/>
      <c r="F100" s="297">
        <v>16</v>
      </c>
      <c r="G100" s="1240"/>
      <c r="H100" s="1240"/>
      <c r="I100" s="1207"/>
      <c r="J100" s="1299"/>
      <c r="K100" s="1184"/>
      <c r="L100" s="1184"/>
      <c r="M100" s="1184"/>
      <c r="N100" s="1184"/>
      <c r="O100" s="1184"/>
      <c r="P100" s="1184"/>
      <c r="Q100" s="1184"/>
      <c r="R100" s="1184"/>
      <c r="S100" s="1184"/>
      <c r="T100" s="1184"/>
      <c r="U100" s="1184"/>
      <c r="V100" s="1184"/>
      <c r="W100" s="840">
        <f t="shared" si="192"/>
        <v>16</v>
      </c>
      <c r="X100" s="581" t="s">
        <v>27</v>
      </c>
      <c r="Y100" s="582">
        <v>37100</v>
      </c>
      <c r="Z100" s="996"/>
      <c r="AA100" s="306">
        <v>20000</v>
      </c>
      <c r="AB100" s="1335"/>
      <c r="AC100" s="306"/>
      <c r="AD100" s="1428"/>
      <c r="AE100" s="1194"/>
      <c r="AF100" s="440"/>
      <c r="AG100" s="440"/>
      <c r="AH100" s="440"/>
      <c r="AI100" s="440"/>
      <c r="AJ100" s="440"/>
      <c r="AK100" s="440"/>
      <c r="AL100" s="440"/>
      <c r="AM100" s="440"/>
      <c r="AN100" s="440"/>
      <c r="AO100" s="440"/>
      <c r="AP100" s="440"/>
      <c r="AQ100" s="440"/>
      <c r="AR100" s="271">
        <f t="shared" si="193"/>
        <v>593600</v>
      </c>
      <c r="AS100" s="1199">
        <f t="shared" si="194"/>
        <v>0</v>
      </c>
      <c r="AT100" s="402">
        <f t="shared" si="195"/>
        <v>320000</v>
      </c>
      <c r="AU100" s="1213">
        <f t="shared" si="196"/>
        <v>0</v>
      </c>
      <c r="AV100" s="1199">
        <f t="shared" si="197"/>
        <v>0</v>
      </c>
      <c r="AW100" s="1199">
        <f t="shared" si="198"/>
        <v>0</v>
      </c>
      <c r="AX100" s="1298">
        <f t="shared" si="199"/>
        <v>0</v>
      </c>
      <c r="AY100" s="402">
        <f t="shared" si="200"/>
        <v>0</v>
      </c>
      <c r="AZ100" s="402">
        <f t="shared" si="201"/>
        <v>0</v>
      </c>
      <c r="BA100" s="402">
        <f t="shared" si="202"/>
        <v>0</v>
      </c>
      <c r="BB100" s="402">
        <f t="shared" si="203"/>
        <v>0</v>
      </c>
      <c r="BC100" s="402">
        <f t="shared" si="204"/>
        <v>0</v>
      </c>
      <c r="BD100" s="402">
        <f t="shared" si="205"/>
        <v>0</v>
      </c>
      <c r="BE100" s="402">
        <f t="shared" si="206"/>
        <v>0</v>
      </c>
      <c r="BF100" s="402">
        <f t="shared" si="206"/>
        <v>0</v>
      </c>
      <c r="BG100" s="402">
        <f t="shared" si="206"/>
        <v>0</v>
      </c>
      <c r="BH100" s="402">
        <f t="shared" si="206"/>
        <v>0</v>
      </c>
      <c r="BI100" s="402">
        <f t="shared" si="206"/>
        <v>0</v>
      </c>
      <c r="BJ100" s="402">
        <f t="shared" si="206"/>
        <v>0</v>
      </c>
      <c r="BK100" s="403">
        <f t="shared" si="207"/>
        <v>320000</v>
      </c>
      <c r="BL100" s="402">
        <f t="shared" si="208"/>
        <v>0</v>
      </c>
      <c r="BM100" s="402">
        <f t="shared" si="220"/>
        <v>9600</v>
      </c>
      <c r="BN100" s="402">
        <f t="shared" si="222"/>
        <v>0</v>
      </c>
      <c r="BO100" s="1199">
        <f>SUM(AV100*14%)</f>
        <v>0</v>
      </c>
      <c r="BP100" s="402">
        <f t="shared" si="219"/>
        <v>0</v>
      </c>
      <c r="BQ100" s="402">
        <f t="shared" si="219"/>
        <v>0</v>
      </c>
      <c r="BR100" s="402">
        <f t="shared" si="219"/>
        <v>0</v>
      </c>
      <c r="BS100" s="402">
        <f t="shared" si="219"/>
        <v>0</v>
      </c>
      <c r="BT100" s="402">
        <f t="shared" si="219"/>
        <v>0</v>
      </c>
      <c r="BU100" s="402">
        <f t="shared" si="219"/>
        <v>0</v>
      </c>
      <c r="BV100" s="402">
        <f t="shared" si="219"/>
        <v>0</v>
      </c>
      <c r="BW100" s="402">
        <f t="shared" si="219"/>
        <v>0</v>
      </c>
      <c r="BX100" s="344">
        <f t="shared" si="210"/>
        <v>9600</v>
      </c>
      <c r="BY100" s="300">
        <f t="shared" si="211"/>
        <v>264000</v>
      </c>
      <c r="BZ100" s="301">
        <f t="shared" si="212"/>
        <v>593600</v>
      </c>
      <c r="CA100" s="302">
        <f>BZ100-BK100-BX100-98800</f>
        <v>165200</v>
      </c>
      <c r="CB100" s="276">
        <f t="shared" si="213"/>
        <v>1</v>
      </c>
      <c r="CC100" s="1081"/>
      <c r="CD100" s="1081"/>
      <c r="CE100" s="1083"/>
      <c r="CF100" s="1084"/>
      <c r="CG100" s="862"/>
      <c r="CH100" s="862"/>
      <c r="CI100" s="862"/>
      <c r="CJ100" s="862"/>
      <c r="CK100" s="862"/>
      <c r="CL100" s="862"/>
      <c r="CM100" s="862"/>
      <c r="CN100" s="862"/>
      <c r="CO100" s="1128">
        <f t="shared" si="221"/>
        <v>0</v>
      </c>
      <c r="CP100" s="862"/>
      <c r="CQ100" s="862"/>
      <c r="CR100" s="862"/>
      <c r="CS100" s="862"/>
      <c r="CT100" s="862"/>
      <c r="CU100" s="862"/>
      <c r="CV100" s="862"/>
      <c r="CW100" s="862"/>
      <c r="CX100" s="862"/>
      <c r="CY100" s="73">
        <f t="shared" si="215"/>
        <v>0</v>
      </c>
      <c r="CZ100" s="862"/>
      <c r="DA100" s="862"/>
      <c r="DB100" s="862"/>
      <c r="DC100" s="862"/>
      <c r="DD100" s="862"/>
      <c r="DE100" s="862"/>
      <c r="DF100" s="862"/>
      <c r="DG100" s="862"/>
      <c r="DH100" s="1128"/>
      <c r="DI100" s="862"/>
      <c r="DJ100" s="862"/>
      <c r="DK100" s="862"/>
      <c r="DL100" s="862"/>
      <c r="DM100" s="862"/>
      <c r="DN100" s="862"/>
      <c r="DO100" s="862"/>
      <c r="DP100" s="862"/>
      <c r="DQ100" s="862"/>
      <c r="DR100" s="73">
        <f t="shared" si="216"/>
        <v>0</v>
      </c>
      <c r="DS100" s="303"/>
      <c r="DT100" s="303"/>
      <c r="DU100" s="423"/>
      <c r="DV100" s="303"/>
      <c r="DW100" s="303"/>
      <c r="DX100" s="303"/>
      <c r="DY100" s="304"/>
      <c r="DZ100" s="304"/>
      <c r="EA100" s="304"/>
      <c r="EB100" s="304"/>
      <c r="EC100" s="304"/>
      <c r="ED100" s="304"/>
      <c r="EE100" s="304"/>
      <c r="EF100" s="304"/>
      <c r="EG100" s="304"/>
      <c r="EH100" s="304"/>
      <c r="EI100" s="304"/>
    </row>
    <row r="101" spans="1:139" s="305" customFormat="1" ht="23.25" customHeight="1" x14ac:dyDescent="0.2">
      <c r="A101" s="294">
        <f t="shared" si="218"/>
        <v>9</v>
      </c>
      <c r="B101" s="145" t="s">
        <v>47</v>
      </c>
      <c r="C101" s="295" t="s">
        <v>25</v>
      </c>
      <c r="D101" s="580">
        <v>1</v>
      </c>
      <c r="E101" s="993"/>
      <c r="F101" s="297">
        <v>1</v>
      </c>
      <c r="G101" s="1240"/>
      <c r="H101" s="1240"/>
      <c r="I101" s="1207"/>
      <c r="J101" s="1299"/>
      <c r="K101" s="1184"/>
      <c r="L101" s="1184"/>
      <c r="M101" s="1184"/>
      <c r="N101" s="1184"/>
      <c r="O101" s="1184"/>
      <c r="P101" s="1184"/>
      <c r="Q101" s="1184"/>
      <c r="R101" s="1184"/>
      <c r="S101" s="1184"/>
      <c r="T101" s="1184"/>
      <c r="U101" s="1184"/>
      <c r="V101" s="1184"/>
      <c r="W101" s="840">
        <f>SUM(E101:V101)</f>
        <v>1</v>
      </c>
      <c r="X101" s="581" t="s">
        <v>27</v>
      </c>
      <c r="Y101" s="582">
        <v>17000</v>
      </c>
      <c r="Z101" s="996"/>
      <c r="AA101" s="306">
        <v>12000</v>
      </c>
      <c r="AB101" s="1335"/>
      <c r="AC101" s="306"/>
      <c r="AD101" s="1428"/>
      <c r="AE101" s="1194"/>
      <c r="AF101" s="440"/>
      <c r="AG101" s="440"/>
      <c r="AH101" s="440"/>
      <c r="AI101" s="440"/>
      <c r="AJ101" s="440"/>
      <c r="AK101" s="440"/>
      <c r="AL101" s="440"/>
      <c r="AM101" s="440"/>
      <c r="AN101" s="440"/>
      <c r="AO101" s="440"/>
      <c r="AP101" s="440"/>
      <c r="AQ101" s="440"/>
      <c r="AR101" s="271">
        <f t="shared" si="193"/>
        <v>17000</v>
      </c>
      <c r="AS101" s="1199">
        <f t="shared" si="194"/>
        <v>0</v>
      </c>
      <c r="AT101" s="402">
        <f t="shared" si="195"/>
        <v>12000</v>
      </c>
      <c r="AU101" s="1213">
        <f t="shared" si="196"/>
        <v>0</v>
      </c>
      <c r="AV101" s="1199">
        <f t="shared" si="197"/>
        <v>0</v>
      </c>
      <c r="AW101" s="1199">
        <f t="shared" si="198"/>
        <v>0</v>
      </c>
      <c r="AX101" s="1298">
        <f t="shared" si="199"/>
        <v>0</v>
      </c>
      <c r="AY101" s="402">
        <f t="shared" si="200"/>
        <v>0</v>
      </c>
      <c r="AZ101" s="402">
        <f t="shared" si="201"/>
        <v>0</v>
      </c>
      <c r="BA101" s="402">
        <f t="shared" si="202"/>
        <v>0</v>
      </c>
      <c r="BB101" s="402">
        <f t="shared" si="203"/>
        <v>0</v>
      </c>
      <c r="BC101" s="402">
        <f t="shared" si="204"/>
        <v>0</v>
      </c>
      <c r="BD101" s="402">
        <f t="shared" si="205"/>
        <v>0</v>
      </c>
      <c r="BE101" s="402">
        <f t="shared" si="206"/>
        <v>0</v>
      </c>
      <c r="BF101" s="402">
        <f t="shared" si="206"/>
        <v>0</v>
      </c>
      <c r="BG101" s="402">
        <f t="shared" si="206"/>
        <v>0</v>
      </c>
      <c r="BH101" s="402">
        <f t="shared" si="206"/>
        <v>0</v>
      </c>
      <c r="BI101" s="402">
        <f t="shared" si="206"/>
        <v>0</v>
      </c>
      <c r="BJ101" s="402">
        <f t="shared" si="206"/>
        <v>0</v>
      </c>
      <c r="BK101" s="403">
        <f t="shared" si="207"/>
        <v>12000</v>
      </c>
      <c r="BL101" s="402">
        <f t="shared" si="208"/>
        <v>0</v>
      </c>
      <c r="BM101" s="402">
        <f t="shared" si="220"/>
        <v>360</v>
      </c>
      <c r="BN101" s="402">
        <f t="shared" si="222"/>
        <v>0</v>
      </c>
      <c r="BO101" s="1199">
        <f>SUM(AV101*14%)</f>
        <v>0</v>
      </c>
      <c r="BP101" s="402">
        <f t="shared" si="219"/>
        <v>0</v>
      </c>
      <c r="BQ101" s="402">
        <f t="shared" si="219"/>
        <v>0</v>
      </c>
      <c r="BR101" s="402">
        <f t="shared" si="219"/>
        <v>0</v>
      </c>
      <c r="BS101" s="402">
        <f t="shared" si="219"/>
        <v>0</v>
      </c>
      <c r="BT101" s="402">
        <f t="shared" si="219"/>
        <v>0</v>
      </c>
      <c r="BU101" s="402">
        <f t="shared" si="219"/>
        <v>0</v>
      </c>
      <c r="BV101" s="402">
        <f t="shared" si="219"/>
        <v>0</v>
      </c>
      <c r="BW101" s="402">
        <f t="shared" si="219"/>
        <v>0</v>
      </c>
      <c r="BX101" s="344">
        <f t="shared" si="210"/>
        <v>360</v>
      </c>
      <c r="BY101" s="300">
        <f t="shared" si="211"/>
        <v>4640</v>
      </c>
      <c r="BZ101" s="301">
        <f t="shared" si="212"/>
        <v>17000</v>
      </c>
      <c r="CA101" s="302">
        <f t="shared" si="217"/>
        <v>4640</v>
      </c>
      <c r="CB101" s="276">
        <f t="shared" si="213"/>
        <v>1</v>
      </c>
      <c r="CC101" s="1081"/>
      <c r="CD101" s="1081"/>
      <c r="CE101" s="1083"/>
      <c r="CF101" s="1084"/>
      <c r="CG101" s="862"/>
      <c r="CH101" s="862"/>
      <c r="CI101" s="862"/>
      <c r="CJ101" s="862"/>
      <c r="CK101" s="862"/>
      <c r="CL101" s="862"/>
      <c r="CM101" s="862"/>
      <c r="CN101" s="862"/>
      <c r="CO101" s="1128">
        <f t="shared" si="221"/>
        <v>0</v>
      </c>
      <c r="CP101" s="862"/>
      <c r="CQ101" s="862"/>
      <c r="CR101" s="862"/>
      <c r="CS101" s="862"/>
      <c r="CT101" s="862"/>
      <c r="CU101" s="862"/>
      <c r="CV101" s="862"/>
      <c r="CW101" s="862"/>
      <c r="CX101" s="862"/>
      <c r="CY101" s="73">
        <f t="shared" si="215"/>
        <v>0</v>
      </c>
      <c r="CZ101" s="862"/>
      <c r="DA101" s="862"/>
      <c r="DB101" s="862"/>
      <c r="DC101" s="862"/>
      <c r="DD101" s="862"/>
      <c r="DE101" s="862"/>
      <c r="DF101" s="862"/>
      <c r="DG101" s="862"/>
      <c r="DH101" s="1128"/>
      <c r="DI101" s="862"/>
      <c r="DJ101" s="862"/>
      <c r="DK101" s="862"/>
      <c r="DL101" s="862"/>
      <c r="DM101" s="862"/>
      <c r="DN101" s="862"/>
      <c r="DO101" s="862"/>
      <c r="DP101" s="862"/>
      <c r="DQ101" s="862"/>
      <c r="DR101" s="73">
        <f t="shared" si="216"/>
        <v>0</v>
      </c>
      <c r="DS101" s="303"/>
      <c r="DT101" s="303"/>
      <c r="DU101" s="423"/>
      <c r="DV101" s="303"/>
      <c r="DW101" s="303"/>
      <c r="DX101" s="303"/>
      <c r="DY101" s="304"/>
      <c r="DZ101" s="304"/>
      <c r="EA101" s="304"/>
      <c r="EB101" s="304"/>
      <c r="EC101" s="304"/>
      <c r="ED101" s="304"/>
      <c r="EE101" s="304"/>
      <c r="EF101" s="304"/>
      <c r="EG101" s="304"/>
      <c r="EH101" s="304"/>
      <c r="EI101" s="304"/>
    </row>
    <row r="102" spans="1:139" s="305" customFormat="1" ht="24.75" customHeight="1" x14ac:dyDescent="0.2">
      <c r="A102" s="294">
        <f t="shared" si="218"/>
        <v>10</v>
      </c>
      <c r="B102" s="145" t="s">
        <v>139</v>
      </c>
      <c r="C102" s="295" t="s">
        <v>25</v>
      </c>
      <c r="D102" s="580">
        <v>1</v>
      </c>
      <c r="E102" s="993"/>
      <c r="F102" s="297">
        <v>1</v>
      </c>
      <c r="G102" s="1240"/>
      <c r="H102" s="1240"/>
      <c r="I102" s="1207"/>
      <c r="J102" s="1297"/>
      <c r="K102" s="1184"/>
      <c r="L102" s="1184"/>
      <c r="M102" s="1184"/>
      <c r="N102" s="1184"/>
      <c r="O102" s="1184"/>
      <c r="P102" s="1184"/>
      <c r="Q102" s="1184"/>
      <c r="R102" s="1184"/>
      <c r="S102" s="1184"/>
      <c r="T102" s="1184"/>
      <c r="U102" s="1184"/>
      <c r="V102" s="1184"/>
      <c r="W102" s="840">
        <f t="shared" si="192"/>
        <v>1</v>
      </c>
      <c r="X102" s="581" t="s">
        <v>27</v>
      </c>
      <c r="Y102" s="582">
        <v>16448</v>
      </c>
      <c r="Z102" s="1000"/>
      <c r="AA102" s="441">
        <v>15000</v>
      </c>
      <c r="AB102" s="1334"/>
      <c r="AC102" s="441"/>
      <c r="AD102" s="1428"/>
      <c r="AE102" s="1194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40"/>
      <c r="AQ102" s="440"/>
      <c r="AR102" s="271">
        <f t="shared" si="193"/>
        <v>16448</v>
      </c>
      <c r="AS102" s="1199">
        <f t="shared" si="194"/>
        <v>0</v>
      </c>
      <c r="AT102" s="402">
        <f t="shared" si="195"/>
        <v>15000</v>
      </c>
      <c r="AU102" s="1213">
        <f t="shared" si="196"/>
        <v>0</v>
      </c>
      <c r="AV102" s="1199">
        <f t="shared" si="197"/>
        <v>0</v>
      </c>
      <c r="AW102" s="1199">
        <f t="shared" si="198"/>
        <v>0</v>
      </c>
      <c r="AX102" s="1298">
        <f t="shared" si="199"/>
        <v>0</v>
      </c>
      <c r="AY102" s="402">
        <f t="shared" si="200"/>
        <v>0</v>
      </c>
      <c r="AZ102" s="402">
        <f t="shared" si="201"/>
        <v>0</v>
      </c>
      <c r="BA102" s="402">
        <f t="shared" si="202"/>
        <v>0</v>
      </c>
      <c r="BB102" s="402">
        <f t="shared" si="203"/>
        <v>0</v>
      </c>
      <c r="BC102" s="402">
        <f t="shared" si="204"/>
        <v>0</v>
      </c>
      <c r="BD102" s="402">
        <f t="shared" si="205"/>
        <v>0</v>
      </c>
      <c r="BE102" s="402">
        <f t="shared" si="206"/>
        <v>0</v>
      </c>
      <c r="BF102" s="402">
        <f t="shared" si="206"/>
        <v>0</v>
      </c>
      <c r="BG102" s="402">
        <f t="shared" si="206"/>
        <v>0</v>
      </c>
      <c r="BH102" s="402">
        <f t="shared" si="206"/>
        <v>0</v>
      </c>
      <c r="BI102" s="402">
        <f t="shared" si="206"/>
        <v>0</v>
      </c>
      <c r="BJ102" s="402">
        <f t="shared" si="206"/>
        <v>0</v>
      </c>
      <c r="BK102" s="403">
        <f t="shared" si="207"/>
        <v>15000</v>
      </c>
      <c r="BL102" s="402">
        <f t="shared" si="208"/>
        <v>0</v>
      </c>
      <c r="BM102" s="402">
        <f>SUM(AT102*3%)</f>
        <v>450</v>
      </c>
      <c r="BN102" s="402">
        <f t="shared" si="222"/>
        <v>0</v>
      </c>
      <c r="BO102" s="1199">
        <f>SUM(AV102*14%)</f>
        <v>0</v>
      </c>
      <c r="BP102" s="402">
        <f t="shared" si="219"/>
        <v>0</v>
      </c>
      <c r="BQ102" s="402">
        <f t="shared" si="219"/>
        <v>0</v>
      </c>
      <c r="BR102" s="402">
        <f t="shared" si="219"/>
        <v>0</v>
      </c>
      <c r="BS102" s="402">
        <f t="shared" si="219"/>
        <v>0</v>
      </c>
      <c r="BT102" s="402">
        <f t="shared" si="219"/>
        <v>0</v>
      </c>
      <c r="BU102" s="402">
        <f t="shared" si="219"/>
        <v>0</v>
      </c>
      <c r="BV102" s="402">
        <f t="shared" si="219"/>
        <v>0</v>
      </c>
      <c r="BW102" s="402">
        <f t="shared" si="219"/>
        <v>0</v>
      </c>
      <c r="BX102" s="344">
        <f t="shared" si="210"/>
        <v>450</v>
      </c>
      <c r="BY102" s="300">
        <f t="shared" si="211"/>
        <v>998</v>
      </c>
      <c r="BZ102" s="301">
        <f t="shared" si="212"/>
        <v>16448</v>
      </c>
      <c r="CA102" s="302">
        <f t="shared" si="217"/>
        <v>998</v>
      </c>
      <c r="CB102" s="276">
        <f>SUM(W102/D102)</f>
        <v>1</v>
      </c>
      <c r="CC102" s="1081"/>
      <c r="CD102" s="1081"/>
      <c r="CE102" s="1083"/>
      <c r="CF102" s="1084"/>
      <c r="CG102" s="862"/>
      <c r="CH102" s="862"/>
      <c r="CI102" s="862"/>
      <c r="CJ102" s="862"/>
      <c r="CK102" s="862"/>
      <c r="CL102" s="862"/>
      <c r="CM102" s="862"/>
      <c r="CN102" s="862"/>
      <c r="CO102" s="1128">
        <f t="shared" si="221"/>
        <v>0</v>
      </c>
      <c r="CP102" s="862"/>
      <c r="CQ102" s="862"/>
      <c r="CR102" s="862"/>
      <c r="CS102" s="862"/>
      <c r="CT102" s="862"/>
      <c r="CU102" s="862"/>
      <c r="CV102" s="862"/>
      <c r="CW102" s="862"/>
      <c r="CX102" s="862"/>
      <c r="CY102" s="73">
        <f t="shared" si="215"/>
        <v>0</v>
      </c>
      <c r="CZ102" s="862"/>
      <c r="DA102" s="862"/>
      <c r="DB102" s="862"/>
      <c r="DC102" s="862"/>
      <c r="DD102" s="862"/>
      <c r="DE102" s="862"/>
      <c r="DF102" s="862"/>
      <c r="DG102" s="862"/>
      <c r="DH102" s="1128"/>
      <c r="DI102" s="862"/>
      <c r="DJ102" s="862"/>
      <c r="DK102" s="862"/>
      <c r="DL102" s="862"/>
      <c r="DM102" s="862"/>
      <c r="DN102" s="862"/>
      <c r="DO102" s="862"/>
      <c r="DP102" s="862"/>
      <c r="DQ102" s="862"/>
      <c r="DR102" s="73">
        <f t="shared" si="216"/>
        <v>0</v>
      </c>
      <c r="DS102" s="303"/>
      <c r="DT102" s="303"/>
      <c r="DU102" s="423"/>
      <c r="DV102" s="303"/>
      <c r="DW102" s="303"/>
      <c r="DX102" s="303"/>
      <c r="DY102" s="304"/>
      <c r="DZ102" s="304"/>
      <c r="EA102" s="304"/>
      <c r="EB102" s="304"/>
      <c r="EC102" s="304"/>
      <c r="ED102" s="304"/>
      <c r="EE102" s="304"/>
      <c r="EF102" s="304"/>
      <c r="EG102" s="304"/>
      <c r="EH102" s="304"/>
      <c r="EI102" s="304"/>
    </row>
    <row r="103" spans="1:139" s="305" customFormat="1" ht="24.75" customHeight="1" x14ac:dyDescent="0.2">
      <c r="A103" s="294"/>
      <c r="B103" s="584" t="s">
        <v>352</v>
      </c>
      <c r="C103" s="295"/>
      <c r="D103" s="580"/>
      <c r="E103" s="993"/>
      <c r="F103" s="297"/>
      <c r="G103" s="1240"/>
      <c r="H103" s="1240"/>
      <c r="I103" s="1207"/>
      <c r="J103" s="1297"/>
      <c r="K103" s="1184"/>
      <c r="L103" s="1184"/>
      <c r="M103" s="1184"/>
      <c r="N103" s="1184"/>
      <c r="O103" s="1184"/>
      <c r="P103" s="1184"/>
      <c r="Q103" s="1184"/>
      <c r="R103" s="1184"/>
      <c r="S103" s="1184"/>
      <c r="T103" s="1184"/>
      <c r="U103" s="1184"/>
      <c r="V103" s="1184"/>
      <c r="W103" s="840">
        <f t="shared" si="192"/>
        <v>0</v>
      </c>
      <c r="X103" s="581"/>
      <c r="Y103" s="394"/>
      <c r="Z103" s="1000"/>
      <c r="AA103" s="440"/>
      <c r="AB103" s="1336"/>
      <c r="AC103" s="583"/>
      <c r="AD103" s="1428"/>
      <c r="AE103" s="1194"/>
      <c r="AF103" s="440"/>
      <c r="AG103" s="440"/>
      <c r="AH103" s="440"/>
      <c r="AI103" s="440"/>
      <c r="AJ103" s="440"/>
      <c r="AK103" s="440"/>
      <c r="AL103" s="440"/>
      <c r="AM103" s="440"/>
      <c r="AN103" s="440"/>
      <c r="AO103" s="440"/>
      <c r="AP103" s="440"/>
      <c r="AQ103" s="440"/>
      <c r="AR103" s="271"/>
      <c r="AS103" s="1199"/>
      <c r="AT103" s="402"/>
      <c r="AU103" s="1213"/>
      <c r="AV103" s="1199"/>
      <c r="AW103" s="1199"/>
      <c r="AX103" s="1298"/>
      <c r="AY103" s="402"/>
      <c r="AZ103" s="402"/>
      <c r="BA103" s="402"/>
      <c r="BB103" s="402"/>
      <c r="BC103" s="402"/>
      <c r="BD103" s="402"/>
      <c r="BE103" s="402"/>
      <c r="BF103" s="402"/>
      <c r="BG103" s="402"/>
      <c r="BH103" s="402"/>
      <c r="BI103" s="402"/>
      <c r="BJ103" s="402"/>
      <c r="BK103" s="403">
        <f t="shared" si="207"/>
        <v>0</v>
      </c>
      <c r="BL103" s="402"/>
      <c r="BM103" s="402"/>
      <c r="BN103" s="402"/>
      <c r="BO103" s="1199"/>
      <c r="BP103" s="402"/>
      <c r="BQ103" s="402"/>
      <c r="BR103" s="402"/>
      <c r="BS103" s="402"/>
      <c r="BT103" s="402"/>
      <c r="BU103" s="402"/>
      <c r="BV103" s="402"/>
      <c r="BW103" s="402"/>
      <c r="BX103" s="344"/>
      <c r="BY103" s="300"/>
      <c r="BZ103" s="301"/>
      <c r="CA103" s="302"/>
      <c r="CB103" s="276"/>
      <c r="CC103" s="1081"/>
      <c r="CD103" s="1081"/>
      <c r="CE103" s="1083"/>
      <c r="CF103" s="1084"/>
      <c r="CG103" s="862"/>
      <c r="CH103" s="862"/>
      <c r="CI103" s="862"/>
      <c r="CJ103" s="862"/>
      <c r="CK103" s="862"/>
      <c r="CL103" s="862"/>
      <c r="CM103" s="862"/>
      <c r="CN103" s="862"/>
      <c r="CO103" s="1128">
        <f t="shared" si="221"/>
        <v>0</v>
      </c>
      <c r="CP103" s="862"/>
      <c r="CQ103" s="862"/>
      <c r="CR103" s="862"/>
      <c r="CS103" s="862"/>
      <c r="CT103" s="862"/>
      <c r="CU103" s="862"/>
      <c r="CV103" s="862"/>
      <c r="CW103" s="862"/>
      <c r="CX103" s="862"/>
      <c r="CY103" s="73">
        <f t="shared" si="215"/>
        <v>0</v>
      </c>
      <c r="CZ103" s="862"/>
      <c r="DA103" s="862"/>
      <c r="DB103" s="862"/>
      <c r="DC103" s="862"/>
      <c r="DD103" s="862"/>
      <c r="DE103" s="862"/>
      <c r="DF103" s="862"/>
      <c r="DG103" s="862"/>
      <c r="DH103" s="1128"/>
      <c r="DI103" s="862"/>
      <c r="DJ103" s="862"/>
      <c r="DK103" s="862"/>
      <c r="DL103" s="862"/>
      <c r="DM103" s="862"/>
      <c r="DN103" s="862"/>
      <c r="DO103" s="862"/>
      <c r="DP103" s="862"/>
      <c r="DQ103" s="862"/>
      <c r="DR103" s="73">
        <f t="shared" si="216"/>
        <v>0</v>
      </c>
      <c r="DS103" s="303"/>
      <c r="DT103" s="303"/>
      <c r="DU103" s="423"/>
      <c r="DV103" s="303"/>
      <c r="DW103" s="303"/>
      <c r="DX103" s="303"/>
      <c r="DY103" s="304"/>
      <c r="DZ103" s="304"/>
      <c r="EA103" s="304"/>
      <c r="EB103" s="304"/>
      <c r="EC103" s="304"/>
      <c r="ED103" s="304"/>
      <c r="EE103" s="304"/>
      <c r="EF103" s="304"/>
      <c r="EG103" s="304"/>
      <c r="EH103" s="304"/>
      <c r="EI103" s="304"/>
    </row>
    <row r="104" spans="1:139" s="278" customFormat="1" ht="24.75" customHeight="1" x14ac:dyDescent="0.2">
      <c r="A104" s="786">
        <v>11</v>
      </c>
      <c r="B104" s="460" t="s">
        <v>191</v>
      </c>
      <c r="C104" s="281" t="s">
        <v>25</v>
      </c>
      <c r="D104" s="557">
        <v>21</v>
      </c>
      <c r="E104" s="1016"/>
      <c r="F104" s="342"/>
      <c r="G104" s="1016"/>
      <c r="H104" s="1016"/>
      <c r="I104" s="576"/>
      <c r="J104" s="1297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840">
        <f>SUM(E104:V104)</f>
        <v>0</v>
      </c>
      <c r="X104" s="252" t="s">
        <v>50</v>
      </c>
      <c r="Y104" s="895">
        <v>100000</v>
      </c>
      <c r="Z104" s="1018"/>
      <c r="AA104" s="569"/>
      <c r="AB104" s="569"/>
      <c r="AC104" s="569"/>
      <c r="AD104" s="1007"/>
      <c r="AE104" s="1447"/>
      <c r="AF104" s="569"/>
      <c r="AG104" s="569"/>
      <c r="AH104" s="569"/>
      <c r="AI104" s="569"/>
      <c r="AJ104" s="569"/>
      <c r="AK104" s="569"/>
      <c r="AL104" s="569"/>
      <c r="AM104" s="569"/>
      <c r="AN104" s="569"/>
      <c r="AO104" s="569"/>
      <c r="AP104" s="569"/>
      <c r="AQ104" s="569"/>
      <c r="AR104" s="570">
        <f t="shared" si="193"/>
        <v>0</v>
      </c>
      <c r="AS104" s="1199">
        <f t="shared" ref="AS104:AS123" si="223">Z104*E104</f>
        <v>0</v>
      </c>
      <c r="AT104" s="402">
        <f t="shared" ref="AT104:AT123" si="224">AA104*F104</f>
        <v>0</v>
      </c>
      <c r="AU104" s="402">
        <f t="shared" ref="AU104:AU123" si="225">AB104*G104</f>
        <v>0</v>
      </c>
      <c r="AV104" s="402">
        <f t="shared" ref="AV104:AV123" si="226">AC104*H104</f>
        <v>0</v>
      </c>
      <c r="AW104" s="1199">
        <f t="shared" ref="AW104:AW123" si="227">AD104*I104</f>
        <v>0</v>
      </c>
      <c r="AX104" s="1298">
        <f t="shared" ref="AX104:AX123" si="228">AE104*J104</f>
        <v>0</v>
      </c>
      <c r="AY104" s="402">
        <f t="shared" ref="AY104:AY123" si="229">AF104*K104</f>
        <v>0</v>
      </c>
      <c r="AZ104" s="402">
        <f t="shared" ref="AZ104:AZ123" si="230">AG104*L104</f>
        <v>0</v>
      </c>
      <c r="BA104" s="402">
        <f t="shared" ref="BA104:BA123" si="231">AH104*M104</f>
        <v>0</v>
      </c>
      <c r="BB104" s="402">
        <f t="shared" ref="BB104:BB123" si="232">AI104*N104</f>
        <v>0</v>
      </c>
      <c r="BC104" s="402">
        <f t="shared" ref="BC104:BC123" si="233">AJ104*O104</f>
        <v>0</v>
      </c>
      <c r="BD104" s="402">
        <f t="shared" ref="BD104:BD123" si="234">AK104*P104</f>
        <v>0</v>
      </c>
      <c r="BE104" s="402">
        <f t="shared" ref="BE104:BJ121" si="235">AL104*Q104</f>
        <v>0</v>
      </c>
      <c r="BF104" s="402">
        <f t="shared" si="235"/>
        <v>0</v>
      </c>
      <c r="BG104" s="402">
        <f t="shared" si="235"/>
        <v>0</v>
      </c>
      <c r="BH104" s="402">
        <f t="shared" si="235"/>
        <v>0</v>
      </c>
      <c r="BI104" s="402">
        <f t="shared" si="235"/>
        <v>0</v>
      </c>
      <c r="BJ104" s="402">
        <f t="shared" si="235"/>
        <v>0</v>
      </c>
      <c r="BK104" s="403">
        <f t="shared" si="207"/>
        <v>0</v>
      </c>
      <c r="BL104" s="402">
        <f t="shared" si="208"/>
        <v>0</v>
      </c>
      <c r="BM104" s="402"/>
      <c r="BN104" s="402"/>
      <c r="BO104" s="1199">
        <f t="shared" ref="BO104:BW104" si="236">SUM(AV104*14%)</f>
        <v>0</v>
      </c>
      <c r="BP104" s="402">
        <f t="shared" si="236"/>
        <v>0</v>
      </c>
      <c r="BQ104" s="402">
        <f t="shared" si="236"/>
        <v>0</v>
      </c>
      <c r="BR104" s="402">
        <f t="shared" si="236"/>
        <v>0</v>
      </c>
      <c r="BS104" s="402">
        <f t="shared" si="236"/>
        <v>0</v>
      </c>
      <c r="BT104" s="402">
        <f t="shared" si="236"/>
        <v>0</v>
      </c>
      <c r="BU104" s="402">
        <f t="shared" si="236"/>
        <v>0</v>
      </c>
      <c r="BV104" s="402">
        <f t="shared" si="236"/>
        <v>0</v>
      </c>
      <c r="BW104" s="402">
        <f t="shared" si="236"/>
        <v>0</v>
      </c>
      <c r="BX104" s="344">
        <f t="shared" si="210"/>
        <v>0</v>
      </c>
      <c r="BY104" s="790">
        <f>AR104-BK104-BX104</f>
        <v>0</v>
      </c>
      <c r="BZ104" s="791">
        <v>2100000</v>
      </c>
      <c r="CA104" s="792">
        <f>BZ104-BZ105-BZ106</f>
        <v>0</v>
      </c>
      <c r="CB104" s="276"/>
      <c r="CC104" s="862"/>
      <c r="CD104" s="862"/>
      <c r="CE104" s="863"/>
      <c r="CF104" s="1084"/>
      <c r="CG104" s="862"/>
      <c r="CH104" s="862"/>
      <c r="CI104" s="862"/>
      <c r="CJ104" s="862"/>
      <c r="CK104" s="862"/>
      <c r="CL104" s="862"/>
      <c r="CM104" s="862"/>
      <c r="CN104" s="862"/>
      <c r="CO104" s="862">
        <f t="shared" si="221"/>
        <v>0</v>
      </c>
      <c r="CP104" s="862"/>
      <c r="CQ104" s="862"/>
      <c r="CR104" s="862"/>
      <c r="CS104" s="862"/>
      <c r="CT104" s="862"/>
      <c r="CU104" s="862"/>
      <c r="CV104" s="862"/>
      <c r="CW104" s="862"/>
      <c r="CX104" s="862"/>
      <c r="CY104" s="73">
        <f t="shared" si="215"/>
        <v>0</v>
      </c>
      <c r="CZ104" s="862"/>
      <c r="DA104" s="862"/>
      <c r="DB104" s="862"/>
      <c r="DC104" s="862"/>
      <c r="DD104" s="862"/>
      <c r="DE104" s="862"/>
      <c r="DF104" s="862"/>
      <c r="DG104" s="862"/>
      <c r="DH104" s="862"/>
      <c r="DI104" s="862"/>
      <c r="DJ104" s="862"/>
      <c r="DK104" s="862"/>
      <c r="DL104" s="862"/>
      <c r="DM104" s="862"/>
      <c r="DN104" s="862"/>
      <c r="DO104" s="862"/>
      <c r="DP104" s="862"/>
      <c r="DQ104" s="862"/>
      <c r="DR104" s="73">
        <f t="shared" si="216"/>
        <v>0</v>
      </c>
      <c r="DS104" s="412"/>
      <c r="DT104" s="412"/>
      <c r="DU104" s="420"/>
      <c r="DV104" s="412"/>
      <c r="DW104" s="412"/>
      <c r="DX104" s="412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</row>
    <row r="105" spans="1:139" s="278" customFormat="1" ht="24.75" customHeight="1" x14ac:dyDescent="0.2">
      <c r="A105" s="786"/>
      <c r="B105" s="460" t="s">
        <v>707</v>
      </c>
      <c r="C105" s="281" t="s">
        <v>25</v>
      </c>
      <c r="D105" s="557">
        <v>2</v>
      </c>
      <c r="E105" s="1016"/>
      <c r="F105" s="342">
        <v>2</v>
      </c>
      <c r="G105" s="270"/>
      <c r="H105" s="342"/>
      <c r="I105" s="576">
        <v>2</v>
      </c>
      <c r="J105" s="1297">
        <v>14</v>
      </c>
      <c r="K105" s="342"/>
      <c r="L105" s="342"/>
      <c r="M105" s="342"/>
      <c r="N105" s="342"/>
      <c r="O105" s="342"/>
      <c r="P105" s="342"/>
      <c r="Q105" s="342"/>
      <c r="R105" s="342"/>
      <c r="S105" s="342"/>
      <c r="T105" s="342"/>
      <c r="U105" s="342"/>
      <c r="V105" s="342"/>
      <c r="W105" s="840">
        <f t="shared" ref="W105" si="237">SUM(E105:V105)</f>
        <v>18</v>
      </c>
      <c r="X105" s="252" t="s">
        <v>50</v>
      </c>
      <c r="Y105" s="142">
        <v>100000</v>
      </c>
      <c r="Z105" s="1018"/>
      <c r="AA105" s="142">
        <v>100000</v>
      </c>
      <c r="AB105" s="569"/>
      <c r="AC105" s="569"/>
      <c r="AD105" s="1007">
        <v>100000</v>
      </c>
      <c r="AE105" s="1447">
        <v>100000</v>
      </c>
      <c r="AF105" s="569"/>
      <c r="AG105" s="569"/>
      <c r="AH105" s="569"/>
      <c r="AI105" s="569"/>
      <c r="AJ105" s="569"/>
      <c r="AK105" s="569"/>
      <c r="AL105" s="569"/>
      <c r="AM105" s="569"/>
      <c r="AN105" s="569"/>
      <c r="AO105" s="569"/>
      <c r="AP105" s="569"/>
      <c r="AQ105" s="569"/>
      <c r="AR105" s="570">
        <f t="shared" ref="AR105" si="238">SUM(W105*Y105)</f>
        <v>1800000</v>
      </c>
      <c r="AS105" s="1199">
        <f t="shared" ref="AS105" si="239">Z105*E105</f>
        <v>0</v>
      </c>
      <c r="AT105" s="402">
        <f t="shared" ref="AT105" si="240">AA105*F105</f>
        <v>200000</v>
      </c>
      <c r="AU105" s="402">
        <f t="shared" ref="AU105" si="241">AB105*G105</f>
        <v>0</v>
      </c>
      <c r="AV105" s="402">
        <f t="shared" ref="AV105" si="242">AC105*H105</f>
        <v>0</v>
      </c>
      <c r="AW105" s="1199">
        <f t="shared" ref="AW105" si="243">AD105*I105</f>
        <v>200000</v>
      </c>
      <c r="AX105" s="1298">
        <f t="shared" ref="AX105" si="244">AE105*J105</f>
        <v>1400000</v>
      </c>
      <c r="AY105" s="402">
        <f t="shared" ref="AY105" si="245">AF105*K105</f>
        <v>0</v>
      </c>
      <c r="AZ105" s="402">
        <f t="shared" ref="AZ105" si="246">AG105*L105</f>
        <v>0</v>
      </c>
      <c r="BA105" s="402">
        <f t="shared" ref="BA105" si="247">AH105*M105</f>
        <v>0</v>
      </c>
      <c r="BB105" s="402">
        <f t="shared" ref="BB105" si="248">AI105*N105</f>
        <v>0</v>
      </c>
      <c r="BC105" s="402">
        <f t="shared" ref="BC105" si="249">AJ105*O105</f>
        <v>0</v>
      </c>
      <c r="BD105" s="402">
        <f t="shared" ref="BD105" si="250">AK105*P105</f>
        <v>0</v>
      </c>
      <c r="BE105" s="402">
        <f t="shared" ref="BE105" si="251">AL105*Q105</f>
        <v>0</v>
      </c>
      <c r="BF105" s="402">
        <f t="shared" ref="BF105" si="252">AM105*R105</f>
        <v>0</v>
      </c>
      <c r="BG105" s="402">
        <f t="shared" ref="BG105" si="253">AN105*S105</f>
        <v>0</v>
      </c>
      <c r="BH105" s="402">
        <f t="shared" ref="BH105" si="254">AO105*T105</f>
        <v>0</v>
      </c>
      <c r="BI105" s="402">
        <f t="shared" ref="BI105" si="255">AP105*U105</f>
        <v>0</v>
      </c>
      <c r="BJ105" s="402">
        <f t="shared" ref="BJ105" si="256">AQ105*V105</f>
        <v>0</v>
      </c>
      <c r="BK105" s="403">
        <f t="shared" ref="BK105" si="257">SUM(AS105:BJ105)</f>
        <v>1800000</v>
      </c>
      <c r="BL105" s="402">
        <f t="shared" ref="BL105" si="258">SUM(AS105*14%)</f>
        <v>0</v>
      </c>
      <c r="BM105" s="402"/>
      <c r="BN105" s="402"/>
      <c r="BO105" s="1199">
        <f t="shared" ref="BO105" si="259">SUM(AV105*14%)</f>
        <v>0</v>
      </c>
      <c r="BP105" s="402">
        <f t="shared" ref="BP105" si="260">SUM(AW105*14%)</f>
        <v>28000.000000000004</v>
      </c>
      <c r="BQ105" s="402">
        <f t="shared" ref="BQ105" si="261">SUM(AX105*14%)</f>
        <v>196000.00000000003</v>
      </c>
      <c r="BR105" s="402">
        <f t="shared" ref="BR105" si="262">SUM(AY105*14%)</f>
        <v>0</v>
      </c>
      <c r="BS105" s="402">
        <f t="shared" ref="BS105" si="263">SUM(AZ105*14%)</f>
        <v>0</v>
      </c>
      <c r="BT105" s="402">
        <f t="shared" ref="BT105" si="264">SUM(BA105*14%)</f>
        <v>0</v>
      </c>
      <c r="BU105" s="402">
        <f t="shared" ref="BU105" si="265">SUM(BB105*14%)</f>
        <v>0</v>
      </c>
      <c r="BV105" s="402">
        <f t="shared" ref="BV105" si="266">SUM(BC105*14%)</f>
        <v>0</v>
      </c>
      <c r="BW105" s="402">
        <f t="shared" ref="BW105" si="267">SUM(BD105*14%)</f>
        <v>0</v>
      </c>
      <c r="BX105" s="344">
        <f t="shared" ref="BX105" si="268">SUM(BL105:BW105)</f>
        <v>224000.00000000003</v>
      </c>
      <c r="BY105" s="790">
        <f>AR105-BK105</f>
        <v>0</v>
      </c>
      <c r="BZ105" s="791">
        <f>BK105</f>
        <v>1800000</v>
      </c>
      <c r="CA105" s="792"/>
      <c r="CB105" s="571"/>
      <c r="CC105" s="862"/>
      <c r="CD105" s="862"/>
      <c r="CE105" s="863"/>
      <c r="CF105" s="1084"/>
      <c r="CG105" s="862"/>
      <c r="CH105" s="862"/>
      <c r="CI105" s="862"/>
      <c r="CJ105" s="862"/>
      <c r="CK105" s="862"/>
      <c r="CL105" s="862"/>
      <c r="CM105" s="862"/>
      <c r="CN105" s="862"/>
      <c r="CO105" s="862">
        <f t="shared" ref="CO105" si="269">SUM(AZ105*12.5%)</f>
        <v>0</v>
      </c>
      <c r="CP105" s="862"/>
      <c r="CQ105" s="862"/>
      <c r="CR105" s="862"/>
      <c r="CS105" s="862"/>
      <c r="CT105" s="862"/>
      <c r="CU105" s="862"/>
      <c r="CV105" s="862"/>
      <c r="CW105" s="862"/>
      <c r="CX105" s="862"/>
      <c r="CY105" s="73">
        <f t="shared" ref="CY105" si="270">SUM(CG105:CX105)</f>
        <v>0</v>
      </c>
      <c r="CZ105" s="862"/>
      <c r="DA105" s="862"/>
      <c r="DB105" s="862"/>
      <c r="DC105" s="862"/>
      <c r="DD105" s="862"/>
      <c r="DE105" s="862"/>
      <c r="DF105" s="862"/>
      <c r="DG105" s="862"/>
      <c r="DH105" s="862"/>
      <c r="DI105" s="862"/>
      <c r="DJ105" s="862"/>
      <c r="DK105" s="862"/>
      <c r="DL105" s="862"/>
      <c r="DM105" s="862"/>
      <c r="DN105" s="862"/>
      <c r="DO105" s="862"/>
      <c r="DP105" s="862"/>
      <c r="DQ105" s="862"/>
      <c r="DR105" s="73">
        <f t="shared" ref="DR105" si="271">SUM(CZ105:DQ105)</f>
        <v>0</v>
      </c>
      <c r="DS105" s="412"/>
      <c r="DT105" s="412"/>
      <c r="DU105" s="420"/>
      <c r="DV105" s="412"/>
      <c r="DW105" s="412"/>
      <c r="DX105" s="412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</row>
    <row r="106" spans="1:139" s="278" customFormat="1" ht="24.75" customHeight="1" x14ac:dyDescent="0.2">
      <c r="A106" s="786"/>
      <c r="B106" s="460" t="s">
        <v>706</v>
      </c>
      <c r="C106" s="281" t="s">
        <v>25</v>
      </c>
      <c r="D106" s="557">
        <v>3</v>
      </c>
      <c r="E106" s="1016"/>
      <c r="F106" s="342">
        <v>3</v>
      </c>
      <c r="G106" s="270"/>
      <c r="H106" s="342"/>
      <c r="I106" s="576">
        <v>3</v>
      </c>
      <c r="J106" s="1297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840">
        <f t="shared" si="192"/>
        <v>6</v>
      </c>
      <c r="X106" s="252" t="s">
        <v>50</v>
      </c>
      <c r="Y106" s="142">
        <v>50000</v>
      </c>
      <c r="Z106" s="1018"/>
      <c r="AA106" s="142">
        <v>50000</v>
      </c>
      <c r="AB106" s="569"/>
      <c r="AC106" s="569"/>
      <c r="AD106" s="1007">
        <v>50000</v>
      </c>
      <c r="AE106" s="1447"/>
      <c r="AF106" s="569"/>
      <c r="AG106" s="569"/>
      <c r="AH106" s="569"/>
      <c r="AI106" s="569"/>
      <c r="AJ106" s="569"/>
      <c r="AK106" s="569"/>
      <c r="AL106" s="569"/>
      <c r="AM106" s="569"/>
      <c r="AN106" s="569"/>
      <c r="AO106" s="569"/>
      <c r="AP106" s="569"/>
      <c r="AQ106" s="569"/>
      <c r="AR106" s="570">
        <f t="shared" ref="AR106" si="272">SUM(W106*Y106)</f>
        <v>300000</v>
      </c>
      <c r="AS106" s="1199">
        <f t="shared" si="223"/>
        <v>0</v>
      </c>
      <c r="AT106" s="402">
        <f t="shared" si="224"/>
        <v>150000</v>
      </c>
      <c r="AU106" s="402">
        <f t="shared" si="225"/>
        <v>0</v>
      </c>
      <c r="AV106" s="402">
        <f t="shared" si="226"/>
        <v>0</v>
      </c>
      <c r="AW106" s="1199">
        <f t="shared" si="227"/>
        <v>150000</v>
      </c>
      <c r="AX106" s="1298">
        <f t="shared" si="228"/>
        <v>0</v>
      </c>
      <c r="AY106" s="402">
        <f t="shared" si="229"/>
        <v>0</v>
      </c>
      <c r="AZ106" s="402">
        <f t="shared" si="230"/>
        <v>0</v>
      </c>
      <c r="BA106" s="402">
        <f t="shared" si="231"/>
        <v>0</v>
      </c>
      <c r="BB106" s="402">
        <f t="shared" si="232"/>
        <v>0</v>
      </c>
      <c r="BC106" s="402">
        <f t="shared" si="233"/>
        <v>0</v>
      </c>
      <c r="BD106" s="402">
        <f t="shared" si="234"/>
        <v>0</v>
      </c>
      <c r="BE106" s="402">
        <f t="shared" si="235"/>
        <v>0</v>
      </c>
      <c r="BF106" s="402">
        <f t="shared" si="235"/>
        <v>0</v>
      </c>
      <c r="BG106" s="402">
        <f t="shared" si="235"/>
        <v>0</v>
      </c>
      <c r="BH106" s="402">
        <f t="shared" si="235"/>
        <v>0</v>
      </c>
      <c r="BI106" s="402">
        <f t="shared" si="235"/>
        <v>0</v>
      </c>
      <c r="BJ106" s="402">
        <f t="shared" si="235"/>
        <v>0</v>
      </c>
      <c r="BK106" s="403">
        <f t="shared" si="207"/>
        <v>300000</v>
      </c>
      <c r="BL106" s="402">
        <f t="shared" ref="BL106" si="273">SUM(AS106*14%)</f>
        <v>0</v>
      </c>
      <c r="BM106" s="402"/>
      <c r="BN106" s="402"/>
      <c r="BO106" s="1199">
        <f t="shared" ref="BO106" si="274">SUM(AV106*14%)</f>
        <v>0</v>
      </c>
      <c r="BP106" s="402">
        <f t="shared" ref="BP106" si="275">SUM(AW106*14%)</f>
        <v>21000.000000000004</v>
      </c>
      <c r="BQ106" s="402">
        <f t="shared" ref="BQ106" si="276">SUM(AX106*14%)</f>
        <v>0</v>
      </c>
      <c r="BR106" s="402">
        <f t="shared" ref="BR106" si="277">SUM(AY106*14%)</f>
        <v>0</v>
      </c>
      <c r="BS106" s="402">
        <f t="shared" ref="BS106" si="278">SUM(AZ106*14%)</f>
        <v>0</v>
      </c>
      <c r="BT106" s="402">
        <f t="shared" ref="BT106" si="279">SUM(BA106*14%)</f>
        <v>0</v>
      </c>
      <c r="BU106" s="402">
        <f t="shared" ref="BU106" si="280">SUM(BB106*14%)</f>
        <v>0</v>
      </c>
      <c r="BV106" s="402">
        <f t="shared" ref="BV106" si="281">SUM(BC106*14%)</f>
        <v>0</v>
      </c>
      <c r="BW106" s="402">
        <f t="shared" ref="BW106" si="282">SUM(BD106*14%)</f>
        <v>0</v>
      </c>
      <c r="BX106" s="344">
        <f t="shared" ref="BX106" si="283">SUM(BL106:BW106)</f>
        <v>21000.000000000004</v>
      </c>
      <c r="BY106" s="790">
        <f>AR106-BK106</f>
        <v>0</v>
      </c>
      <c r="BZ106" s="791">
        <f>BK106</f>
        <v>300000</v>
      </c>
      <c r="CA106" s="792"/>
      <c r="CB106" s="571"/>
      <c r="CC106" s="862"/>
      <c r="CD106" s="862"/>
      <c r="CE106" s="863"/>
      <c r="CF106" s="1084"/>
      <c r="CG106" s="862"/>
      <c r="CH106" s="862"/>
      <c r="CI106" s="862"/>
      <c r="CJ106" s="862"/>
      <c r="CK106" s="862"/>
      <c r="CL106" s="862"/>
      <c r="CM106" s="862"/>
      <c r="CN106" s="862"/>
      <c r="CO106" s="862">
        <f t="shared" si="221"/>
        <v>0</v>
      </c>
      <c r="CP106" s="862"/>
      <c r="CQ106" s="862"/>
      <c r="CR106" s="862"/>
      <c r="CS106" s="862"/>
      <c r="CT106" s="862"/>
      <c r="CU106" s="862"/>
      <c r="CV106" s="862"/>
      <c r="CW106" s="862"/>
      <c r="CX106" s="862"/>
      <c r="CY106" s="73">
        <f t="shared" si="215"/>
        <v>0</v>
      </c>
      <c r="CZ106" s="862"/>
      <c r="DA106" s="862"/>
      <c r="DB106" s="862"/>
      <c r="DC106" s="862"/>
      <c r="DD106" s="862"/>
      <c r="DE106" s="862"/>
      <c r="DF106" s="862"/>
      <c r="DG106" s="862"/>
      <c r="DH106" s="862"/>
      <c r="DI106" s="862"/>
      <c r="DJ106" s="862"/>
      <c r="DK106" s="862"/>
      <c r="DL106" s="862"/>
      <c r="DM106" s="862"/>
      <c r="DN106" s="862"/>
      <c r="DO106" s="862"/>
      <c r="DP106" s="862"/>
      <c r="DQ106" s="862"/>
      <c r="DR106" s="73">
        <f t="shared" si="216"/>
        <v>0</v>
      </c>
      <c r="DS106" s="412"/>
      <c r="DT106" s="412"/>
      <c r="DU106" s="420"/>
      <c r="DV106" s="412"/>
      <c r="DW106" s="412"/>
      <c r="DX106" s="412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</row>
    <row r="107" spans="1:139" s="305" customFormat="1" ht="24.75" customHeight="1" x14ac:dyDescent="0.2">
      <c r="A107" s="294">
        <v>12</v>
      </c>
      <c r="B107" s="460" t="s">
        <v>708</v>
      </c>
      <c r="C107" s="295" t="s">
        <v>25</v>
      </c>
      <c r="D107" s="557">
        <v>1</v>
      </c>
      <c r="E107" s="296"/>
      <c r="F107" s="297"/>
      <c r="G107" s="1300"/>
      <c r="H107" s="1300"/>
      <c r="I107" s="1207"/>
      <c r="J107" s="1297"/>
      <c r="K107" s="1184">
        <v>1</v>
      </c>
      <c r="L107" s="1184"/>
      <c r="M107" s="1184"/>
      <c r="N107" s="1184"/>
      <c r="O107" s="1184"/>
      <c r="P107" s="1184"/>
      <c r="Q107" s="1184"/>
      <c r="R107" s="1184"/>
      <c r="S107" s="1184"/>
      <c r="T107" s="1184"/>
      <c r="U107" s="1184"/>
      <c r="V107" s="1184"/>
      <c r="W107" s="840">
        <f>SUM(E107:V107)</f>
        <v>1</v>
      </c>
      <c r="X107" s="252" t="s">
        <v>50</v>
      </c>
      <c r="Y107" s="253">
        <v>1802000</v>
      </c>
      <c r="Z107" s="441"/>
      <c r="AA107" s="440"/>
      <c r="AB107" s="1186"/>
      <c r="AC107" s="440"/>
      <c r="AD107" s="1428"/>
      <c r="AE107" s="1194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271">
        <f t="shared" ref="AR107" si="284">SUM(W107*Y107)</f>
        <v>1802000</v>
      </c>
      <c r="AS107" s="1199">
        <f t="shared" ref="AS107" si="285">Z107*E107</f>
        <v>0</v>
      </c>
      <c r="AT107" s="402">
        <f t="shared" ref="AT107" si="286">AA107*F107</f>
        <v>0</v>
      </c>
      <c r="AU107" s="1188">
        <f t="shared" ref="AU107" si="287">AB107*G107</f>
        <v>0</v>
      </c>
      <c r="AV107" s="402">
        <f t="shared" ref="AV107" si="288">AC107*H107</f>
        <v>0</v>
      </c>
      <c r="AW107" s="1199">
        <f t="shared" ref="AW107" si="289">AD107*I107</f>
        <v>0</v>
      </c>
      <c r="AX107" s="1298">
        <f t="shared" ref="AX107" si="290">AE107*J107</f>
        <v>0</v>
      </c>
      <c r="AY107" s="402">
        <v>1350000</v>
      </c>
      <c r="AZ107" s="402">
        <f t="shared" ref="AZ107" si="291">AG107*L107</f>
        <v>0</v>
      </c>
      <c r="BA107" s="402">
        <f t="shared" ref="BA107" si="292">AH107*M107</f>
        <v>0</v>
      </c>
      <c r="BB107" s="402">
        <f t="shared" ref="BB107" si="293">AI107*N107</f>
        <v>0</v>
      </c>
      <c r="BC107" s="402">
        <f t="shared" ref="BC107" si="294">AJ107*O107</f>
        <v>0</v>
      </c>
      <c r="BD107" s="402">
        <f t="shared" ref="BD107" si="295">AK107*P107</f>
        <v>0</v>
      </c>
      <c r="BE107" s="402">
        <f t="shared" ref="BE107" si="296">AL107*Q107</f>
        <v>0</v>
      </c>
      <c r="BF107" s="402">
        <f t="shared" ref="BF107" si="297">AM107*R107</f>
        <v>0</v>
      </c>
      <c r="BG107" s="402">
        <f t="shared" ref="BG107" si="298">AN107*S107</f>
        <v>0</v>
      </c>
      <c r="BH107" s="402">
        <f t="shared" ref="BH107" si="299">AO107*T107</f>
        <v>0</v>
      </c>
      <c r="BI107" s="402">
        <f t="shared" ref="BI107" si="300">AP107*U107</f>
        <v>0</v>
      </c>
      <c r="BJ107" s="402">
        <f t="shared" ref="BJ107" si="301">AQ107*V107</f>
        <v>0</v>
      </c>
      <c r="BK107" s="403">
        <f t="shared" ref="BK107" si="302">SUM(AS107:BJ107)</f>
        <v>1350000</v>
      </c>
      <c r="BL107" s="402">
        <f t="shared" ref="BL107" si="303">SUM(AS107*14%)</f>
        <v>0</v>
      </c>
      <c r="BM107" s="402"/>
      <c r="BN107" s="402"/>
      <c r="BO107" s="1199">
        <f t="shared" ref="BO107" si="304">SUM(AV107*14%)</f>
        <v>0</v>
      </c>
      <c r="BP107" s="402">
        <f t="shared" ref="BP107" si="305">SUM(AW107*14%)</f>
        <v>0</v>
      </c>
      <c r="BQ107" s="402">
        <f t="shared" ref="BQ107" si="306">SUM(AX107*14%)</f>
        <v>0</v>
      </c>
      <c r="BR107" s="402"/>
      <c r="BS107" s="402">
        <f t="shared" ref="BS107" si="307">SUM(AZ107*14%)</f>
        <v>0</v>
      </c>
      <c r="BT107" s="402">
        <f t="shared" ref="BT107" si="308">SUM(BA107*14%)</f>
        <v>0</v>
      </c>
      <c r="BU107" s="402">
        <f t="shared" ref="BU107" si="309">SUM(BB107*14%)</f>
        <v>0</v>
      </c>
      <c r="BV107" s="402">
        <f t="shared" ref="BV107" si="310">SUM(BC107*14%)</f>
        <v>0</v>
      </c>
      <c r="BW107" s="402">
        <f t="shared" ref="BW107" si="311">SUM(BD107*14%)</f>
        <v>0</v>
      </c>
      <c r="BX107" s="344">
        <f t="shared" ref="BX107" si="312">SUM(BL107:BW107)</f>
        <v>0</v>
      </c>
      <c r="BY107" s="790">
        <f>AR107-BK107</f>
        <v>452000</v>
      </c>
      <c r="BZ107" s="301">
        <f t="shared" ref="BZ107" si="313">Y107*D107</f>
        <v>1802000</v>
      </c>
      <c r="CA107" s="302">
        <f t="shared" ref="CA107" si="314">BZ107-BK107-BX107</f>
        <v>452000</v>
      </c>
      <c r="CB107" s="276">
        <f>SUM(W107/D107)</f>
        <v>1</v>
      </c>
      <c r="CC107" s="862"/>
      <c r="CD107" s="862"/>
      <c r="CE107" s="1102"/>
      <c r="CF107" s="1084"/>
      <c r="CG107" s="862"/>
      <c r="CH107" s="862"/>
      <c r="CI107" s="862"/>
      <c r="CJ107" s="862"/>
      <c r="CK107" s="862"/>
      <c r="CL107" s="862"/>
      <c r="CM107" s="862"/>
      <c r="CN107" s="862"/>
      <c r="CO107" s="862">
        <f t="shared" ref="CO107" si="315">SUM(AZ107*12.5%)</f>
        <v>0</v>
      </c>
      <c r="CP107" s="862"/>
      <c r="CQ107" s="862"/>
      <c r="CR107" s="862"/>
      <c r="CS107" s="862"/>
      <c r="CT107" s="862"/>
      <c r="CU107" s="862"/>
      <c r="CV107" s="862"/>
      <c r="CW107" s="862"/>
      <c r="CX107" s="862"/>
      <c r="CY107" s="73">
        <f t="shared" ref="CY107" si="316">SUM(CG107:CX107)</f>
        <v>0</v>
      </c>
      <c r="CZ107" s="862"/>
      <c r="DA107" s="862"/>
      <c r="DB107" s="862"/>
      <c r="DC107" s="862"/>
      <c r="DD107" s="862"/>
      <c r="DE107" s="862"/>
      <c r="DF107" s="862"/>
      <c r="DG107" s="862"/>
      <c r="DH107" s="862"/>
      <c r="DI107" s="862"/>
      <c r="DJ107" s="862"/>
      <c r="DK107" s="862"/>
      <c r="DL107" s="862"/>
      <c r="DM107" s="862"/>
      <c r="DN107" s="862"/>
      <c r="DO107" s="862"/>
      <c r="DP107" s="862"/>
      <c r="DQ107" s="862"/>
      <c r="DR107" s="73">
        <f t="shared" ref="DR107" si="317">SUM(CZ107:DQ107)</f>
        <v>0</v>
      </c>
      <c r="DS107" s="303"/>
      <c r="DT107" s="303"/>
      <c r="DU107" s="423"/>
      <c r="DV107" s="303"/>
      <c r="DW107" s="303"/>
      <c r="DX107" s="303"/>
      <c r="DY107" s="304"/>
      <c r="DZ107" s="304"/>
      <c r="EA107" s="304"/>
      <c r="EB107" s="304"/>
      <c r="EC107" s="304"/>
      <c r="ED107" s="304"/>
      <c r="EE107" s="304"/>
      <c r="EF107" s="304"/>
      <c r="EG107" s="304"/>
      <c r="EH107" s="304"/>
      <c r="EI107" s="304"/>
    </row>
    <row r="108" spans="1:139" s="305" customFormat="1" ht="24.75" customHeight="1" x14ac:dyDescent="0.2">
      <c r="A108" s="294"/>
      <c r="B108" s="255" t="s">
        <v>192</v>
      </c>
      <c r="C108" s="295"/>
      <c r="D108" s="251"/>
      <c r="E108" s="993"/>
      <c r="F108" s="297"/>
      <c r="G108" s="1239"/>
      <c r="H108" s="1207"/>
      <c r="I108" s="1207"/>
      <c r="J108" s="1297"/>
      <c r="K108" s="1184"/>
      <c r="L108" s="1184"/>
      <c r="M108" s="1184"/>
      <c r="N108" s="1184"/>
      <c r="O108" s="1184"/>
      <c r="P108" s="1184"/>
      <c r="Q108" s="1184"/>
      <c r="R108" s="1184"/>
      <c r="S108" s="1184"/>
      <c r="T108" s="1184"/>
      <c r="U108" s="1184"/>
      <c r="V108" s="1184"/>
      <c r="W108" s="840">
        <f t="shared" si="192"/>
        <v>0</v>
      </c>
      <c r="X108" s="252"/>
      <c r="Y108" s="253"/>
      <c r="Z108" s="1000"/>
      <c r="AA108" s="440"/>
      <c r="AB108" s="1186"/>
      <c r="AC108" s="440"/>
      <c r="AD108" s="1428"/>
      <c r="AE108" s="1194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307">
        <f>SUM(Y108*E108)</f>
        <v>0</v>
      </c>
      <c r="AS108" s="1241">
        <f t="shared" si="223"/>
        <v>0</v>
      </c>
      <c r="AT108" s="429">
        <f t="shared" si="224"/>
        <v>0</v>
      </c>
      <c r="AU108" s="1237">
        <f t="shared" si="225"/>
        <v>0</v>
      </c>
      <c r="AV108" s="1241">
        <f t="shared" si="226"/>
        <v>0</v>
      </c>
      <c r="AW108" s="1241">
        <f t="shared" si="227"/>
        <v>0</v>
      </c>
      <c r="AX108" s="1477">
        <f t="shared" si="228"/>
        <v>0</v>
      </c>
      <c r="AY108" s="429">
        <f t="shared" si="229"/>
        <v>0</v>
      </c>
      <c r="AZ108" s="429">
        <f t="shared" si="230"/>
        <v>0</v>
      </c>
      <c r="BA108" s="429">
        <f t="shared" si="231"/>
        <v>0</v>
      </c>
      <c r="BB108" s="429">
        <f t="shared" si="232"/>
        <v>0</v>
      </c>
      <c r="BC108" s="429">
        <f t="shared" si="233"/>
        <v>0</v>
      </c>
      <c r="BD108" s="429">
        <f t="shared" si="234"/>
        <v>0</v>
      </c>
      <c r="BE108" s="429">
        <f t="shared" si="235"/>
        <v>0</v>
      </c>
      <c r="BF108" s="429">
        <f t="shared" si="235"/>
        <v>0</v>
      </c>
      <c r="BG108" s="429">
        <f t="shared" si="235"/>
        <v>0</v>
      </c>
      <c r="BH108" s="429">
        <f t="shared" si="235"/>
        <v>0</v>
      </c>
      <c r="BI108" s="429">
        <f t="shared" si="235"/>
        <v>0</v>
      </c>
      <c r="BJ108" s="429">
        <f t="shared" si="235"/>
        <v>0</v>
      </c>
      <c r="BK108" s="403">
        <f t="shared" si="207"/>
        <v>0</v>
      </c>
      <c r="BL108" s="429">
        <f t="shared" ref="BL108:BW108" si="318">AS108*X108</f>
        <v>0</v>
      </c>
      <c r="BM108" s="429">
        <f t="shared" si="318"/>
        <v>0</v>
      </c>
      <c r="BN108" s="429">
        <f t="shared" si="318"/>
        <v>0</v>
      </c>
      <c r="BO108" s="1241">
        <f t="shared" si="318"/>
        <v>0</v>
      </c>
      <c r="BP108" s="429">
        <f t="shared" si="318"/>
        <v>0</v>
      </c>
      <c r="BQ108" s="429">
        <f t="shared" si="318"/>
        <v>0</v>
      </c>
      <c r="BR108" s="429">
        <f t="shared" si="318"/>
        <v>0</v>
      </c>
      <c r="BS108" s="429">
        <f t="shared" si="318"/>
        <v>0</v>
      </c>
      <c r="BT108" s="429">
        <f t="shared" si="318"/>
        <v>0</v>
      </c>
      <c r="BU108" s="429">
        <f t="shared" si="318"/>
        <v>0</v>
      </c>
      <c r="BV108" s="429">
        <f t="shared" si="318"/>
        <v>0</v>
      </c>
      <c r="BW108" s="429">
        <f t="shared" si="318"/>
        <v>0</v>
      </c>
      <c r="BX108" s="300">
        <f>BK108*4%</f>
        <v>0</v>
      </c>
      <c r="BY108" s="300">
        <f t="shared" si="211"/>
        <v>0</v>
      </c>
      <c r="BZ108" s="301">
        <f t="shared" ref="BZ108:BZ123" si="319">Y108*D108</f>
        <v>0</v>
      </c>
      <c r="CA108" s="302">
        <f t="shared" si="217"/>
        <v>0</v>
      </c>
      <c r="CB108" s="276"/>
      <c r="CC108" s="1081"/>
      <c r="CD108" s="1081"/>
      <c r="CE108" s="1083"/>
      <c r="CF108" s="1084"/>
      <c r="CG108" s="862"/>
      <c r="CH108" s="862"/>
      <c r="CI108" s="862"/>
      <c r="CJ108" s="862"/>
      <c r="CK108" s="862"/>
      <c r="CL108" s="862"/>
      <c r="CM108" s="862"/>
      <c r="CN108" s="862"/>
      <c r="CO108" s="1128">
        <f t="shared" si="221"/>
        <v>0</v>
      </c>
      <c r="CP108" s="862"/>
      <c r="CQ108" s="862"/>
      <c r="CR108" s="862"/>
      <c r="CS108" s="862"/>
      <c r="CT108" s="862"/>
      <c r="CU108" s="862"/>
      <c r="CV108" s="862"/>
      <c r="CW108" s="862"/>
      <c r="CX108" s="862"/>
      <c r="CY108" s="73">
        <f t="shared" si="215"/>
        <v>0</v>
      </c>
      <c r="CZ108" s="862"/>
      <c r="DA108" s="862"/>
      <c r="DB108" s="862"/>
      <c r="DC108" s="862"/>
      <c r="DD108" s="862"/>
      <c r="DE108" s="862"/>
      <c r="DF108" s="862"/>
      <c r="DG108" s="862"/>
      <c r="DH108" s="1128"/>
      <c r="DI108" s="862"/>
      <c r="DJ108" s="862"/>
      <c r="DK108" s="862"/>
      <c r="DL108" s="862"/>
      <c r="DM108" s="862"/>
      <c r="DN108" s="862"/>
      <c r="DO108" s="862"/>
      <c r="DP108" s="862"/>
      <c r="DQ108" s="862"/>
      <c r="DR108" s="73">
        <f t="shared" si="216"/>
        <v>0</v>
      </c>
      <c r="DS108" s="303"/>
      <c r="DT108" s="303"/>
      <c r="DU108" s="423"/>
      <c r="DV108" s="303"/>
      <c r="DW108" s="303"/>
      <c r="DX108" s="303"/>
      <c r="DY108" s="304"/>
      <c r="DZ108" s="304"/>
      <c r="EA108" s="304"/>
      <c r="EB108" s="304"/>
      <c r="EC108" s="304"/>
      <c r="ED108" s="304"/>
      <c r="EE108" s="304"/>
      <c r="EF108" s="304"/>
      <c r="EG108" s="304"/>
      <c r="EH108" s="304"/>
      <c r="EI108" s="304"/>
    </row>
    <row r="109" spans="1:139" s="305" customFormat="1" ht="24.75" customHeight="1" x14ac:dyDescent="0.2">
      <c r="A109" s="294">
        <v>13</v>
      </c>
      <c r="B109" s="392" t="s">
        <v>367</v>
      </c>
      <c r="C109" s="295" t="s">
        <v>25</v>
      </c>
      <c r="D109" s="585">
        <v>150</v>
      </c>
      <c r="E109" s="993">
        <v>150</v>
      </c>
      <c r="F109" s="297"/>
      <c r="G109" s="1239"/>
      <c r="H109" s="1207"/>
      <c r="I109" s="1207"/>
      <c r="J109" s="1297"/>
      <c r="K109" s="1184"/>
      <c r="L109" s="1184"/>
      <c r="M109" s="1184"/>
      <c r="N109" s="1184"/>
      <c r="O109" s="1184"/>
      <c r="P109" s="1184"/>
      <c r="Q109" s="1184"/>
      <c r="R109" s="1184"/>
      <c r="S109" s="1184"/>
      <c r="T109" s="1184"/>
      <c r="U109" s="1184"/>
      <c r="V109" s="1184"/>
      <c r="W109" s="840">
        <f t="shared" si="192"/>
        <v>150</v>
      </c>
      <c r="X109" s="459" t="s">
        <v>45</v>
      </c>
      <c r="Y109" s="582">
        <v>28500</v>
      </c>
      <c r="Z109" s="1000">
        <v>25000</v>
      </c>
      <c r="AA109" s="440"/>
      <c r="AB109" s="1186"/>
      <c r="AC109" s="440"/>
      <c r="AD109" s="1428"/>
      <c r="AE109" s="1194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271">
        <f>SUM(W109*Y109)</f>
        <v>4275000</v>
      </c>
      <c r="AS109" s="1199">
        <f t="shared" si="223"/>
        <v>3750000</v>
      </c>
      <c r="AT109" s="402">
        <f t="shared" si="224"/>
        <v>0</v>
      </c>
      <c r="AU109" s="1213">
        <f t="shared" si="225"/>
        <v>0</v>
      </c>
      <c r="AV109" s="1199">
        <f t="shared" si="226"/>
        <v>0</v>
      </c>
      <c r="AW109" s="1199">
        <f t="shared" si="227"/>
        <v>0</v>
      </c>
      <c r="AX109" s="1298">
        <f t="shared" si="228"/>
        <v>0</v>
      </c>
      <c r="AY109" s="402">
        <f t="shared" si="229"/>
        <v>0</v>
      </c>
      <c r="AZ109" s="402">
        <f t="shared" si="230"/>
        <v>0</v>
      </c>
      <c r="BA109" s="402">
        <f t="shared" si="231"/>
        <v>0</v>
      </c>
      <c r="BB109" s="402">
        <f t="shared" si="232"/>
        <v>0</v>
      </c>
      <c r="BC109" s="402">
        <f t="shared" si="233"/>
        <v>0</v>
      </c>
      <c r="BD109" s="402">
        <f t="shared" si="234"/>
        <v>0</v>
      </c>
      <c r="BE109" s="402">
        <f t="shared" si="235"/>
        <v>0</v>
      </c>
      <c r="BF109" s="402">
        <f t="shared" si="235"/>
        <v>0</v>
      </c>
      <c r="BG109" s="402">
        <f t="shared" si="235"/>
        <v>0</v>
      </c>
      <c r="BH109" s="402">
        <f t="shared" si="235"/>
        <v>0</v>
      </c>
      <c r="BI109" s="402">
        <f t="shared" si="235"/>
        <v>0</v>
      </c>
      <c r="BJ109" s="402">
        <f t="shared" si="235"/>
        <v>0</v>
      </c>
      <c r="BK109" s="403">
        <f t="shared" si="207"/>
        <v>3750000</v>
      </c>
      <c r="BL109" s="402">
        <f>SUM(AS109*4%)</f>
        <v>150000</v>
      </c>
      <c r="BM109" s="402">
        <f>SUM(AT109*14%)</f>
        <v>0</v>
      </c>
      <c r="BN109" s="1213">
        <f>SUM(AU109*4%)</f>
        <v>0</v>
      </c>
      <c r="BO109" s="1199">
        <f t="shared" ref="BO109:BW109" si="320">SUM(AV109*14%)</f>
        <v>0</v>
      </c>
      <c r="BP109" s="402">
        <f t="shared" si="320"/>
        <v>0</v>
      </c>
      <c r="BQ109" s="402">
        <f t="shared" si="320"/>
        <v>0</v>
      </c>
      <c r="BR109" s="402">
        <f t="shared" si="320"/>
        <v>0</v>
      </c>
      <c r="BS109" s="402">
        <f t="shared" si="320"/>
        <v>0</v>
      </c>
      <c r="BT109" s="402">
        <f t="shared" si="320"/>
        <v>0</v>
      </c>
      <c r="BU109" s="402">
        <f t="shared" si="320"/>
        <v>0</v>
      </c>
      <c r="BV109" s="402">
        <f t="shared" si="320"/>
        <v>0</v>
      </c>
      <c r="BW109" s="402">
        <f t="shared" si="320"/>
        <v>0</v>
      </c>
      <c r="BX109" s="344">
        <f>SUM(BL109:BW109)</f>
        <v>150000</v>
      </c>
      <c r="BY109" s="300">
        <f t="shared" si="211"/>
        <v>375000</v>
      </c>
      <c r="BZ109" s="301">
        <f t="shared" si="319"/>
        <v>4275000</v>
      </c>
      <c r="CA109" s="302">
        <f>BZ109-BK109</f>
        <v>525000</v>
      </c>
      <c r="CB109" s="276">
        <f>SUM(W109/D109)</f>
        <v>1</v>
      </c>
      <c r="CC109" s="1081"/>
      <c r="CD109" s="1081"/>
      <c r="CE109" s="1083"/>
      <c r="CF109" s="1084"/>
      <c r="CG109" s="862"/>
      <c r="CH109" s="862"/>
      <c r="CI109" s="862"/>
      <c r="CJ109" s="862"/>
      <c r="CK109" s="862"/>
      <c r="CL109" s="862"/>
      <c r="CM109" s="862"/>
      <c r="CN109" s="862"/>
      <c r="CO109" s="1128">
        <f t="shared" si="221"/>
        <v>0</v>
      </c>
      <c r="CP109" s="862"/>
      <c r="CQ109" s="862"/>
      <c r="CR109" s="862"/>
      <c r="CS109" s="862"/>
      <c r="CT109" s="862"/>
      <c r="CU109" s="862"/>
      <c r="CV109" s="862"/>
      <c r="CW109" s="862"/>
      <c r="CX109" s="862"/>
      <c r="CY109" s="73">
        <f t="shared" si="215"/>
        <v>0</v>
      </c>
      <c r="CZ109" s="862"/>
      <c r="DA109" s="862"/>
      <c r="DB109" s="862"/>
      <c r="DC109" s="862"/>
      <c r="DD109" s="862"/>
      <c r="DE109" s="862"/>
      <c r="DF109" s="862"/>
      <c r="DG109" s="862"/>
      <c r="DH109" s="1128"/>
      <c r="DI109" s="862"/>
      <c r="DJ109" s="862"/>
      <c r="DK109" s="862"/>
      <c r="DL109" s="862"/>
      <c r="DM109" s="862"/>
      <c r="DN109" s="862"/>
      <c r="DO109" s="862"/>
      <c r="DP109" s="862"/>
      <c r="DQ109" s="862"/>
      <c r="DR109" s="73">
        <f t="shared" si="216"/>
        <v>0</v>
      </c>
      <c r="DS109" s="303"/>
      <c r="DT109" s="303"/>
      <c r="DU109" s="423"/>
      <c r="DV109" s="303"/>
      <c r="DW109" s="303"/>
      <c r="DX109" s="303"/>
      <c r="DY109" s="304"/>
      <c r="DZ109" s="304"/>
      <c r="EA109" s="304"/>
      <c r="EB109" s="304"/>
      <c r="EC109" s="304"/>
      <c r="ED109" s="304"/>
      <c r="EE109" s="304"/>
      <c r="EF109" s="304"/>
      <c r="EG109" s="304"/>
      <c r="EH109" s="304"/>
      <c r="EI109" s="304"/>
    </row>
    <row r="110" spans="1:139" s="305" customFormat="1" ht="24.75" customHeight="1" x14ac:dyDescent="0.2">
      <c r="A110" s="294">
        <f t="shared" si="218"/>
        <v>14</v>
      </c>
      <c r="B110" s="250" t="s">
        <v>124</v>
      </c>
      <c r="C110" s="295" t="s">
        <v>25</v>
      </c>
      <c r="D110" s="251">
        <v>4</v>
      </c>
      <c r="E110" s="993">
        <v>4</v>
      </c>
      <c r="F110" s="297"/>
      <c r="G110" s="1239"/>
      <c r="H110" s="1207"/>
      <c r="I110" s="1207"/>
      <c r="J110" s="1297"/>
      <c r="K110" s="1184"/>
      <c r="L110" s="1184"/>
      <c r="M110" s="1184"/>
      <c r="N110" s="1184"/>
      <c r="O110" s="1184"/>
      <c r="P110" s="1184"/>
      <c r="Q110" s="1184"/>
      <c r="R110" s="1184"/>
      <c r="S110" s="1184"/>
      <c r="T110" s="1184"/>
      <c r="U110" s="1184"/>
      <c r="V110" s="1184"/>
      <c r="W110" s="840">
        <f t="shared" si="192"/>
        <v>4</v>
      </c>
      <c r="X110" s="252" t="s">
        <v>16</v>
      </c>
      <c r="Y110" s="586">
        <v>35000</v>
      </c>
      <c r="Z110" s="996">
        <v>30000</v>
      </c>
      <c r="AA110" s="440"/>
      <c r="AB110" s="1186"/>
      <c r="AC110" s="440"/>
      <c r="AD110" s="996"/>
      <c r="AE110" s="1194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271">
        <f>SUM(W110*Y110)</f>
        <v>140000</v>
      </c>
      <c r="AS110" s="1199">
        <f t="shared" si="223"/>
        <v>120000</v>
      </c>
      <c r="AT110" s="402">
        <f t="shared" si="224"/>
        <v>0</v>
      </c>
      <c r="AU110" s="1213">
        <f t="shared" si="225"/>
        <v>0</v>
      </c>
      <c r="AV110" s="1199">
        <f t="shared" si="226"/>
        <v>0</v>
      </c>
      <c r="AW110" s="1199">
        <f t="shared" si="227"/>
        <v>0</v>
      </c>
      <c r="AX110" s="1298">
        <f t="shared" si="228"/>
        <v>0</v>
      </c>
      <c r="AY110" s="402">
        <f t="shared" si="229"/>
        <v>0</v>
      </c>
      <c r="AZ110" s="402">
        <f t="shared" si="230"/>
        <v>0</v>
      </c>
      <c r="BA110" s="402">
        <f t="shared" si="231"/>
        <v>0</v>
      </c>
      <c r="BB110" s="402">
        <f t="shared" si="232"/>
        <v>0</v>
      </c>
      <c r="BC110" s="402">
        <f t="shared" si="233"/>
        <v>0</v>
      </c>
      <c r="BD110" s="402">
        <f t="shared" si="234"/>
        <v>0</v>
      </c>
      <c r="BE110" s="402">
        <f t="shared" si="235"/>
        <v>0</v>
      </c>
      <c r="BF110" s="402">
        <f t="shared" si="235"/>
        <v>0</v>
      </c>
      <c r="BG110" s="402">
        <f t="shared" si="235"/>
        <v>0</v>
      </c>
      <c r="BH110" s="402">
        <f t="shared" si="235"/>
        <v>0</v>
      </c>
      <c r="BI110" s="402">
        <f t="shared" si="235"/>
        <v>0</v>
      </c>
      <c r="BJ110" s="402">
        <f t="shared" si="235"/>
        <v>0</v>
      </c>
      <c r="BK110" s="403">
        <f t="shared" si="207"/>
        <v>120000</v>
      </c>
      <c r="BL110" s="402">
        <f>SUM(AS110*4%)</f>
        <v>4800</v>
      </c>
      <c r="BM110" s="402">
        <f>SUM(AT110*14%)</f>
        <v>0</v>
      </c>
      <c r="BN110" s="1213">
        <f t="shared" ref="BN110" si="321">SUM(AU110*14%)</f>
        <v>0</v>
      </c>
      <c r="BO110" s="1199">
        <f>SUM(AV110*14%)</f>
        <v>0</v>
      </c>
      <c r="BP110" s="402">
        <f>SUM(AW110*4%)</f>
        <v>0</v>
      </c>
      <c r="BQ110" s="402">
        <f t="shared" ref="BQ110:BW110" si="322">SUM(AX110*14%)</f>
        <v>0</v>
      </c>
      <c r="BR110" s="402">
        <f t="shared" si="322"/>
        <v>0</v>
      </c>
      <c r="BS110" s="402">
        <f t="shared" si="322"/>
        <v>0</v>
      </c>
      <c r="BT110" s="402">
        <f t="shared" si="322"/>
        <v>0</v>
      </c>
      <c r="BU110" s="402">
        <f t="shared" si="322"/>
        <v>0</v>
      </c>
      <c r="BV110" s="402">
        <f t="shared" si="322"/>
        <v>0</v>
      </c>
      <c r="BW110" s="402">
        <f t="shared" si="322"/>
        <v>0</v>
      </c>
      <c r="BX110" s="344">
        <f>SUM(BL110:BW110)</f>
        <v>4800</v>
      </c>
      <c r="BY110" s="300">
        <f t="shared" ref="BY110" si="323">AR110-BK110-BX110</f>
        <v>15200</v>
      </c>
      <c r="BZ110" s="301">
        <f t="shared" si="319"/>
        <v>140000</v>
      </c>
      <c r="CA110" s="302">
        <f>BZ110-BK110</f>
        <v>20000</v>
      </c>
      <c r="CB110" s="276">
        <f>SUM(W110/D110)</f>
        <v>1</v>
      </c>
      <c r="CC110" s="1081"/>
      <c r="CD110" s="1081"/>
      <c r="CE110" s="1083"/>
      <c r="CF110" s="1084"/>
      <c r="CG110" s="862"/>
      <c r="CH110" s="862"/>
      <c r="CI110" s="862"/>
      <c r="CJ110" s="862"/>
      <c r="CK110" s="862"/>
      <c r="CL110" s="862"/>
      <c r="CM110" s="862"/>
      <c r="CN110" s="862"/>
      <c r="CO110" s="1128">
        <f t="shared" si="221"/>
        <v>0</v>
      </c>
      <c r="CP110" s="862"/>
      <c r="CQ110" s="862"/>
      <c r="CR110" s="862"/>
      <c r="CS110" s="862"/>
      <c r="CT110" s="862"/>
      <c r="CU110" s="862"/>
      <c r="CV110" s="862"/>
      <c r="CW110" s="862"/>
      <c r="CX110" s="862"/>
      <c r="CY110" s="73">
        <f t="shared" si="215"/>
        <v>0</v>
      </c>
      <c r="CZ110" s="862"/>
      <c r="DA110" s="862"/>
      <c r="DB110" s="862"/>
      <c r="DC110" s="862"/>
      <c r="DD110" s="862"/>
      <c r="DE110" s="862"/>
      <c r="DF110" s="862"/>
      <c r="DG110" s="862"/>
      <c r="DH110" s="1128"/>
      <c r="DI110" s="862"/>
      <c r="DJ110" s="862"/>
      <c r="DK110" s="862"/>
      <c r="DL110" s="862"/>
      <c r="DM110" s="862"/>
      <c r="DN110" s="862"/>
      <c r="DO110" s="862"/>
      <c r="DP110" s="862"/>
      <c r="DQ110" s="862"/>
      <c r="DR110" s="73">
        <f t="shared" si="216"/>
        <v>0</v>
      </c>
      <c r="DS110" s="303"/>
      <c r="DT110" s="303"/>
      <c r="DU110" s="423"/>
      <c r="DV110" s="303"/>
      <c r="DW110" s="303"/>
      <c r="DX110" s="303"/>
      <c r="DY110" s="304"/>
      <c r="DZ110" s="304"/>
      <c r="EA110" s="304"/>
      <c r="EB110" s="304"/>
      <c r="EC110" s="304"/>
      <c r="ED110" s="304"/>
      <c r="EE110" s="304"/>
      <c r="EF110" s="304"/>
      <c r="EG110" s="304"/>
      <c r="EH110" s="304"/>
      <c r="EI110" s="304"/>
    </row>
    <row r="111" spans="1:139" s="305" customFormat="1" ht="30.75" customHeight="1" x14ac:dyDescent="0.2">
      <c r="A111" s="294"/>
      <c r="B111" s="461" t="s">
        <v>193</v>
      </c>
      <c r="C111" s="295"/>
      <c r="D111" s="251"/>
      <c r="E111" s="993"/>
      <c r="F111" s="297"/>
      <c r="G111" s="1239"/>
      <c r="H111" s="1207"/>
      <c r="I111" s="1207"/>
      <c r="J111" s="1297"/>
      <c r="K111" s="1184"/>
      <c r="L111" s="1184"/>
      <c r="M111" s="1184"/>
      <c r="N111" s="1184"/>
      <c r="O111" s="1184"/>
      <c r="P111" s="1184"/>
      <c r="Q111" s="1184"/>
      <c r="R111" s="1184"/>
      <c r="S111" s="1184"/>
      <c r="T111" s="1184"/>
      <c r="U111" s="1184"/>
      <c r="V111" s="1184"/>
      <c r="W111" s="840">
        <f t="shared" si="192"/>
        <v>0</v>
      </c>
      <c r="X111" s="252"/>
      <c r="Y111" s="253"/>
      <c r="Z111" s="1000"/>
      <c r="AA111" s="440"/>
      <c r="AB111" s="1186"/>
      <c r="AC111" s="440"/>
      <c r="AD111" s="1428"/>
      <c r="AE111" s="1194"/>
      <c r="AF111" s="440"/>
      <c r="AG111" s="440"/>
      <c r="AH111" s="440"/>
      <c r="AI111" s="440"/>
      <c r="AJ111" s="440"/>
      <c r="AK111" s="440"/>
      <c r="AL111" s="440"/>
      <c r="AM111" s="440"/>
      <c r="AN111" s="440"/>
      <c r="AO111" s="440"/>
      <c r="AP111" s="440"/>
      <c r="AQ111" s="440"/>
      <c r="AR111" s="307">
        <f>SUM(Y111*E111)</f>
        <v>0</v>
      </c>
      <c r="AS111" s="1241">
        <f t="shared" si="223"/>
        <v>0</v>
      </c>
      <c r="AT111" s="429">
        <f t="shared" si="224"/>
        <v>0</v>
      </c>
      <c r="AU111" s="1237">
        <f t="shared" si="225"/>
        <v>0</v>
      </c>
      <c r="AV111" s="1241">
        <f t="shared" si="226"/>
        <v>0</v>
      </c>
      <c r="AW111" s="1241">
        <f t="shared" si="227"/>
        <v>0</v>
      </c>
      <c r="AX111" s="1477">
        <f t="shared" si="228"/>
        <v>0</v>
      </c>
      <c r="AY111" s="429">
        <f t="shared" si="229"/>
        <v>0</v>
      </c>
      <c r="AZ111" s="429">
        <f t="shared" si="230"/>
        <v>0</v>
      </c>
      <c r="BA111" s="429">
        <f t="shared" si="231"/>
        <v>0</v>
      </c>
      <c r="BB111" s="429">
        <f t="shared" si="232"/>
        <v>0</v>
      </c>
      <c r="BC111" s="429">
        <f t="shared" si="233"/>
        <v>0</v>
      </c>
      <c r="BD111" s="429">
        <f t="shared" si="234"/>
        <v>0</v>
      </c>
      <c r="BE111" s="429">
        <f t="shared" si="235"/>
        <v>0</v>
      </c>
      <c r="BF111" s="429">
        <f t="shared" si="235"/>
        <v>0</v>
      </c>
      <c r="BG111" s="429">
        <f t="shared" si="235"/>
        <v>0</v>
      </c>
      <c r="BH111" s="429">
        <f t="shared" si="235"/>
        <v>0</v>
      </c>
      <c r="BI111" s="429">
        <f t="shared" si="235"/>
        <v>0</v>
      </c>
      <c r="BJ111" s="429">
        <f t="shared" si="235"/>
        <v>0</v>
      </c>
      <c r="BK111" s="403">
        <f t="shared" si="207"/>
        <v>0</v>
      </c>
      <c r="BL111" s="429">
        <f t="shared" ref="BL111:BW111" si="324">AS111*X111</f>
        <v>0</v>
      </c>
      <c r="BM111" s="429">
        <f t="shared" si="324"/>
        <v>0</v>
      </c>
      <c r="BN111" s="1237">
        <f t="shared" si="324"/>
        <v>0</v>
      </c>
      <c r="BO111" s="1241">
        <f t="shared" si="324"/>
        <v>0</v>
      </c>
      <c r="BP111" s="429">
        <f t="shared" si="324"/>
        <v>0</v>
      </c>
      <c r="BQ111" s="429">
        <f t="shared" si="324"/>
        <v>0</v>
      </c>
      <c r="BR111" s="429">
        <f t="shared" si="324"/>
        <v>0</v>
      </c>
      <c r="BS111" s="429">
        <f t="shared" si="324"/>
        <v>0</v>
      </c>
      <c r="BT111" s="429">
        <f t="shared" si="324"/>
        <v>0</v>
      </c>
      <c r="BU111" s="429">
        <f t="shared" si="324"/>
        <v>0</v>
      </c>
      <c r="BV111" s="429">
        <f t="shared" si="324"/>
        <v>0</v>
      </c>
      <c r="BW111" s="429">
        <f t="shared" si="324"/>
        <v>0</v>
      </c>
      <c r="BX111" s="300">
        <f>BK111*4%</f>
        <v>0</v>
      </c>
      <c r="BY111" s="300">
        <f t="shared" si="211"/>
        <v>0</v>
      </c>
      <c r="BZ111" s="301">
        <f t="shared" si="319"/>
        <v>0</v>
      </c>
      <c r="CA111" s="302">
        <f t="shared" si="217"/>
        <v>0</v>
      </c>
      <c r="CB111" s="276"/>
      <c r="CC111" s="1081"/>
      <c r="CD111" s="1081"/>
      <c r="CE111" s="1083"/>
      <c r="CF111" s="1084"/>
      <c r="CG111" s="862"/>
      <c r="CH111" s="862"/>
      <c r="CI111" s="862"/>
      <c r="CJ111" s="862"/>
      <c r="CK111" s="862"/>
      <c r="CL111" s="862"/>
      <c r="CM111" s="862"/>
      <c r="CN111" s="862"/>
      <c r="CO111" s="1128">
        <f t="shared" si="221"/>
        <v>0</v>
      </c>
      <c r="CP111" s="862"/>
      <c r="CQ111" s="862"/>
      <c r="CR111" s="862"/>
      <c r="CS111" s="862"/>
      <c r="CT111" s="862"/>
      <c r="CU111" s="862"/>
      <c r="CV111" s="862"/>
      <c r="CW111" s="862"/>
      <c r="CX111" s="862"/>
      <c r="CY111" s="73">
        <f t="shared" si="215"/>
        <v>0</v>
      </c>
      <c r="CZ111" s="862"/>
      <c r="DA111" s="862"/>
      <c r="DB111" s="862"/>
      <c r="DC111" s="862"/>
      <c r="DD111" s="862"/>
      <c r="DE111" s="862"/>
      <c r="DF111" s="862"/>
      <c r="DG111" s="862"/>
      <c r="DH111" s="1128"/>
      <c r="DI111" s="862"/>
      <c r="DJ111" s="862"/>
      <c r="DK111" s="862"/>
      <c r="DL111" s="862"/>
      <c r="DM111" s="862"/>
      <c r="DN111" s="862"/>
      <c r="DO111" s="862"/>
      <c r="DP111" s="862"/>
      <c r="DQ111" s="862"/>
      <c r="DR111" s="73">
        <f t="shared" si="216"/>
        <v>0</v>
      </c>
      <c r="DS111" s="303"/>
      <c r="DT111" s="303"/>
      <c r="DU111" s="423"/>
      <c r="DV111" s="303"/>
      <c r="DW111" s="303"/>
      <c r="DX111" s="303"/>
      <c r="DY111" s="304"/>
      <c r="DZ111" s="304"/>
      <c r="EA111" s="304"/>
      <c r="EB111" s="304"/>
      <c r="EC111" s="304"/>
      <c r="ED111" s="304"/>
      <c r="EE111" s="304"/>
      <c r="EF111" s="304"/>
      <c r="EG111" s="304"/>
      <c r="EH111" s="304"/>
      <c r="EI111" s="304"/>
    </row>
    <row r="112" spans="1:139" s="1438" customFormat="1" ht="32.25" customHeight="1" x14ac:dyDescent="0.2">
      <c r="A112" s="1423">
        <v>15</v>
      </c>
      <c r="B112" s="1424" t="s">
        <v>194</v>
      </c>
      <c r="C112" s="1425" t="s">
        <v>25</v>
      </c>
      <c r="D112" s="836">
        <v>150</v>
      </c>
      <c r="E112" s="993">
        <v>30</v>
      </c>
      <c r="F112" s="464">
        <v>30</v>
      </c>
      <c r="G112" s="1239"/>
      <c r="H112" s="464">
        <v>30</v>
      </c>
      <c r="I112" s="464">
        <v>30</v>
      </c>
      <c r="J112" s="1297">
        <v>30</v>
      </c>
      <c r="K112" s="1207"/>
      <c r="L112" s="1207"/>
      <c r="M112" s="1207"/>
      <c r="N112" s="1207"/>
      <c r="O112" s="1207"/>
      <c r="P112" s="1207"/>
      <c r="Q112" s="1207"/>
      <c r="R112" s="1207"/>
      <c r="S112" s="1207"/>
      <c r="T112" s="1207"/>
      <c r="U112" s="1207"/>
      <c r="V112" s="1207"/>
      <c r="W112" s="1426">
        <f t="shared" si="192"/>
        <v>150</v>
      </c>
      <c r="X112" s="1427" t="s">
        <v>45</v>
      </c>
      <c r="Y112" s="1267">
        <v>10300</v>
      </c>
      <c r="Z112" s="996">
        <v>9000</v>
      </c>
      <c r="AA112" s="1428">
        <v>9000</v>
      </c>
      <c r="AB112" s="1237"/>
      <c r="AC112" s="1429">
        <v>10300</v>
      </c>
      <c r="AD112" s="996">
        <v>10300</v>
      </c>
      <c r="AE112" s="1194">
        <v>10300</v>
      </c>
      <c r="AF112" s="1428"/>
      <c r="AG112" s="1428"/>
      <c r="AH112" s="1428"/>
      <c r="AI112" s="1428"/>
      <c r="AJ112" s="1428"/>
      <c r="AK112" s="1428"/>
      <c r="AL112" s="1428"/>
      <c r="AM112" s="1428"/>
      <c r="AN112" s="1428"/>
      <c r="AO112" s="1428"/>
      <c r="AP112" s="1428"/>
      <c r="AQ112" s="1428"/>
      <c r="AR112" s="1430">
        <f>SUM(W112*Y112)</f>
        <v>1545000</v>
      </c>
      <c r="AS112" s="1199">
        <f t="shared" si="223"/>
        <v>270000</v>
      </c>
      <c r="AT112" s="1199">
        <f t="shared" si="224"/>
        <v>270000</v>
      </c>
      <c r="AU112" s="1213">
        <f t="shared" si="225"/>
        <v>0</v>
      </c>
      <c r="AV112" s="1199">
        <f t="shared" si="226"/>
        <v>309000</v>
      </c>
      <c r="AW112" s="1199">
        <f t="shared" si="227"/>
        <v>309000</v>
      </c>
      <c r="AX112" s="1298">
        <f t="shared" si="228"/>
        <v>309000</v>
      </c>
      <c r="AY112" s="1199">
        <f t="shared" si="229"/>
        <v>0</v>
      </c>
      <c r="AZ112" s="1199">
        <f t="shared" si="230"/>
        <v>0</v>
      </c>
      <c r="BA112" s="1199">
        <f t="shared" si="231"/>
        <v>0</v>
      </c>
      <c r="BB112" s="1199">
        <f t="shared" si="232"/>
        <v>0</v>
      </c>
      <c r="BC112" s="1199">
        <f t="shared" si="233"/>
        <v>0</v>
      </c>
      <c r="BD112" s="1199">
        <f t="shared" si="234"/>
        <v>0</v>
      </c>
      <c r="BE112" s="1199">
        <f t="shared" si="235"/>
        <v>0</v>
      </c>
      <c r="BF112" s="1199">
        <f t="shared" si="235"/>
        <v>0</v>
      </c>
      <c r="BG112" s="1199">
        <f t="shared" si="235"/>
        <v>0</v>
      </c>
      <c r="BH112" s="1199">
        <f t="shared" si="235"/>
        <v>0</v>
      </c>
      <c r="BI112" s="1199">
        <f t="shared" si="235"/>
        <v>0</v>
      </c>
      <c r="BJ112" s="1199">
        <f t="shared" si="235"/>
        <v>0</v>
      </c>
      <c r="BK112" s="1231">
        <f t="shared" si="207"/>
        <v>1467000</v>
      </c>
      <c r="BL112" s="1199">
        <f>SUM(AS112*4%)</f>
        <v>10800</v>
      </c>
      <c r="BM112" s="1199">
        <f>SUM(AT112*4%)</f>
        <v>10800</v>
      </c>
      <c r="BN112" s="1213">
        <f>SUM(AU112*14%)</f>
        <v>0</v>
      </c>
      <c r="BO112" s="1199"/>
      <c r="BP112" s="1199"/>
      <c r="BQ112" s="1199">
        <f>SUM(AX112*4%)</f>
        <v>12360</v>
      </c>
      <c r="BR112" s="1199">
        <f t="shared" ref="BR112:BW113" si="325">SUM(AY112*14%)</f>
        <v>0</v>
      </c>
      <c r="BS112" s="1199">
        <f t="shared" si="325"/>
        <v>0</v>
      </c>
      <c r="BT112" s="1199">
        <f t="shared" si="325"/>
        <v>0</v>
      </c>
      <c r="BU112" s="1199">
        <f t="shared" si="325"/>
        <v>0</v>
      </c>
      <c r="BV112" s="1199">
        <f t="shared" si="325"/>
        <v>0</v>
      </c>
      <c r="BW112" s="1199">
        <f t="shared" si="325"/>
        <v>0</v>
      </c>
      <c r="BX112" s="1256">
        <f>SUM(BL112:BW112)</f>
        <v>33960</v>
      </c>
      <c r="BY112" s="1431">
        <f t="shared" si="211"/>
        <v>44040</v>
      </c>
      <c r="BZ112" s="1432">
        <f t="shared" si="319"/>
        <v>1545000</v>
      </c>
      <c r="CA112" s="1433">
        <f>BZ112-BK112</f>
        <v>78000</v>
      </c>
      <c r="CB112" s="1434">
        <f>SUM(W112/D112)</f>
        <v>1</v>
      </c>
      <c r="CC112" s="1128"/>
      <c r="CD112" s="1128"/>
      <c r="CE112" s="1148"/>
      <c r="CF112" s="1149"/>
      <c r="CG112" s="1128"/>
      <c r="CH112" s="1128"/>
      <c r="CI112" s="1128"/>
      <c r="CJ112" s="1128">
        <f>SUM(AV112*12%)</f>
        <v>37080</v>
      </c>
      <c r="CK112" s="1128">
        <f>SUM(AW112*12%)</f>
        <v>37080</v>
      </c>
      <c r="CL112" s="1128"/>
      <c r="CM112" s="1128"/>
      <c r="CN112" s="1128"/>
      <c r="CO112" s="1128">
        <f t="shared" si="221"/>
        <v>0</v>
      </c>
      <c r="CP112" s="1128"/>
      <c r="CQ112" s="1128"/>
      <c r="CR112" s="1128"/>
      <c r="CS112" s="1128"/>
      <c r="CT112" s="1128"/>
      <c r="CU112" s="1128"/>
      <c r="CV112" s="1128"/>
      <c r="CW112" s="1128"/>
      <c r="CX112" s="1128"/>
      <c r="CY112" s="1144">
        <f t="shared" si="215"/>
        <v>74160</v>
      </c>
      <c r="CZ112" s="1144">
        <f t="shared" si="215"/>
        <v>148320</v>
      </c>
      <c r="DA112" s="1128"/>
      <c r="DB112" s="1128"/>
      <c r="DC112" s="1128"/>
      <c r="DD112" s="1128"/>
      <c r="DE112" s="1128"/>
      <c r="DF112" s="1128"/>
      <c r="DG112" s="1128"/>
      <c r="DH112" s="1128"/>
      <c r="DI112" s="1128"/>
      <c r="DJ112" s="1128"/>
      <c r="DK112" s="1128"/>
      <c r="DL112" s="1128"/>
      <c r="DM112" s="1128"/>
      <c r="DN112" s="1128"/>
      <c r="DO112" s="1128"/>
      <c r="DP112" s="1128"/>
      <c r="DQ112" s="1128"/>
      <c r="DR112" s="1144">
        <f t="shared" si="216"/>
        <v>148320</v>
      </c>
      <c r="DS112" s="1435"/>
      <c r="DT112" s="1435"/>
      <c r="DU112" s="1436"/>
      <c r="DV112" s="1435"/>
      <c r="DW112" s="1435"/>
      <c r="DX112" s="1435"/>
      <c r="DY112" s="1437"/>
      <c r="DZ112" s="1437"/>
      <c r="EA112" s="1437"/>
      <c r="EB112" s="1437"/>
      <c r="EC112" s="1437"/>
      <c r="ED112" s="1437"/>
      <c r="EE112" s="1437"/>
      <c r="EF112" s="1437"/>
      <c r="EG112" s="1437"/>
      <c r="EH112" s="1437"/>
      <c r="EI112" s="1437"/>
    </row>
    <row r="113" spans="1:157" s="1438" customFormat="1" ht="24.75" customHeight="1" x14ac:dyDescent="0.2">
      <c r="A113" s="1423">
        <f t="shared" si="218"/>
        <v>16</v>
      </c>
      <c r="B113" s="1424" t="s">
        <v>124</v>
      </c>
      <c r="C113" s="1425" t="s">
        <v>25</v>
      </c>
      <c r="D113" s="836">
        <v>10</v>
      </c>
      <c r="E113" s="993"/>
      <c r="F113" s="464"/>
      <c r="G113" s="1239"/>
      <c r="H113" s="464">
        <v>2</v>
      </c>
      <c r="I113" s="464">
        <v>2</v>
      </c>
      <c r="J113" s="1297">
        <v>2</v>
      </c>
      <c r="K113" s="1207"/>
      <c r="L113" s="1207"/>
      <c r="M113" s="1207"/>
      <c r="N113" s="1207"/>
      <c r="O113" s="1207"/>
      <c r="P113" s="1207"/>
      <c r="Q113" s="1207"/>
      <c r="R113" s="1207"/>
      <c r="S113" s="1207"/>
      <c r="T113" s="1207"/>
      <c r="U113" s="1207"/>
      <c r="V113" s="1207"/>
      <c r="W113" s="1426">
        <f t="shared" si="192"/>
        <v>6</v>
      </c>
      <c r="X113" s="1439" t="s">
        <v>16</v>
      </c>
      <c r="Y113" s="1440">
        <v>35000</v>
      </c>
      <c r="Z113" s="996"/>
      <c r="AA113" s="1428"/>
      <c r="AB113" s="1237"/>
      <c r="AC113" s="1441">
        <v>35000</v>
      </c>
      <c r="AD113" s="996">
        <v>35000</v>
      </c>
      <c r="AE113" s="1194">
        <v>35000</v>
      </c>
      <c r="AF113" s="1428"/>
      <c r="AG113" s="1428"/>
      <c r="AH113" s="1428"/>
      <c r="AI113" s="1428"/>
      <c r="AJ113" s="1428"/>
      <c r="AK113" s="1428"/>
      <c r="AL113" s="1428"/>
      <c r="AM113" s="1428"/>
      <c r="AN113" s="1428"/>
      <c r="AO113" s="1428"/>
      <c r="AP113" s="1428"/>
      <c r="AQ113" s="1428"/>
      <c r="AR113" s="1430">
        <f>SUM(W113*Y113)</f>
        <v>210000</v>
      </c>
      <c r="AS113" s="1199">
        <f t="shared" si="223"/>
        <v>0</v>
      </c>
      <c r="AT113" s="1199">
        <f t="shared" si="224"/>
        <v>0</v>
      </c>
      <c r="AU113" s="1213">
        <f t="shared" si="225"/>
        <v>0</v>
      </c>
      <c r="AV113" s="1199">
        <f t="shared" si="226"/>
        <v>70000</v>
      </c>
      <c r="AW113" s="1199">
        <f t="shared" si="227"/>
        <v>70000</v>
      </c>
      <c r="AX113" s="1298">
        <f t="shared" si="228"/>
        <v>70000</v>
      </c>
      <c r="AY113" s="1199">
        <f t="shared" si="229"/>
        <v>0</v>
      </c>
      <c r="AZ113" s="1199">
        <f t="shared" si="230"/>
        <v>0</v>
      </c>
      <c r="BA113" s="1199">
        <f t="shared" si="231"/>
        <v>0</v>
      </c>
      <c r="BB113" s="1199">
        <f t="shared" si="232"/>
        <v>0</v>
      </c>
      <c r="BC113" s="1199">
        <f t="shared" si="233"/>
        <v>0</v>
      </c>
      <c r="BD113" s="1199">
        <f t="shared" si="234"/>
        <v>0</v>
      </c>
      <c r="BE113" s="1199">
        <f t="shared" si="235"/>
        <v>0</v>
      </c>
      <c r="BF113" s="1199">
        <f t="shared" si="235"/>
        <v>0</v>
      </c>
      <c r="BG113" s="1199">
        <f t="shared" si="235"/>
        <v>0</v>
      </c>
      <c r="BH113" s="1199">
        <f t="shared" si="235"/>
        <v>0</v>
      </c>
      <c r="BI113" s="1199">
        <f t="shared" si="235"/>
        <v>0</v>
      </c>
      <c r="BJ113" s="1199">
        <f t="shared" si="235"/>
        <v>0</v>
      </c>
      <c r="BK113" s="1231">
        <f t="shared" si="207"/>
        <v>210000</v>
      </c>
      <c r="BL113" s="1199">
        <f>SUM(AS113*4%)</f>
        <v>0</v>
      </c>
      <c r="BM113" s="1199">
        <f>SUM(AT113*14%)</f>
        <v>0</v>
      </c>
      <c r="BN113" s="1213">
        <f>SUM(AU113*14%)</f>
        <v>0</v>
      </c>
      <c r="BO113" s="1199"/>
      <c r="BP113" s="1199">
        <f>SUM(AW113*4%)</f>
        <v>2800</v>
      </c>
      <c r="BQ113" s="1199">
        <f>SUM(AX113*4%)</f>
        <v>2800</v>
      </c>
      <c r="BR113" s="1199">
        <f t="shared" si="325"/>
        <v>0</v>
      </c>
      <c r="BS113" s="1199">
        <f t="shared" si="325"/>
        <v>0</v>
      </c>
      <c r="BT113" s="1199">
        <f t="shared" si="325"/>
        <v>0</v>
      </c>
      <c r="BU113" s="1199">
        <f t="shared" si="325"/>
        <v>0</v>
      </c>
      <c r="BV113" s="1199">
        <f t="shared" si="325"/>
        <v>0</v>
      </c>
      <c r="BW113" s="1199">
        <f t="shared" si="325"/>
        <v>0</v>
      </c>
      <c r="BX113" s="1256">
        <f>SUM(BL113:BW113)</f>
        <v>5600</v>
      </c>
      <c r="BY113" s="1431">
        <f>AR113-BK113</f>
        <v>0</v>
      </c>
      <c r="BZ113" s="1432">
        <f t="shared" si="319"/>
        <v>350000</v>
      </c>
      <c r="CA113" s="1433">
        <f t="shared" si="217"/>
        <v>134400</v>
      </c>
      <c r="CB113" s="1434">
        <f>SUM(W113/D113)</f>
        <v>0.6</v>
      </c>
      <c r="CC113" s="1128">
        <f>SUM(AV113-CJ113)</f>
        <v>68600</v>
      </c>
      <c r="CD113" s="1128">
        <f>30000*2</f>
        <v>60000</v>
      </c>
      <c r="CE113" s="1148">
        <f t="shared" ref="CE113" si="326">CC113-CD113</f>
        <v>8600</v>
      </c>
      <c r="CF113" s="1149"/>
      <c r="CG113" s="1128"/>
      <c r="CH113" s="1128"/>
      <c r="CI113" s="1128"/>
      <c r="CJ113" s="1128">
        <f>SUM(AV113*2%)</f>
        <v>1400</v>
      </c>
      <c r="CK113" s="1128">
        <f>SUM(AW113*2%)</f>
        <v>1400</v>
      </c>
      <c r="CL113" s="1128"/>
      <c r="CM113" s="1128"/>
      <c r="CN113" s="1128"/>
      <c r="CO113" s="1128">
        <f t="shared" si="221"/>
        <v>0</v>
      </c>
      <c r="CP113" s="1128"/>
      <c r="CQ113" s="1128"/>
      <c r="CR113" s="1128"/>
      <c r="CS113" s="1128"/>
      <c r="CT113" s="1128"/>
      <c r="CU113" s="1128"/>
      <c r="CV113" s="1128"/>
      <c r="CW113" s="1128"/>
      <c r="CX113" s="1128"/>
      <c r="CY113" s="1144">
        <f t="shared" si="215"/>
        <v>2800</v>
      </c>
      <c r="CZ113" s="1144">
        <f t="shared" si="215"/>
        <v>5600</v>
      </c>
      <c r="DA113" s="1128"/>
      <c r="DB113" s="1128"/>
      <c r="DC113" s="1128"/>
      <c r="DD113" s="1128"/>
      <c r="DE113" s="1128"/>
      <c r="DF113" s="1128"/>
      <c r="DG113" s="1128"/>
      <c r="DH113" s="1128"/>
      <c r="DI113" s="1128"/>
      <c r="DJ113" s="1128"/>
      <c r="DK113" s="1128"/>
      <c r="DL113" s="1128"/>
      <c r="DM113" s="1128"/>
      <c r="DN113" s="1128"/>
      <c r="DO113" s="1128"/>
      <c r="DP113" s="1128"/>
      <c r="DQ113" s="1128"/>
      <c r="DR113" s="1144">
        <f t="shared" si="216"/>
        <v>5600</v>
      </c>
      <c r="DS113" s="1435"/>
      <c r="DT113" s="1435"/>
      <c r="DU113" s="1436"/>
      <c r="DV113" s="1435"/>
      <c r="DW113" s="1435"/>
      <c r="DX113" s="1435"/>
      <c r="DY113" s="1437"/>
      <c r="DZ113" s="1437"/>
      <c r="EA113" s="1437"/>
      <c r="EB113" s="1437"/>
      <c r="EC113" s="1437"/>
      <c r="ED113" s="1437"/>
      <c r="EE113" s="1437"/>
      <c r="EF113" s="1437"/>
      <c r="EG113" s="1437"/>
      <c r="EH113" s="1437"/>
      <c r="EI113" s="1437"/>
    </row>
    <row r="114" spans="1:157" s="1438" customFormat="1" ht="32.25" customHeight="1" x14ac:dyDescent="0.2">
      <c r="A114" s="1423"/>
      <c r="B114" s="1442" t="s">
        <v>195</v>
      </c>
      <c r="C114" s="1425"/>
      <c r="D114" s="836"/>
      <c r="E114" s="993"/>
      <c r="F114" s="464"/>
      <c r="G114" s="1239"/>
      <c r="H114" s="1207"/>
      <c r="I114" s="1207"/>
      <c r="J114" s="1297"/>
      <c r="K114" s="1207"/>
      <c r="L114" s="1207"/>
      <c r="M114" s="1207"/>
      <c r="N114" s="1207"/>
      <c r="O114" s="1207"/>
      <c r="P114" s="1207"/>
      <c r="Q114" s="1207"/>
      <c r="R114" s="1207"/>
      <c r="S114" s="1207"/>
      <c r="T114" s="1207"/>
      <c r="U114" s="1207"/>
      <c r="V114" s="1207"/>
      <c r="W114" s="1426">
        <f t="shared" si="192"/>
        <v>0</v>
      </c>
      <c r="X114" s="1439"/>
      <c r="Y114" s="1443"/>
      <c r="Z114" s="996"/>
      <c r="AA114" s="1428"/>
      <c r="AB114" s="1234"/>
      <c r="AC114" s="1428"/>
      <c r="AD114" s="1428"/>
      <c r="AE114" s="1194"/>
      <c r="AF114" s="1428"/>
      <c r="AG114" s="1428"/>
      <c r="AH114" s="1428"/>
      <c r="AI114" s="1428"/>
      <c r="AJ114" s="1428"/>
      <c r="AK114" s="1428"/>
      <c r="AL114" s="1428"/>
      <c r="AM114" s="1428"/>
      <c r="AN114" s="1428"/>
      <c r="AO114" s="1428"/>
      <c r="AP114" s="1428"/>
      <c r="AQ114" s="1428"/>
      <c r="AR114" s="1430">
        <f t="shared" ref="AR114:AR121" si="327">SUM(W114*Y114)</f>
        <v>0</v>
      </c>
      <c r="AS114" s="1241">
        <f t="shared" si="223"/>
        <v>0</v>
      </c>
      <c r="AT114" s="1241">
        <f t="shared" si="224"/>
        <v>0</v>
      </c>
      <c r="AU114" s="1237">
        <f t="shared" si="225"/>
        <v>0</v>
      </c>
      <c r="AV114" s="1241">
        <f t="shared" si="226"/>
        <v>0</v>
      </c>
      <c r="AW114" s="1241">
        <f t="shared" si="227"/>
        <v>0</v>
      </c>
      <c r="AX114" s="1477">
        <f t="shared" si="228"/>
        <v>0</v>
      </c>
      <c r="AY114" s="1241">
        <f t="shared" si="229"/>
        <v>0</v>
      </c>
      <c r="AZ114" s="1241">
        <f t="shared" si="230"/>
        <v>0</v>
      </c>
      <c r="BA114" s="1241">
        <f t="shared" si="231"/>
        <v>0</v>
      </c>
      <c r="BB114" s="1241">
        <f t="shared" si="232"/>
        <v>0</v>
      </c>
      <c r="BC114" s="1241">
        <f t="shared" si="233"/>
        <v>0</v>
      </c>
      <c r="BD114" s="1241">
        <f t="shared" si="234"/>
        <v>0</v>
      </c>
      <c r="BE114" s="1241">
        <f t="shared" si="235"/>
        <v>0</v>
      </c>
      <c r="BF114" s="1241">
        <f t="shared" si="235"/>
        <v>0</v>
      </c>
      <c r="BG114" s="1241">
        <f t="shared" si="235"/>
        <v>0</v>
      </c>
      <c r="BH114" s="1241">
        <f t="shared" si="235"/>
        <v>0</v>
      </c>
      <c r="BI114" s="1241">
        <f t="shared" si="235"/>
        <v>0</v>
      </c>
      <c r="BJ114" s="1241">
        <f t="shared" si="235"/>
        <v>0</v>
      </c>
      <c r="BK114" s="1231">
        <f t="shared" si="207"/>
        <v>0</v>
      </c>
      <c r="BL114" s="1241">
        <f t="shared" ref="BL114:BW114" si="328">AS114*X114</f>
        <v>0</v>
      </c>
      <c r="BM114" s="1241">
        <f t="shared" si="328"/>
        <v>0</v>
      </c>
      <c r="BN114" s="1237">
        <f t="shared" si="328"/>
        <v>0</v>
      </c>
      <c r="BO114" s="1241">
        <f t="shared" si="328"/>
        <v>0</v>
      </c>
      <c r="BP114" s="1241">
        <f t="shared" si="328"/>
        <v>0</v>
      </c>
      <c r="BQ114" s="1241">
        <f t="shared" si="328"/>
        <v>0</v>
      </c>
      <c r="BR114" s="1241">
        <f t="shared" si="328"/>
        <v>0</v>
      </c>
      <c r="BS114" s="1241">
        <f t="shared" si="328"/>
        <v>0</v>
      </c>
      <c r="BT114" s="1241">
        <f t="shared" si="328"/>
        <v>0</v>
      </c>
      <c r="BU114" s="1241">
        <f t="shared" si="328"/>
        <v>0</v>
      </c>
      <c r="BV114" s="1241">
        <f t="shared" si="328"/>
        <v>0</v>
      </c>
      <c r="BW114" s="1241">
        <f t="shared" si="328"/>
        <v>0</v>
      </c>
      <c r="BX114" s="1431">
        <f>BK114*14%</f>
        <v>0</v>
      </c>
      <c r="BY114" s="1431">
        <f t="shared" si="211"/>
        <v>0</v>
      </c>
      <c r="BZ114" s="1432">
        <f t="shared" si="319"/>
        <v>0</v>
      </c>
      <c r="CA114" s="1433">
        <f t="shared" si="217"/>
        <v>0</v>
      </c>
      <c r="CB114" s="1434"/>
      <c r="CC114" s="1128"/>
      <c r="CD114" s="1128"/>
      <c r="CE114" s="1148"/>
      <c r="CF114" s="1149"/>
      <c r="CG114" s="1128"/>
      <c r="CH114" s="1128"/>
      <c r="CI114" s="1128"/>
      <c r="CJ114" s="1128"/>
      <c r="CK114" s="1128"/>
      <c r="CL114" s="1128"/>
      <c r="CM114" s="1128"/>
      <c r="CN114" s="1128"/>
      <c r="CO114" s="1128">
        <f t="shared" si="221"/>
        <v>0</v>
      </c>
      <c r="CP114" s="1128"/>
      <c r="CQ114" s="1128"/>
      <c r="CR114" s="1128"/>
      <c r="CS114" s="1128"/>
      <c r="CT114" s="1128"/>
      <c r="CU114" s="1128"/>
      <c r="CV114" s="1128"/>
      <c r="CW114" s="1128"/>
      <c r="CX114" s="1128"/>
      <c r="CY114" s="1144">
        <f t="shared" si="215"/>
        <v>0</v>
      </c>
      <c r="CZ114" s="1128"/>
      <c r="DA114" s="1128"/>
      <c r="DB114" s="1128"/>
      <c r="DC114" s="1128"/>
      <c r="DD114" s="1128"/>
      <c r="DE114" s="1128"/>
      <c r="DF114" s="1128"/>
      <c r="DG114" s="1128"/>
      <c r="DH114" s="1128"/>
      <c r="DI114" s="1128"/>
      <c r="DJ114" s="1128"/>
      <c r="DK114" s="1128"/>
      <c r="DL114" s="1128"/>
      <c r="DM114" s="1128"/>
      <c r="DN114" s="1128"/>
      <c r="DO114" s="1128"/>
      <c r="DP114" s="1128"/>
      <c r="DQ114" s="1128"/>
      <c r="DR114" s="1144">
        <f t="shared" si="216"/>
        <v>0</v>
      </c>
      <c r="DS114" s="1435"/>
      <c r="DT114" s="1435"/>
      <c r="DU114" s="1436"/>
      <c r="DV114" s="1435"/>
      <c r="DW114" s="1435"/>
      <c r="DX114" s="1435"/>
      <c r="DY114" s="1437"/>
      <c r="DZ114" s="1437"/>
      <c r="EA114" s="1437"/>
      <c r="EB114" s="1437"/>
      <c r="EC114" s="1437"/>
      <c r="ED114" s="1437"/>
      <c r="EE114" s="1437"/>
      <c r="EF114" s="1437"/>
      <c r="EG114" s="1437"/>
      <c r="EH114" s="1437"/>
      <c r="EI114" s="1437"/>
    </row>
    <row r="115" spans="1:157" s="1438" customFormat="1" ht="24.75" customHeight="1" x14ac:dyDescent="0.2">
      <c r="A115" s="1423">
        <v>17</v>
      </c>
      <c r="B115" s="1444" t="s">
        <v>196</v>
      </c>
      <c r="C115" s="1425" t="s">
        <v>25</v>
      </c>
      <c r="D115" s="836">
        <v>90</v>
      </c>
      <c r="E115" s="993"/>
      <c r="F115" s="464"/>
      <c r="G115" s="1239">
        <v>36</v>
      </c>
      <c r="H115" s="1207"/>
      <c r="I115" s="1207"/>
      <c r="J115" s="1297">
        <v>54</v>
      </c>
      <c r="K115" s="1207"/>
      <c r="L115" s="1207"/>
      <c r="M115" s="1207"/>
      <c r="N115" s="1207"/>
      <c r="O115" s="1207"/>
      <c r="P115" s="1207"/>
      <c r="Q115" s="1207"/>
      <c r="R115" s="1207"/>
      <c r="S115" s="1207"/>
      <c r="T115" s="1207"/>
      <c r="U115" s="1207"/>
      <c r="V115" s="1207"/>
      <c r="W115" s="1426">
        <f t="shared" si="192"/>
        <v>90</v>
      </c>
      <c r="X115" s="1445" t="s">
        <v>31</v>
      </c>
      <c r="Y115" s="1267">
        <v>10300</v>
      </c>
      <c r="Z115" s="996"/>
      <c r="AA115" s="1428"/>
      <c r="AB115" s="1234">
        <v>10300</v>
      </c>
      <c r="AC115" s="1428"/>
      <c r="AD115" s="1428"/>
      <c r="AE115" s="1194">
        <v>10300</v>
      </c>
      <c r="AF115" s="1428"/>
      <c r="AG115" s="1428"/>
      <c r="AH115" s="1428"/>
      <c r="AI115" s="1428"/>
      <c r="AJ115" s="1428"/>
      <c r="AK115" s="1428"/>
      <c r="AL115" s="1428"/>
      <c r="AM115" s="1428"/>
      <c r="AN115" s="1428"/>
      <c r="AO115" s="1428"/>
      <c r="AP115" s="1428"/>
      <c r="AQ115" s="1428"/>
      <c r="AR115" s="1430">
        <f t="shared" si="327"/>
        <v>927000</v>
      </c>
      <c r="AS115" s="1199">
        <f t="shared" si="223"/>
        <v>0</v>
      </c>
      <c r="AT115" s="1199">
        <f t="shared" si="224"/>
        <v>0</v>
      </c>
      <c r="AU115" s="1213">
        <f t="shared" si="225"/>
        <v>370800</v>
      </c>
      <c r="AV115" s="1199">
        <f t="shared" si="226"/>
        <v>0</v>
      </c>
      <c r="AW115" s="1199">
        <f t="shared" si="227"/>
        <v>0</v>
      </c>
      <c r="AX115" s="1298">
        <f t="shared" si="228"/>
        <v>556200</v>
      </c>
      <c r="AY115" s="1199">
        <f t="shared" si="229"/>
        <v>0</v>
      </c>
      <c r="AZ115" s="1199">
        <f t="shared" si="230"/>
        <v>0</v>
      </c>
      <c r="BA115" s="1199">
        <f t="shared" si="231"/>
        <v>0</v>
      </c>
      <c r="BB115" s="1199">
        <f t="shared" si="232"/>
        <v>0</v>
      </c>
      <c r="BC115" s="1199">
        <f t="shared" si="233"/>
        <v>0</v>
      </c>
      <c r="BD115" s="1199">
        <f t="shared" si="234"/>
        <v>0</v>
      </c>
      <c r="BE115" s="1199">
        <f t="shared" si="235"/>
        <v>0</v>
      </c>
      <c r="BF115" s="1199">
        <f t="shared" si="235"/>
        <v>0</v>
      </c>
      <c r="BG115" s="1199">
        <f t="shared" si="235"/>
        <v>0</v>
      </c>
      <c r="BH115" s="1199">
        <f t="shared" si="235"/>
        <v>0</v>
      </c>
      <c r="BI115" s="1199">
        <f t="shared" si="235"/>
        <v>0</v>
      </c>
      <c r="BJ115" s="1199">
        <f t="shared" si="235"/>
        <v>0</v>
      </c>
      <c r="BK115" s="1231">
        <f t="shared" si="207"/>
        <v>927000</v>
      </c>
      <c r="BL115" s="1199">
        <f>SUM(AS115*14%)</f>
        <v>0</v>
      </c>
      <c r="BM115" s="1199">
        <f>SUM(AT115*14%)</f>
        <v>0</v>
      </c>
      <c r="BN115" s="1213">
        <f>SUM(AU115*12%)</f>
        <v>44496</v>
      </c>
      <c r="BO115" s="1199">
        <f>SUM(AV115*4%)</f>
        <v>0</v>
      </c>
      <c r="BP115" s="1199">
        <f>SUM(AW115*4%)</f>
        <v>0</v>
      </c>
      <c r="BQ115" s="1199">
        <f>SUM(AX115*12%)</f>
        <v>66744</v>
      </c>
      <c r="BR115" s="1199">
        <f t="shared" ref="BR115:BW115" si="329">SUM(AY115*14%)</f>
        <v>0</v>
      </c>
      <c r="BS115" s="1199">
        <f t="shared" si="329"/>
        <v>0</v>
      </c>
      <c r="BT115" s="1199">
        <f t="shared" si="329"/>
        <v>0</v>
      </c>
      <c r="BU115" s="1199">
        <f t="shared" si="329"/>
        <v>0</v>
      </c>
      <c r="BV115" s="1199">
        <f t="shared" si="329"/>
        <v>0</v>
      </c>
      <c r="BW115" s="1199">
        <f t="shared" si="329"/>
        <v>0</v>
      </c>
      <c r="BX115" s="1256">
        <f>SUM(BL115:BW115)</f>
        <v>111240</v>
      </c>
      <c r="BY115" s="1431">
        <f>AR115-BK115</f>
        <v>0</v>
      </c>
      <c r="BZ115" s="1432">
        <f t="shared" si="319"/>
        <v>927000</v>
      </c>
      <c r="CA115" s="1433">
        <f>BZ115-BK115</f>
        <v>0</v>
      </c>
      <c r="CB115" s="1434">
        <f>SUM(W115/D115)</f>
        <v>1</v>
      </c>
      <c r="CC115" s="1128">
        <f>SUM(AU115-BN115)</f>
        <v>326304</v>
      </c>
      <c r="CD115" s="1128">
        <f>9000*36</f>
        <v>324000</v>
      </c>
      <c r="CE115" s="1148">
        <f>CC115-CD115</f>
        <v>2304</v>
      </c>
      <c r="CF115" s="1149"/>
      <c r="CG115" s="1128"/>
      <c r="CH115" s="1128"/>
      <c r="CI115" s="1128"/>
      <c r="CJ115" s="1128"/>
      <c r="CK115" s="1128"/>
      <c r="CL115" s="1128"/>
      <c r="CM115" s="1128"/>
      <c r="CN115" s="1128"/>
      <c r="CO115" s="1128">
        <f t="shared" si="221"/>
        <v>0</v>
      </c>
      <c r="CP115" s="1128"/>
      <c r="CQ115" s="1128"/>
      <c r="CR115" s="1128"/>
      <c r="CS115" s="1128"/>
      <c r="CT115" s="1128"/>
      <c r="CU115" s="1128"/>
      <c r="CV115" s="1128"/>
      <c r="CW115" s="1128"/>
      <c r="CX115" s="1128"/>
      <c r="CY115" s="1144">
        <f t="shared" si="215"/>
        <v>0</v>
      </c>
      <c r="CZ115" s="1128"/>
      <c r="DA115" s="1128"/>
      <c r="DB115" s="1128"/>
      <c r="DC115" s="1128"/>
      <c r="DD115" s="1128"/>
      <c r="DE115" s="1128"/>
      <c r="DF115" s="1128"/>
      <c r="DG115" s="1128"/>
      <c r="DH115" s="1128"/>
      <c r="DI115" s="1128"/>
      <c r="DJ115" s="1128"/>
      <c r="DK115" s="1128"/>
      <c r="DL115" s="1128"/>
      <c r="DM115" s="1128"/>
      <c r="DN115" s="1128"/>
      <c r="DO115" s="1128"/>
      <c r="DP115" s="1128"/>
      <c r="DQ115" s="1128"/>
      <c r="DR115" s="1144">
        <f t="shared" si="216"/>
        <v>0</v>
      </c>
      <c r="DS115" s="1435"/>
      <c r="DT115" s="1435"/>
      <c r="DU115" s="1436"/>
      <c r="DV115" s="1435"/>
      <c r="DW115" s="1435"/>
      <c r="DX115" s="1435"/>
      <c r="DY115" s="1437"/>
      <c r="DZ115" s="1437"/>
      <c r="EA115" s="1437"/>
      <c r="EB115" s="1437"/>
      <c r="EC115" s="1437"/>
      <c r="ED115" s="1437"/>
      <c r="EE115" s="1437"/>
      <c r="EF115" s="1437"/>
      <c r="EG115" s="1437"/>
      <c r="EH115" s="1437"/>
      <c r="EI115" s="1437"/>
    </row>
    <row r="116" spans="1:157" s="305" customFormat="1" ht="32.25" customHeight="1" x14ac:dyDescent="0.2">
      <c r="A116" s="294"/>
      <c r="B116" s="255" t="s">
        <v>197</v>
      </c>
      <c r="C116" s="295" t="s">
        <v>25</v>
      </c>
      <c r="D116" s="251"/>
      <c r="E116" s="993"/>
      <c r="F116" s="297"/>
      <c r="G116" s="1239"/>
      <c r="H116" s="1207"/>
      <c r="I116" s="1207"/>
      <c r="J116" s="1297"/>
      <c r="K116" s="1184"/>
      <c r="L116" s="1184"/>
      <c r="M116" s="1184"/>
      <c r="N116" s="1184"/>
      <c r="O116" s="1184"/>
      <c r="P116" s="1184"/>
      <c r="Q116" s="1184"/>
      <c r="R116" s="1184"/>
      <c r="S116" s="1184"/>
      <c r="T116" s="1184"/>
      <c r="U116" s="1184"/>
      <c r="V116" s="1184"/>
      <c r="W116" s="840">
        <f t="shared" si="192"/>
        <v>0</v>
      </c>
      <c r="X116" s="252"/>
      <c r="Y116" s="253"/>
      <c r="Z116" s="996"/>
      <c r="AA116" s="440"/>
      <c r="AB116" s="1186"/>
      <c r="AC116" s="440"/>
      <c r="AD116" s="1428"/>
      <c r="AE116" s="1194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271">
        <f t="shared" si="327"/>
        <v>0</v>
      </c>
      <c r="AS116" s="1241">
        <f t="shared" si="223"/>
        <v>0</v>
      </c>
      <c r="AT116" s="429">
        <f t="shared" si="224"/>
        <v>0</v>
      </c>
      <c r="AU116" s="1237">
        <f t="shared" si="225"/>
        <v>0</v>
      </c>
      <c r="AV116" s="1241">
        <f t="shared" si="226"/>
        <v>0</v>
      </c>
      <c r="AW116" s="1241">
        <f t="shared" si="227"/>
        <v>0</v>
      </c>
      <c r="AX116" s="1477">
        <f t="shared" si="228"/>
        <v>0</v>
      </c>
      <c r="AY116" s="429">
        <f t="shared" si="229"/>
        <v>0</v>
      </c>
      <c r="AZ116" s="429">
        <f t="shared" si="230"/>
        <v>0</v>
      </c>
      <c r="BA116" s="429">
        <f t="shared" si="231"/>
        <v>0</v>
      </c>
      <c r="BB116" s="429">
        <f t="shared" si="232"/>
        <v>0</v>
      </c>
      <c r="BC116" s="429">
        <f t="shared" si="233"/>
        <v>0</v>
      </c>
      <c r="BD116" s="429">
        <f t="shared" si="234"/>
        <v>0</v>
      </c>
      <c r="BE116" s="429">
        <f t="shared" si="235"/>
        <v>0</v>
      </c>
      <c r="BF116" s="429">
        <f t="shared" si="235"/>
        <v>0</v>
      </c>
      <c r="BG116" s="429">
        <f t="shared" si="235"/>
        <v>0</v>
      </c>
      <c r="BH116" s="429">
        <f t="shared" si="235"/>
        <v>0</v>
      </c>
      <c r="BI116" s="429">
        <f t="shared" si="235"/>
        <v>0</v>
      </c>
      <c r="BJ116" s="429">
        <f t="shared" si="235"/>
        <v>0</v>
      </c>
      <c r="BK116" s="403">
        <f t="shared" si="207"/>
        <v>0</v>
      </c>
      <c r="BL116" s="429">
        <f t="shared" ref="BL116:BW116" si="330">AS116*X116</f>
        <v>0</v>
      </c>
      <c r="BM116" s="429">
        <f t="shared" si="330"/>
        <v>0</v>
      </c>
      <c r="BN116" s="1237">
        <f t="shared" si="330"/>
        <v>0</v>
      </c>
      <c r="BO116" s="1241">
        <f t="shared" si="330"/>
        <v>0</v>
      </c>
      <c r="BP116" s="429">
        <f t="shared" si="330"/>
        <v>0</v>
      </c>
      <c r="BQ116" s="429">
        <f t="shared" si="330"/>
        <v>0</v>
      </c>
      <c r="BR116" s="429">
        <f t="shared" si="330"/>
        <v>0</v>
      </c>
      <c r="BS116" s="429">
        <f t="shared" si="330"/>
        <v>0</v>
      </c>
      <c r="BT116" s="429">
        <f t="shared" si="330"/>
        <v>0</v>
      </c>
      <c r="BU116" s="429">
        <f t="shared" si="330"/>
        <v>0</v>
      </c>
      <c r="BV116" s="429">
        <f t="shared" si="330"/>
        <v>0</v>
      </c>
      <c r="BW116" s="429">
        <f t="shared" si="330"/>
        <v>0</v>
      </c>
      <c r="BX116" s="300">
        <f>BK116*14%</f>
        <v>0</v>
      </c>
      <c r="BY116" s="300">
        <f t="shared" si="211"/>
        <v>0</v>
      </c>
      <c r="BZ116" s="301">
        <f t="shared" si="319"/>
        <v>0</v>
      </c>
      <c r="CA116" s="302">
        <f t="shared" si="217"/>
        <v>0</v>
      </c>
      <c r="CB116" s="276"/>
      <c r="CC116" s="1081"/>
      <c r="CD116" s="1081"/>
      <c r="CE116" s="1083"/>
      <c r="CF116" s="1084"/>
      <c r="CG116" s="862"/>
      <c r="CH116" s="862"/>
      <c r="CI116" s="1128"/>
      <c r="CJ116" s="1128"/>
      <c r="CK116" s="862"/>
      <c r="CL116" s="862"/>
      <c r="CM116" s="862"/>
      <c r="CN116" s="862"/>
      <c r="CO116" s="1128">
        <f t="shared" si="221"/>
        <v>0</v>
      </c>
      <c r="CP116" s="862"/>
      <c r="CQ116" s="862"/>
      <c r="CR116" s="862"/>
      <c r="CS116" s="862"/>
      <c r="CT116" s="862"/>
      <c r="CU116" s="862"/>
      <c r="CV116" s="862"/>
      <c r="CW116" s="862"/>
      <c r="CX116" s="862"/>
      <c r="CY116" s="73">
        <f t="shared" si="215"/>
        <v>0</v>
      </c>
      <c r="CZ116" s="862"/>
      <c r="DA116" s="862"/>
      <c r="DB116" s="1128"/>
      <c r="DC116" s="862"/>
      <c r="DD116" s="862"/>
      <c r="DE116" s="862"/>
      <c r="DF116" s="862"/>
      <c r="DG116" s="862"/>
      <c r="DH116" s="1128"/>
      <c r="DI116" s="862"/>
      <c r="DJ116" s="862"/>
      <c r="DK116" s="862"/>
      <c r="DL116" s="862"/>
      <c r="DM116" s="862"/>
      <c r="DN116" s="862"/>
      <c r="DO116" s="862"/>
      <c r="DP116" s="862"/>
      <c r="DQ116" s="862"/>
      <c r="DR116" s="73">
        <f t="shared" si="216"/>
        <v>0</v>
      </c>
      <c r="DS116" s="303"/>
      <c r="DT116" s="303"/>
      <c r="DU116" s="423"/>
      <c r="DV116" s="303"/>
      <c r="DW116" s="303"/>
      <c r="DX116" s="303"/>
      <c r="DY116" s="304"/>
      <c r="DZ116" s="304"/>
      <c r="EA116" s="304"/>
      <c r="EB116" s="304"/>
      <c r="EC116" s="304"/>
      <c r="ED116" s="304"/>
      <c r="EE116" s="304"/>
      <c r="EF116" s="304"/>
      <c r="EG116" s="304"/>
      <c r="EH116" s="304"/>
      <c r="EI116" s="304"/>
    </row>
    <row r="117" spans="1:157" s="278" customFormat="1" ht="24.75" customHeight="1" x14ac:dyDescent="0.2">
      <c r="A117" s="786">
        <v>18</v>
      </c>
      <c r="B117" s="460" t="s">
        <v>89</v>
      </c>
      <c r="C117" s="281" t="s">
        <v>25</v>
      </c>
      <c r="D117" s="573">
        <v>9</v>
      </c>
      <c r="E117" s="992"/>
      <c r="F117" s="342"/>
      <c r="G117" s="901"/>
      <c r="H117" s="576"/>
      <c r="I117" s="576"/>
      <c r="J117" s="1297">
        <v>9</v>
      </c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840">
        <f t="shared" si="192"/>
        <v>9</v>
      </c>
      <c r="X117" s="574" t="s">
        <v>31</v>
      </c>
      <c r="Y117" s="142">
        <v>10300</v>
      </c>
      <c r="Z117" s="1551"/>
      <c r="AA117" s="569"/>
      <c r="AB117" s="569"/>
      <c r="AC117" s="569"/>
      <c r="AD117" s="1007"/>
      <c r="AE117" s="1447">
        <v>10300</v>
      </c>
      <c r="AF117" s="569"/>
      <c r="AG117" s="569"/>
      <c r="AH117" s="569"/>
      <c r="AI117" s="569"/>
      <c r="AJ117" s="569"/>
      <c r="AK117" s="569"/>
      <c r="AL117" s="569"/>
      <c r="AM117" s="569"/>
      <c r="AN117" s="569"/>
      <c r="AO117" s="569"/>
      <c r="AP117" s="569"/>
      <c r="AQ117" s="569"/>
      <c r="AR117" s="570">
        <f t="shared" si="327"/>
        <v>92700</v>
      </c>
      <c r="AS117" s="1199">
        <f t="shared" si="223"/>
        <v>0</v>
      </c>
      <c r="AT117" s="402">
        <f t="shared" si="224"/>
        <v>0</v>
      </c>
      <c r="AU117" s="1199">
        <f t="shared" si="225"/>
        <v>0</v>
      </c>
      <c r="AV117" s="1199">
        <f t="shared" si="226"/>
        <v>0</v>
      </c>
      <c r="AW117" s="1199">
        <f t="shared" si="227"/>
        <v>0</v>
      </c>
      <c r="AX117" s="1298">
        <f t="shared" si="228"/>
        <v>92700</v>
      </c>
      <c r="AY117" s="402">
        <f t="shared" si="229"/>
        <v>0</v>
      </c>
      <c r="AZ117" s="402">
        <f t="shared" si="230"/>
        <v>0</v>
      </c>
      <c r="BA117" s="402">
        <f t="shared" si="231"/>
        <v>0</v>
      </c>
      <c r="BB117" s="402">
        <f t="shared" si="232"/>
        <v>0</v>
      </c>
      <c r="BC117" s="402">
        <f t="shared" si="233"/>
        <v>0</v>
      </c>
      <c r="BD117" s="402">
        <f t="shared" si="234"/>
        <v>0</v>
      </c>
      <c r="BE117" s="402">
        <f t="shared" si="235"/>
        <v>0</v>
      </c>
      <c r="BF117" s="402">
        <f t="shared" si="235"/>
        <v>0</v>
      </c>
      <c r="BG117" s="402">
        <f t="shared" si="235"/>
        <v>0</v>
      </c>
      <c r="BH117" s="402">
        <f t="shared" si="235"/>
        <v>0</v>
      </c>
      <c r="BI117" s="402">
        <f t="shared" si="235"/>
        <v>0</v>
      </c>
      <c r="BJ117" s="402">
        <f t="shared" si="235"/>
        <v>0</v>
      </c>
      <c r="BK117" s="403">
        <f t="shared" si="207"/>
        <v>92700</v>
      </c>
      <c r="BL117" s="402">
        <f>SUM(AS117*14%)</f>
        <v>0</v>
      </c>
      <c r="BM117" s="402">
        <f>SUM(AT117*14%)</f>
        <v>0</v>
      </c>
      <c r="BN117" s="1199">
        <f>SUM(AU117*14%)</f>
        <v>0</v>
      </c>
      <c r="BO117" s="1199">
        <f>SUM(AV117*14%)</f>
        <v>0</v>
      </c>
      <c r="BP117" s="402">
        <f>SUM(AW117*14%)</f>
        <v>0</v>
      </c>
      <c r="BQ117" s="402">
        <f>SUM(AX117*12%)</f>
        <v>11124</v>
      </c>
      <c r="BR117" s="402">
        <f t="shared" ref="BR117:BW117" si="331">SUM(AY117*14%)</f>
        <v>0</v>
      </c>
      <c r="BS117" s="402">
        <f t="shared" si="331"/>
        <v>0</v>
      </c>
      <c r="BT117" s="402">
        <f t="shared" si="331"/>
        <v>0</v>
      </c>
      <c r="BU117" s="402">
        <f t="shared" si="331"/>
        <v>0</v>
      </c>
      <c r="BV117" s="402">
        <f t="shared" si="331"/>
        <v>0</v>
      </c>
      <c r="BW117" s="402">
        <f t="shared" si="331"/>
        <v>0</v>
      </c>
      <c r="BX117" s="344">
        <f>SUM(BL117:BW117)</f>
        <v>11124</v>
      </c>
      <c r="BY117" s="790">
        <f>AR117-BK117</f>
        <v>0</v>
      </c>
      <c r="BZ117" s="791">
        <f t="shared" si="319"/>
        <v>92700</v>
      </c>
      <c r="CA117" s="792">
        <f>BZ117-BK117</f>
        <v>0</v>
      </c>
      <c r="CB117" s="571">
        <f>SUM(W117/D117)</f>
        <v>1</v>
      </c>
      <c r="CC117" s="1081"/>
      <c r="CD117" s="1081"/>
      <c r="CE117" s="1107"/>
      <c r="CF117" s="1084"/>
      <c r="CG117" s="862"/>
      <c r="CH117" s="862"/>
      <c r="CI117" s="1128"/>
      <c r="CJ117" s="1128"/>
      <c r="CK117" s="862"/>
      <c r="CL117" s="862"/>
      <c r="CM117" s="862"/>
      <c r="CN117" s="862"/>
      <c r="CO117" s="1128">
        <f t="shared" si="221"/>
        <v>0</v>
      </c>
      <c r="CP117" s="862"/>
      <c r="CQ117" s="862"/>
      <c r="CR117" s="862"/>
      <c r="CS117" s="862"/>
      <c r="CT117" s="862"/>
      <c r="CU117" s="862"/>
      <c r="CV117" s="862"/>
      <c r="CW117" s="862"/>
      <c r="CX117" s="862"/>
      <c r="CY117" s="73">
        <f t="shared" si="215"/>
        <v>0</v>
      </c>
      <c r="CZ117" s="862"/>
      <c r="DA117" s="862"/>
      <c r="DB117" s="1128"/>
      <c r="DC117" s="862"/>
      <c r="DD117" s="862"/>
      <c r="DE117" s="862"/>
      <c r="DF117" s="862"/>
      <c r="DG117" s="862"/>
      <c r="DH117" s="1128"/>
      <c r="DI117" s="862"/>
      <c r="DJ117" s="862"/>
      <c r="DK117" s="862"/>
      <c r="DL117" s="862"/>
      <c r="DM117" s="862"/>
      <c r="DN117" s="862"/>
      <c r="DO117" s="862"/>
      <c r="DP117" s="862"/>
      <c r="DQ117" s="862"/>
      <c r="DR117" s="73">
        <f t="shared" si="216"/>
        <v>0</v>
      </c>
      <c r="DS117" s="412"/>
      <c r="DT117" s="412"/>
      <c r="DU117" s="420"/>
      <c r="DV117" s="412"/>
      <c r="DW117" s="412"/>
      <c r="DX117" s="412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</row>
    <row r="118" spans="1:157" s="305" customFormat="1" ht="32.25" customHeight="1" x14ac:dyDescent="0.2">
      <c r="A118" s="294"/>
      <c r="B118" s="255" t="s">
        <v>198</v>
      </c>
      <c r="C118" s="295"/>
      <c r="D118" s="251"/>
      <c r="E118" s="993"/>
      <c r="F118" s="297"/>
      <c r="G118" s="1239"/>
      <c r="H118" s="1207"/>
      <c r="I118" s="1207"/>
      <c r="J118" s="1297"/>
      <c r="K118" s="1184"/>
      <c r="L118" s="1184"/>
      <c r="M118" s="1184"/>
      <c r="N118" s="1184"/>
      <c r="O118" s="1184"/>
      <c r="P118" s="1184"/>
      <c r="Q118" s="1184"/>
      <c r="R118" s="1184"/>
      <c r="S118" s="1184"/>
      <c r="T118" s="1184"/>
      <c r="U118" s="1184"/>
      <c r="V118" s="1184"/>
      <c r="W118" s="840">
        <f t="shared" si="192"/>
        <v>0</v>
      </c>
      <c r="X118" s="252"/>
      <c r="Y118" s="253"/>
      <c r="Z118" s="996"/>
      <c r="AA118" s="440"/>
      <c r="AB118" s="1186"/>
      <c r="AC118" s="440"/>
      <c r="AD118" s="1428"/>
      <c r="AE118" s="1194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271">
        <f t="shared" si="327"/>
        <v>0</v>
      </c>
      <c r="AS118" s="1241">
        <f t="shared" si="223"/>
        <v>0</v>
      </c>
      <c r="AT118" s="429">
        <f t="shared" si="224"/>
        <v>0</v>
      </c>
      <c r="AU118" s="1237">
        <f t="shared" si="225"/>
        <v>0</v>
      </c>
      <c r="AV118" s="1241">
        <f t="shared" si="226"/>
        <v>0</v>
      </c>
      <c r="AW118" s="1241">
        <f t="shared" si="227"/>
        <v>0</v>
      </c>
      <c r="AX118" s="1477">
        <f t="shared" si="228"/>
        <v>0</v>
      </c>
      <c r="AY118" s="429">
        <f t="shared" si="229"/>
        <v>0</v>
      </c>
      <c r="AZ118" s="429">
        <f t="shared" si="230"/>
        <v>0</v>
      </c>
      <c r="BA118" s="429">
        <f t="shared" si="231"/>
        <v>0</v>
      </c>
      <c r="BB118" s="429">
        <f t="shared" si="232"/>
        <v>0</v>
      </c>
      <c r="BC118" s="429">
        <f t="shared" si="233"/>
        <v>0</v>
      </c>
      <c r="BD118" s="429">
        <f t="shared" si="234"/>
        <v>0</v>
      </c>
      <c r="BE118" s="429">
        <f t="shared" si="235"/>
        <v>0</v>
      </c>
      <c r="BF118" s="429">
        <f t="shared" si="235"/>
        <v>0</v>
      </c>
      <c r="BG118" s="429">
        <f t="shared" si="235"/>
        <v>0</v>
      </c>
      <c r="BH118" s="429">
        <f t="shared" si="235"/>
        <v>0</v>
      </c>
      <c r="BI118" s="429">
        <f t="shared" si="235"/>
        <v>0</v>
      </c>
      <c r="BJ118" s="429">
        <f t="shared" si="235"/>
        <v>0</v>
      </c>
      <c r="BK118" s="403">
        <f t="shared" si="207"/>
        <v>0</v>
      </c>
      <c r="BL118" s="429">
        <f t="shared" ref="BL118:BW118" si="332">AS118*X118</f>
        <v>0</v>
      </c>
      <c r="BM118" s="429">
        <f t="shared" si="332"/>
        <v>0</v>
      </c>
      <c r="BN118" s="1237">
        <f t="shared" si="332"/>
        <v>0</v>
      </c>
      <c r="BO118" s="1241">
        <f t="shared" si="332"/>
        <v>0</v>
      </c>
      <c r="BP118" s="429">
        <f t="shared" si="332"/>
        <v>0</v>
      </c>
      <c r="BQ118" s="429">
        <f t="shared" si="332"/>
        <v>0</v>
      </c>
      <c r="BR118" s="429">
        <f t="shared" si="332"/>
        <v>0</v>
      </c>
      <c r="BS118" s="429">
        <f t="shared" si="332"/>
        <v>0</v>
      </c>
      <c r="BT118" s="429">
        <f t="shared" si="332"/>
        <v>0</v>
      </c>
      <c r="BU118" s="429">
        <f t="shared" si="332"/>
        <v>0</v>
      </c>
      <c r="BV118" s="429">
        <f t="shared" si="332"/>
        <v>0</v>
      </c>
      <c r="BW118" s="429">
        <f t="shared" si="332"/>
        <v>0</v>
      </c>
      <c r="BX118" s="300">
        <f>BK118*14%</f>
        <v>0</v>
      </c>
      <c r="BY118" s="300">
        <f t="shared" si="211"/>
        <v>0</v>
      </c>
      <c r="BZ118" s="301">
        <f t="shared" si="319"/>
        <v>0</v>
      </c>
      <c r="CA118" s="302">
        <f t="shared" si="217"/>
        <v>0</v>
      </c>
      <c r="CB118" s="276"/>
      <c r="CC118" s="1081"/>
      <c r="CD118" s="1081"/>
      <c r="CE118" s="1083"/>
      <c r="CF118" s="1084"/>
      <c r="CG118" s="862"/>
      <c r="CH118" s="862"/>
      <c r="CI118" s="1128"/>
      <c r="CJ118" s="1128"/>
      <c r="CK118" s="862"/>
      <c r="CL118" s="862"/>
      <c r="CM118" s="862"/>
      <c r="CN118" s="862"/>
      <c r="CO118" s="1128">
        <f t="shared" si="221"/>
        <v>0</v>
      </c>
      <c r="CP118" s="862"/>
      <c r="CQ118" s="862"/>
      <c r="CR118" s="862"/>
      <c r="CS118" s="862"/>
      <c r="CT118" s="862"/>
      <c r="CU118" s="862"/>
      <c r="CV118" s="862"/>
      <c r="CW118" s="862"/>
      <c r="CX118" s="862"/>
      <c r="CY118" s="73">
        <f t="shared" si="215"/>
        <v>0</v>
      </c>
      <c r="CZ118" s="862"/>
      <c r="DA118" s="862"/>
      <c r="DB118" s="1128"/>
      <c r="DC118" s="862"/>
      <c r="DD118" s="862"/>
      <c r="DE118" s="862"/>
      <c r="DF118" s="862"/>
      <c r="DG118" s="862"/>
      <c r="DH118" s="1128"/>
      <c r="DI118" s="862"/>
      <c r="DJ118" s="862"/>
      <c r="DK118" s="862"/>
      <c r="DL118" s="862"/>
      <c r="DM118" s="862"/>
      <c r="DN118" s="862"/>
      <c r="DO118" s="862"/>
      <c r="DP118" s="862"/>
      <c r="DQ118" s="862"/>
      <c r="DR118" s="73">
        <f t="shared" si="216"/>
        <v>0</v>
      </c>
      <c r="DS118" s="303"/>
      <c r="DT118" s="303"/>
      <c r="DU118" s="423"/>
      <c r="DV118" s="303"/>
      <c r="DW118" s="303"/>
      <c r="DX118" s="303"/>
      <c r="DY118" s="304"/>
      <c r="DZ118" s="304"/>
      <c r="EA118" s="304"/>
      <c r="EB118" s="304"/>
      <c r="EC118" s="304"/>
      <c r="ED118" s="304"/>
      <c r="EE118" s="304"/>
      <c r="EF118" s="304"/>
      <c r="EG118" s="304"/>
      <c r="EH118" s="304"/>
      <c r="EI118" s="304"/>
    </row>
    <row r="119" spans="1:157" s="1438" customFormat="1" ht="24.75" customHeight="1" x14ac:dyDescent="0.2">
      <c r="A119" s="1423">
        <v>19</v>
      </c>
      <c r="B119" s="1264" t="s">
        <v>368</v>
      </c>
      <c r="C119" s="1425" t="s">
        <v>25</v>
      </c>
      <c r="D119" s="1448">
        <f>4*9</f>
        <v>36</v>
      </c>
      <c r="E119" s="993"/>
      <c r="F119" s="464"/>
      <c r="G119" s="1239">
        <v>18</v>
      </c>
      <c r="H119" s="1207"/>
      <c r="I119" s="1207"/>
      <c r="J119" s="1297">
        <v>18</v>
      </c>
      <c r="K119" s="1207"/>
      <c r="L119" s="1207"/>
      <c r="M119" s="1207"/>
      <c r="N119" s="1207"/>
      <c r="O119" s="1207"/>
      <c r="P119" s="1207"/>
      <c r="Q119" s="1207"/>
      <c r="R119" s="1207"/>
      <c r="S119" s="1207"/>
      <c r="T119" s="1207"/>
      <c r="U119" s="1207"/>
      <c r="V119" s="1207"/>
      <c r="W119" s="1426">
        <f t="shared" si="192"/>
        <v>36</v>
      </c>
      <c r="X119" s="1439" t="s">
        <v>31</v>
      </c>
      <c r="Y119" s="1449">
        <v>28500</v>
      </c>
      <c r="Z119" s="996"/>
      <c r="AA119" s="1428"/>
      <c r="AB119" s="1234">
        <v>28000</v>
      </c>
      <c r="AC119" s="1428"/>
      <c r="AD119" s="1428"/>
      <c r="AE119" s="1194">
        <v>28000</v>
      </c>
      <c r="AF119" s="1428"/>
      <c r="AG119" s="1428"/>
      <c r="AH119" s="1428"/>
      <c r="AI119" s="1428"/>
      <c r="AJ119" s="1428"/>
      <c r="AK119" s="1428"/>
      <c r="AL119" s="1428"/>
      <c r="AM119" s="1428"/>
      <c r="AN119" s="1428"/>
      <c r="AO119" s="1428"/>
      <c r="AP119" s="1428"/>
      <c r="AQ119" s="1428"/>
      <c r="AR119" s="1430">
        <f t="shared" si="327"/>
        <v>1026000</v>
      </c>
      <c r="AS119" s="1199">
        <f t="shared" si="223"/>
        <v>0</v>
      </c>
      <c r="AT119" s="1199">
        <f t="shared" si="224"/>
        <v>0</v>
      </c>
      <c r="AU119" s="1213">
        <f t="shared" si="225"/>
        <v>504000</v>
      </c>
      <c r="AV119" s="1199">
        <f t="shared" si="226"/>
        <v>0</v>
      </c>
      <c r="AW119" s="1199">
        <f t="shared" si="227"/>
        <v>0</v>
      </c>
      <c r="AX119" s="1298">
        <f t="shared" si="228"/>
        <v>504000</v>
      </c>
      <c r="AY119" s="1199">
        <f t="shared" si="229"/>
        <v>0</v>
      </c>
      <c r="AZ119" s="1199">
        <f t="shared" si="230"/>
        <v>0</v>
      </c>
      <c r="BA119" s="1199">
        <f t="shared" si="231"/>
        <v>0</v>
      </c>
      <c r="BB119" s="1199">
        <f t="shared" si="232"/>
        <v>0</v>
      </c>
      <c r="BC119" s="1199">
        <f t="shared" si="233"/>
        <v>0</v>
      </c>
      <c r="BD119" s="1199">
        <f t="shared" si="234"/>
        <v>0</v>
      </c>
      <c r="BE119" s="1199">
        <f t="shared" si="235"/>
        <v>0</v>
      </c>
      <c r="BF119" s="1199">
        <f t="shared" si="235"/>
        <v>0</v>
      </c>
      <c r="BG119" s="1199">
        <f t="shared" si="235"/>
        <v>0</v>
      </c>
      <c r="BH119" s="1199">
        <f t="shared" si="235"/>
        <v>0</v>
      </c>
      <c r="BI119" s="1199">
        <f t="shared" si="235"/>
        <v>0</v>
      </c>
      <c r="BJ119" s="1199">
        <f t="shared" si="235"/>
        <v>0</v>
      </c>
      <c r="BK119" s="1231">
        <f t="shared" si="207"/>
        <v>1008000</v>
      </c>
      <c r="BL119" s="1199">
        <f>SUM(AS119*14%)</f>
        <v>0</v>
      </c>
      <c r="BM119" s="1199">
        <f>SUM(AT119*14%)</f>
        <v>0</v>
      </c>
      <c r="BN119" s="1213">
        <f>SUM(AU119*12%)</f>
        <v>60480</v>
      </c>
      <c r="BO119" s="1199">
        <f>SUM(AV119*4%)</f>
        <v>0</v>
      </c>
      <c r="BP119" s="1199">
        <f>SUM(AW119*4%)</f>
        <v>0</v>
      </c>
      <c r="BQ119" s="1199">
        <f t="shared" ref="BQ119:BW119" si="333">SUM(AX119*14%)</f>
        <v>70560</v>
      </c>
      <c r="BR119" s="1199">
        <f t="shared" si="333"/>
        <v>0</v>
      </c>
      <c r="BS119" s="1199">
        <f t="shared" si="333"/>
        <v>0</v>
      </c>
      <c r="BT119" s="1199">
        <f t="shared" si="333"/>
        <v>0</v>
      </c>
      <c r="BU119" s="1199">
        <f t="shared" si="333"/>
        <v>0</v>
      </c>
      <c r="BV119" s="1199">
        <f t="shared" si="333"/>
        <v>0</v>
      </c>
      <c r="BW119" s="1199">
        <f t="shared" si="333"/>
        <v>0</v>
      </c>
      <c r="BX119" s="1256">
        <f>SUM(BL119:BW119)</f>
        <v>131040</v>
      </c>
      <c r="BY119" s="1431">
        <f>AR119-BK119</f>
        <v>18000</v>
      </c>
      <c r="BZ119" s="1432">
        <f t="shared" si="319"/>
        <v>1026000</v>
      </c>
      <c r="CA119" s="1433">
        <f>BZ119-BK119</f>
        <v>18000</v>
      </c>
      <c r="CB119" s="1434">
        <f>SUM(W119/D119)</f>
        <v>1</v>
      </c>
      <c r="CC119" s="1128">
        <f>SUM(AU119-BN119)</f>
        <v>443520</v>
      </c>
      <c r="CD119" s="1128">
        <f>18*24000</f>
        <v>432000</v>
      </c>
      <c r="CE119" s="1148">
        <f>CC119-CD119</f>
        <v>11520</v>
      </c>
      <c r="CF119" s="1149"/>
      <c r="CG119" s="1128"/>
      <c r="CH119" s="1128"/>
      <c r="CI119" s="1128"/>
      <c r="CJ119" s="1128"/>
      <c r="CK119" s="1128"/>
      <c r="CL119" s="1128"/>
      <c r="CM119" s="1128"/>
      <c r="CN119" s="1128"/>
      <c r="CO119" s="1128">
        <f t="shared" si="221"/>
        <v>0</v>
      </c>
      <c r="CP119" s="1128"/>
      <c r="CQ119" s="1128"/>
      <c r="CR119" s="1128"/>
      <c r="CS119" s="1128"/>
      <c r="CT119" s="1128"/>
      <c r="CU119" s="1128"/>
      <c r="CV119" s="1128"/>
      <c r="CW119" s="1128"/>
      <c r="CX119" s="1128"/>
      <c r="CY119" s="1144">
        <f t="shared" si="215"/>
        <v>0</v>
      </c>
      <c r="CZ119" s="1128"/>
      <c r="DA119" s="1128"/>
      <c r="DB119" s="1128"/>
      <c r="DC119" s="1128"/>
      <c r="DD119" s="1128"/>
      <c r="DE119" s="1128"/>
      <c r="DF119" s="1128"/>
      <c r="DG119" s="1128"/>
      <c r="DH119" s="1128"/>
      <c r="DI119" s="1128"/>
      <c r="DJ119" s="1128"/>
      <c r="DK119" s="1128"/>
      <c r="DL119" s="1128"/>
      <c r="DM119" s="1128"/>
      <c r="DN119" s="1128"/>
      <c r="DO119" s="1128"/>
      <c r="DP119" s="1128"/>
      <c r="DQ119" s="1128"/>
      <c r="DR119" s="1144">
        <f t="shared" si="216"/>
        <v>0</v>
      </c>
      <c r="DS119" s="1435"/>
      <c r="DT119" s="1435"/>
      <c r="DU119" s="1436"/>
      <c r="DV119" s="1435"/>
      <c r="DW119" s="1435"/>
      <c r="DX119" s="1435"/>
      <c r="DY119" s="1437"/>
      <c r="DZ119" s="1437"/>
      <c r="EA119" s="1437"/>
      <c r="EB119" s="1437"/>
      <c r="EC119" s="1437"/>
      <c r="ED119" s="1437"/>
      <c r="EE119" s="1437"/>
      <c r="EF119" s="1437"/>
      <c r="EG119" s="1437"/>
      <c r="EH119" s="1437"/>
      <c r="EI119" s="1437"/>
    </row>
    <row r="120" spans="1:157" s="305" customFormat="1" ht="24.75" customHeight="1" x14ac:dyDescent="0.2">
      <c r="A120" s="294"/>
      <c r="B120" s="255" t="s">
        <v>199</v>
      </c>
      <c r="C120" s="295"/>
      <c r="D120" s="251"/>
      <c r="E120" s="993"/>
      <c r="F120" s="297"/>
      <c r="G120" s="1239"/>
      <c r="H120" s="1207"/>
      <c r="I120" s="1207"/>
      <c r="J120" s="1297"/>
      <c r="K120" s="1184"/>
      <c r="L120" s="1184"/>
      <c r="M120" s="1184"/>
      <c r="N120" s="1184"/>
      <c r="O120" s="1184"/>
      <c r="P120" s="1184"/>
      <c r="Q120" s="1184"/>
      <c r="R120" s="1184"/>
      <c r="S120" s="1184"/>
      <c r="T120" s="1184"/>
      <c r="U120" s="1184"/>
      <c r="V120" s="1184"/>
      <c r="W120" s="840">
        <f t="shared" si="192"/>
        <v>0</v>
      </c>
      <c r="X120" s="252"/>
      <c r="Y120" s="253"/>
      <c r="Z120" s="1000"/>
      <c r="AA120" s="440"/>
      <c r="AB120" s="1186"/>
      <c r="AC120" s="440"/>
      <c r="AD120" s="1428"/>
      <c r="AE120" s="1194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271">
        <f t="shared" si="327"/>
        <v>0</v>
      </c>
      <c r="AS120" s="1241">
        <f t="shared" si="223"/>
        <v>0</v>
      </c>
      <c r="AT120" s="429">
        <f t="shared" si="224"/>
        <v>0</v>
      </c>
      <c r="AU120" s="1237">
        <f t="shared" si="225"/>
        <v>0</v>
      </c>
      <c r="AV120" s="1241">
        <f t="shared" si="226"/>
        <v>0</v>
      </c>
      <c r="AW120" s="1241">
        <f t="shared" si="227"/>
        <v>0</v>
      </c>
      <c r="AX120" s="1477">
        <f t="shared" si="228"/>
        <v>0</v>
      </c>
      <c r="AY120" s="429">
        <f t="shared" si="229"/>
        <v>0</v>
      </c>
      <c r="AZ120" s="429">
        <f t="shared" si="230"/>
        <v>0</v>
      </c>
      <c r="BA120" s="429">
        <f t="shared" si="231"/>
        <v>0</v>
      </c>
      <c r="BB120" s="429">
        <f t="shared" si="232"/>
        <v>0</v>
      </c>
      <c r="BC120" s="429">
        <f t="shared" si="233"/>
        <v>0</v>
      </c>
      <c r="BD120" s="429">
        <f t="shared" si="234"/>
        <v>0</v>
      </c>
      <c r="BE120" s="429">
        <f t="shared" si="235"/>
        <v>0</v>
      </c>
      <c r="BF120" s="429">
        <f t="shared" si="235"/>
        <v>0</v>
      </c>
      <c r="BG120" s="429">
        <f t="shared" si="235"/>
        <v>0</v>
      </c>
      <c r="BH120" s="429">
        <f t="shared" si="235"/>
        <v>0</v>
      </c>
      <c r="BI120" s="429">
        <f t="shared" si="235"/>
        <v>0</v>
      </c>
      <c r="BJ120" s="429">
        <f t="shared" si="235"/>
        <v>0</v>
      </c>
      <c r="BK120" s="403">
        <f t="shared" si="207"/>
        <v>0</v>
      </c>
      <c r="BL120" s="429">
        <f t="shared" ref="BL120:BW120" si="334">AS120*X120</f>
        <v>0</v>
      </c>
      <c r="BM120" s="429">
        <f t="shared" si="334"/>
        <v>0</v>
      </c>
      <c r="BN120" s="1237">
        <f t="shared" si="334"/>
        <v>0</v>
      </c>
      <c r="BO120" s="1241">
        <f t="shared" si="334"/>
        <v>0</v>
      </c>
      <c r="BP120" s="429">
        <f t="shared" si="334"/>
        <v>0</v>
      </c>
      <c r="BQ120" s="429">
        <f t="shared" si="334"/>
        <v>0</v>
      </c>
      <c r="BR120" s="429">
        <f t="shared" si="334"/>
        <v>0</v>
      </c>
      <c r="BS120" s="429">
        <f t="shared" si="334"/>
        <v>0</v>
      </c>
      <c r="BT120" s="429">
        <f t="shared" si="334"/>
        <v>0</v>
      </c>
      <c r="BU120" s="429">
        <f t="shared" si="334"/>
        <v>0</v>
      </c>
      <c r="BV120" s="429">
        <f t="shared" si="334"/>
        <v>0</v>
      </c>
      <c r="BW120" s="429">
        <f t="shared" si="334"/>
        <v>0</v>
      </c>
      <c r="BX120" s="300">
        <f>BK120*4%</f>
        <v>0</v>
      </c>
      <c r="BY120" s="300">
        <f t="shared" si="211"/>
        <v>0</v>
      </c>
      <c r="BZ120" s="301">
        <f t="shared" si="319"/>
        <v>0</v>
      </c>
      <c r="CA120" s="302">
        <f t="shared" si="217"/>
        <v>0</v>
      </c>
      <c r="CB120" s="276"/>
      <c r="CC120" s="1081"/>
      <c r="CD120" s="1081"/>
      <c r="CE120" s="1083"/>
      <c r="CF120" s="1084"/>
      <c r="CG120" s="862"/>
      <c r="CH120" s="862"/>
      <c r="CI120" s="862"/>
      <c r="CJ120" s="862"/>
      <c r="CK120" s="862"/>
      <c r="CL120" s="862"/>
      <c r="CM120" s="862"/>
      <c r="CN120" s="862"/>
      <c r="CO120" s="1128">
        <f t="shared" si="221"/>
        <v>0</v>
      </c>
      <c r="CP120" s="862"/>
      <c r="CQ120" s="862"/>
      <c r="CR120" s="862"/>
      <c r="CS120" s="862"/>
      <c r="CT120" s="862"/>
      <c r="CU120" s="862"/>
      <c r="CV120" s="862"/>
      <c r="CW120" s="862"/>
      <c r="CX120" s="862"/>
      <c r="CY120" s="73">
        <f t="shared" si="215"/>
        <v>0</v>
      </c>
      <c r="CZ120" s="862"/>
      <c r="DA120" s="862"/>
      <c r="DB120" s="862"/>
      <c r="DC120" s="862"/>
      <c r="DD120" s="862"/>
      <c r="DE120" s="862"/>
      <c r="DF120" s="862"/>
      <c r="DG120" s="862"/>
      <c r="DH120" s="1128"/>
      <c r="DI120" s="862"/>
      <c r="DJ120" s="862"/>
      <c r="DK120" s="862"/>
      <c r="DL120" s="862"/>
      <c r="DM120" s="862"/>
      <c r="DN120" s="862"/>
      <c r="DO120" s="862"/>
      <c r="DP120" s="862"/>
      <c r="DQ120" s="862"/>
      <c r="DR120" s="73">
        <f t="shared" si="216"/>
        <v>0</v>
      </c>
      <c r="DS120" s="303"/>
      <c r="DT120" s="303"/>
      <c r="DU120" s="423"/>
      <c r="DV120" s="303"/>
      <c r="DW120" s="303"/>
      <c r="DX120" s="303"/>
      <c r="DY120" s="304"/>
      <c r="DZ120" s="304"/>
      <c r="EA120" s="304"/>
      <c r="EB120" s="304"/>
      <c r="EC120" s="304"/>
      <c r="ED120" s="304"/>
      <c r="EE120" s="304"/>
      <c r="EF120" s="304"/>
      <c r="EG120" s="304"/>
      <c r="EH120" s="304"/>
      <c r="EI120" s="304"/>
    </row>
    <row r="121" spans="1:157" s="305" customFormat="1" ht="24.75" customHeight="1" x14ac:dyDescent="0.2">
      <c r="A121" s="294">
        <v>20</v>
      </c>
      <c r="B121" s="250" t="s">
        <v>89</v>
      </c>
      <c r="C121" s="295" t="s">
        <v>25</v>
      </c>
      <c r="D121" s="551">
        <v>30</v>
      </c>
      <c r="E121" s="993"/>
      <c r="F121" s="297"/>
      <c r="G121" s="1239"/>
      <c r="H121" s="1207"/>
      <c r="I121" s="1207"/>
      <c r="J121" s="1297">
        <v>30</v>
      </c>
      <c r="K121" s="1184"/>
      <c r="L121" s="1184"/>
      <c r="M121" s="1184"/>
      <c r="N121" s="1184"/>
      <c r="O121" s="1184"/>
      <c r="P121" s="1184"/>
      <c r="Q121" s="1184"/>
      <c r="R121" s="1184"/>
      <c r="S121" s="1184"/>
      <c r="T121" s="1184"/>
      <c r="U121" s="1184"/>
      <c r="V121" s="1184"/>
      <c r="W121" s="840">
        <f t="shared" si="192"/>
        <v>30</v>
      </c>
      <c r="X121" s="252" t="s">
        <v>31</v>
      </c>
      <c r="Y121" s="394">
        <v>10300</v>
      </c>
      <c r="Z121" s="1000"/>
      <c r="AA121" s="440"/>
      <c r="AB121" s="1186"/>
      <c r="AC121" s="440"/>
      <c r="AD121" s="1428"/>
      <c r="AE121" s="1194">
        <v>10300</v>
      </c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271">
        <f t="shared" si="327"/>
        <v>309000</v>
      </c>
      <c r="AS121" s="1199">
        <f t="shared" si="223"/>
        <v>0</v>
      </c>
      <c r="AT121" s="402">
        <f t="shared" si="224"/>
        <v>0</v>
      </c>
      <c r="AU121" s="1213">
        <f t="shared" si="225"/>
        <v>0</v>
      </c>
      <c r="AV121" s="1199">
        <f t="shared" si="226"/>
        <v>0</v>
      </c>
      <c r="AW121" s="1199">
        <f t="shared" si="227"/>
        <v>0</v>
      </c>
      <c r="AX121" s="1298">
        <f t="shared" si="228"/>
        <v>309000</v>
      </c>
      <c r="AY121" s="402">
        <f t="shared" si="229"/>
        <v>0</v>
      </c>
      <c r="AZ121" s="402">
        <f t="shared" si="230"/>
        <v>0</v>
      </c>
      <c r="BA121" s="402">
        <f t="shared" si="231"/>
        <v>0</v>
      </c>
      <c r="BB121" s="402">
        <f t="shared" si="232"/>
        <v>0</v>
      </c>
      <c r="BC121" s="402">
        <f t="shared" si="233"/>
        <v>0</v>
      </c>
      <c r="BD121" s="402">
        <f t="shared" si="234"/>
        <v>0</v>
      </c>
      <c r="BE121" s="402">
        <f t="shared" si="235"/>
        <v>0</v>
      </c>
      <c r="BF121" s="402">
        <f t="shared" si="235"/>
        <v>0</v>
      </c>
      <c r="BG121" s="402">
        <f t="shared" si="235"/>
        <v>0</v>
      </c>
      <c r="BH121" s="402">
        <f t="shared" si="235"/>
        <v>0</v>
      </c>
      <c r="BI121" s="402">
        <f t="shared" si="235"/>
        <v>0</v>
      </c>
      <c r="BJ121" s="402">
        <f t="shared" si="235"/>
        <v>0</v>
      </c>
      <c r="BK121" s="403">
        <f t="shared" si="207"/>
        <v>309000</v>
      </c>
      <c r="BL121" s="402">
        <f>SUM(AS121*14%)</f>
        <v>0</v>
      </c>
      <c r="BM121" s="402">
        <f>SUM(AT121*14%)</f>
        <v>0</v>
      </c>
      <c r="BN121" s="1213">
        <f>SUM(AU121*14%)</f>
        <v>0</v>
      </c>
      <c r="BO121" s="1199">
        <f>SUM(AV121*14%)</f>
        <v>0</v>
      </c>
      <c r="BP121" s="402">
        <f>SUM(AW121*14%)</f>
        <v>0</v>
      </c>
      <c r="BQ121" s="402">
        <f>SUM(AX121*4%)</f>
        <v>12360</v>
      </c>
      <c r="BR121" s="402">
        <f t="shared" ref="BR121:BW121" si="335">SUM(AY121*14%)</f>
        <v>0</v>
      </c>
      <c r="BS121" s="402">
        <f t="shared" si="335"/>
        <v>0</v>
      </c>
      <c r="BT121" s="402">
        <f t="shared" si="335"/>
        <v>0</v>
      </c>
      <c r="BU121" s="402">
        <f t="shared" si="335"/>
        <v>0</v>
      </c>
      <c r="BV121" s="402">
        <f t="shared" si="335"/>
        <v>0</v>
      </c>
      <c r="BW121" s="402">
        <f t="shared" si="335"/>
        <v>0</v>
      </c>
      <c r="BX121" s="344">
        <f>SUM(BL121:BW121)</f>
        <v>12360</v>
      </c>
      <c r="BY121" s="300">
        <f>AR121-BK121</f>
        <v>0</v>
      </c>
      <c r="BZ121" s="301">
        <f t="shared" si="319"/>
        <v>309000</v>
      </c>
      <c r="CA121" s="302">
        <f>BZ121-BK121</f>
        <v>0</v>
      </c>
      <c r="CB121" s="276">
        <f>SUM(W121/D121)</f>
        <v>1</v>
      </c>
      <c r="CC121" s="1081"/>
      <c r="CD121" s="1081"/>
      <c r="CE121" s="1083"/>
      <c r="CF121" s="1084"/>
      <c r="CG121" s="862"/>
      <c r="CH121" s="862"/>
      <c r="CI121" s="862"/>
      <c r="CJ121" s="862"/>
      <c r="CK121" s="862"/>
      <c r="CL121" s="862"/>
      <c r="CM121" s="862"/>
      <c r="CN121" s="862"/>
      <c r="CO121" s="1128">
        <f t="shared" si="221"/>
        <v>0</v>
      </c>
      <c r="CP121" s="862"/>
      <c r="CQ121" s="862"/>
      <c r="CR121" s="862"/>
      <c r="CS121" s="862"/>
      <c r="CT121" s="862"/>
      <c r="CU121" s="862"/>
      <c r="CV121" s="862"/>
      <c r="CW121" s="862"/>
      <c r="CX121" s="862"/>
      <c r="CY121" s="73">
        <f t="shared" si="215"/>
        <v>0</v>
      </c>
      <c r="CZ121" s="862"/>
      <c r="DA121" s="862"/>
      <c r="DB121" s="862"/>
      <c r="DC121" s="862"/>
      <c r="DD121" s="862"/>
      <c r="DE121" s="862"/>
      <c r="DF121" s="862"/>
      <c r="DG121" s="862"/>
      <c r="DH121" s="1128"/>
      <c r="DI121" s="862"/>
      <c r="DJ121" s="862"/>
      <c r="DK121" s="862"/>
      <c r="DL121" s="862"/>
      <c r="DM121" s="862"/>
      <c r="DN121" s="862"/>
      <c r="DO121" s="862"/>
      <c r="DP121" s="862"/>
      <c r="DQ121" s="862"/>
      <c r="DR121" s="73">
        <f t="shared" si="216"/>
        <v>0</v>
      </c>
      <c r="DS121" s="303"/>
      <c r="DT121" s="303"/>
      <c r="DU121" s="423"/>
      <c r="DV121" s="303"/>
      <c r="DW121" s="303"/>
      <c r="DX121" s="303"/>
      <c r="DY121" s="304"/>
      <c r="DZ121" s="304"/>
      <c r="EA121" s="304"/>
      <c r="EB121" s="304"/>
      <c r="EC121" s="304"/>
      <c r="ED121" s="304"/>
      <c r="EE121" s="304"/>
      <c r="EF121" s="304"/>
      <c r="EG121" s="304"/>
      <c r="EH121" s="304"/>
      <c r="EI121" s="304"/>
    </row>
    <row r="122" spans="1:157" s="305" customFormat="1" ht="32.25" customHeight="1" x14ac:dyDescent="0.2">
      <c r="A122" s="294">
        <f t="shared" si="218"/>
        <v>21</v>
      </c>
      <c r="B122" s="250" t="s">
        <v>90</v>
      </c>
      <c r="C122" s="295" t="s">
        <v>25</v>
      </c>
      <c r="D122" s="551">
        <v>30</v>
      </c>
      <c r="E122" s="993"/>
      <c r="F122" s="297"/>
      <c r="G122" s="1239"/>
      <c r="H122" s="1207"/>
      <c r="I122" s="1207"/>
      <c r="J122" s="1297">
        <v>30</v>
      </c>
      <c r="K122" s="1184"/>
      <c r="L122" s="1184"/>
      <c r="M122" s="1184"/>
      <c r="N122" s="1184"/>
      <c r="O122" s="1184"/>
      <c r="P122" s="1184"/>
      <c r="Q122" s="1184"/>
      <c r="R122" s="1184"/>
      <c r="S122" s="1184"/>
      <c r="T122" s="1184"/>
      <c r="U122" s="1184"/>
      <c r="V122" s="1184"/>
      <c r="W122" s="840">
        <f t="shared" si="192"/>
        <v>30</v>
      </c>
      <c r="X122" s="146" t="s">
        <v>31</v>
      </c>
      <c r="Y122" s="394">
        <v>28500</v>
      </c>
      <c r="Z122" s="996"/>
      <c r="AA122" s="440"/>
      <c r="AB122" s="1186"/>
      <c r="AC122" s="440"/>
      <c r="AD122" s="1428"/>
      <c r="AE122" s="1194">
        <v>28000</v>
      </c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271">
        <f t="shared" ref="AR122" si="336">SUM(W122*Y122)</f>
        <v>855000</v>
      </c>
      <c r="AS122" s="1199">
        <f t="shared" si="223"/>
        <v>0</v>
      </c>
      <c r="AT122" s="402">
        <f t="shared" si="224"/>
        <v>0</v>
      </c>
      <c r="AU122" s="1213">
        <f t="shared" si="225"/>
        <v>0</v>
      </c>
      <c r="AV122" s="1199">
        <f t="shared" si="226"/>
        <v>0</v>
      </c>
      <c r="AW122" s="1199">
        <f t="shared" si="227"/>
        <v>0</v>
      </c>
      <c r="AX122" s="1298">
        <f t="shared" si="228"/>
        <v>840000</v>
      </c>
      <c r="AY122" s="402">
        <f t="shared" si="229"/>
        <v>0</v>
      </c>
      <c r="AZ122" s="402">
        <f t="shared" si="230"/>
        <v>0</v>
      </c>
      <c r="BA122" s="402">
        <f t="shared" si="231"/>
        <v>0</v>
      </c>
      <c r="BB122" s="402">
        <f t="shared" si="232"/>
        <v>0</v>
      </c>
      <c r="BC122" s="402">
        <f t="shared" si="233"/>
        <v>0</v>
      </c>
      <c r="BD122" s="402">
        <f t="shared" si="234"/>
        <v>0</v>
      </c>
      <c r="BE122" s="402">
        <f t="shared" ref="BE122:BJ123" si="337">AL122*Q122</f>
        <v>0</v>
      </c>
      <c r="BF122" s="402">
        <f t="shared" si="337"/>
        <v>0</v>
      </c>
      <c r="BG122" s="402">
        <f t="shared" si="337"/>
        <v>0</v>
      </c>
      <c r="BH122" s="402">
        <f t="shared" si="337"/>
        <v>0</v>
      </c>
      <c r="BI122" s="402">
        <f t="shared" si="337"/>
        <v>0</v>
      </c>
      <c r="BJ122" s="402">
        <f t="shared" si="337"/>
        <v>0</v>
      </c>
      <c r="BK122" s="403">
        <f t="shared" si="207"/>
        <v>840000</v>
      </c>
      <c r="BL122" s="402">
        <f>SUM(AS122*14%)</f>
        <v>0</v>
      </c>
      <c r="BM122" s="402">
        <f>SUM(AT122*14%)</f>
        <v>0</v>
      </c>
      <c r="BN122" s="1213">
        <f t="shared" ref="BN122" si="338">SUM(AU122*14%)</f>
        <v>0</v>
      </c>
      <c r="BO122" s="1199">
        <f t="shared" ref="BO122" si="339">SUM(AV122*14%)</f>
        <v>0</v>
      </c>
      <c r="BP122" s="402">
        <f t="shared" ref="BP122" si="340">SUM(AW122*14%)</f>
        <v>0</v>
      </c>
      <c r="BQ122" s="402">
        <f>SUM(AX122*4%)</f>
        <v>33600</v>
      </c>
      <c r="BR122" s="402">
        <f t="shared" ref="BR122" si="341">SUM(AY122*14%)</f>
        <v>0</v>
      </c>
      <c r="BS122" s="402">
        <f t="shared" ref="BS122" si="342">SUM(AZ122*14%)</f>
        <v>0</v>
      </c>
      <c r="BT122" s="402">
        <f t="shared" ref="BT122" si="343">SUM(BA122*14%)</f>
        <v>0</v>
      </c>
      <c r="BU122" s="402">
        <f t="shared" ref="BU122" si="344">SUM(BB122*14%)</f>
        <v>0</v>
      </c>
      <c r="BV122" s="402">
        <f t="shared" ref="BV122" si="345">SUM(BC122*14%)</f>
        <v>0</v>
      </c>
      <c r="BW122" s="402">
        <f t="shared" ref="BW122" si="346">SUM(BD122*14%)</f>
        <v>0</v>
      </c>
      <c r="BX122" s="344">
        <f>SUM(BL122:BW122)</f>
        <v>33600</v>
      </c>
      <c r="BY122" s="300">
        <f>AR122-BK122</f>
        <v>15000</v>
      </c>
      <c r="BZ122" s="301">
        <f t="shared" si="319"/>
        <v>855000</v>
      </c>
      <c r="CA122" s="302">
        <f>BZ122-BK122</f>
        <v>15000</v>
      </c>
      <c r="CB122" s="276">
        <f>SUM(W122/D122)</f>
        <v>1</v>
      </c>
      <c r="CC122" s="1081"/>
      <c r="CD122" s="1081"/>
      <c r="CE122" s="1083"/>
      <c r="CF122" s="1084"/>
      <c r="CG122" s="862"/>
      <c r="CH122" s="862"/>
      <c r="CI122" s="862"/>
      <c r="CJ122" s="862"/>
      <c r="CK122" s="862"/>
      <c r="CL122" s="862"/>
      <c r="CM122" s="862"/>
      <c r="CN122" s="862"/>
      <c r="CO122" s="1128">
        <f t="shared" si="221"/>
        <v>0</v>
      </c>
      <c r="CP122" s="862"/>
      <c r="CQ122" s="862"/>
      <c r="CR122" s="862"/>
      <c r="CS122" s="862"/>
      <c r="CT122" s="862"/>
      <c r="CU122" s="862"/>
      <c r="CV122" s="862"/>
      <c r="CW122" s="862"/>
      <c r="CX122" s="862"/>
      <c r="CY122" s="73">
        <f t="shared" si="215"/>
        <v>0</v>
      </c>
      <c r="CZ122" s="862"/>
      <c r="DA122" s="862"/>
      <c r="DB122" s="862"/>
      <c r="DC122" s="862"/>
      <c r="DD122" s="862"/>
      <c r="DE122" s="862"/>
      <c r="DF122" s="862"/>
      <c r="DG122" s="862"/>
      <c r="DH122" s="1128"/>
      <c r="DI122" s="862"/>
      <c r="DJ122" s="862"/>
      <c r="DK122" s="862"/>
      <c r="DL122" s="862"/>
      <c r="DM122" s="862"/>
      <c r="DN122" s="862"/>
      <c r="DO122" s="862"/>
      <c r="DP122" s="862"/>
      <c r="DQ122" s="862"/>
      <c r="DR122" s="73">
        <f t="shared" si="216"/>
        <v>0</v>
      </c>
      <c r="DS122" s="303"/>
      <c r="DT122" s="303"/>
      <c r="DU122" s="423"/>
      <c r="DV122" s="303"/>
      <c r="DW122" s="303"/>
      <c r="DX122" s="303"/>
      <c r="DY122" s="304"/>
      <c r="DZ122" s="304"/>
      <c r="EA122" s="304"/>
      <c r="EB122" s="304"/>
      <c r="EC122" s="304"/>
      <c r="ED122" s="304"/>
      <c r="EE122" s="304"/>
      <c r="EF122" s="304"/>
      <c r="EG122" s="304"/>
      <c r="EH122" s="304"/>
      <c r="EI122" s="304"/>
    </row>
    <row r="123" spans="1:157" s="305" customFormat="1" ht="24.75" customHeight="1" thickBot="1" x14ac:dyDescent="0.25">
      <c r="A123" s="294">
        <f t="shared" si="218"/>
        <v>22</v>
      </c>
      <c r="B123" s="250" t="s">
        <v>124</v>
      </c>
      <c r="C123" s="295" t="s">
        <v>25</v>
      </c>
      <c r="D123" s="251">
        <v>2</v>
      </c>
      <c r="E123" s="993"/>
      <c r="F123" s="297"/>
      <c r="G123" s="1239"/>
      <c r="H123" s="1207"/>
      <c r="I123" s="1207"/>
      <c r="J123" s="1297">
        <v>2</v>
      </c>
      <c r="K123" s="1184"/>
      <c r="L123" s="1184"/>
      <c r="M123" s="1184"/>
      <c r="N123" s="1184"/>
      <c r="O123" s="1184"/>
      <c r="P123" s="1184"/>
      <c r="Q123" s="1184"/>
      <c r="R123" s="1184"/>
      <c r="S123" s="1184"/>
      <c r="T123" s="1184"/>
      <c r="U123" s="1184"/>
      <c r="V123" s="1184"/>
      <c r="W123" s="840">
        <f t="shared" si="192"/>
        <v>2</v>
      </c>
      <c r="X123" s="252" t="s">
        <v>16</v>
      </c>
      <c r="Y123" s="586">
        <v>35000</v>
      </c>
      <c r="Z123" s="996"/>
      <c r="AA123" s="440"/>
      <c r="AB123" s="1186"/>
      <c r="AC123" s="440"/>
      <c r="AD123" s="996"/>
      <c r="AE123" s="1194">
        <v>35000</v>
      </c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271">
        <f>SUM(W123*Y123)</f>
        <v>70000</v>
      </c>
      <c r="AS123" s="1199">
        <f t="shared" si="223"/>
        <v>0</v>
      </c>
      <c r="AT123" s="402">
        <f t="shared" si="224"/>
        <v>0</v>
      </c>
      <c r="AU123" s="1213">
        <f t="shared" si="225"/>
        <v>0</v>
      </c>
      <c r="AV123" s="1199">
        <f t="shared" si="226"/>
        <v>0</v>
      </c>
      <c r="AW123" s="1199">
        <f t="shared" si="227"/>
        <v>0</v>
      </c>
      <c r="AX123" s="1298">
        <f t="shared" si="228"/>
        <v>70000</v>
      </c>
      <c r="AY123" s="402">
        <f t="shared" si="229"/>
        <v>0</v>
      </c>
      <c r="AZ123" s="402">
        <f t="shared" si="230"/>
        <v>0</v>
      </c>
      <c r="BA123" s="402">
        <f t="shared" si="231"/>
        <v>0</v>
      </c>
      <c r="BB123" s="402">
        <f t="shared" si="232"/>
        <v>0</v>
      </c>
      <c r="BC123" s="402">
        <f t="shared" si="233"/>
        <v>0</v>
      </c>
      <c r="BD123" s="402">
        <f t="shared" si="234"/>
        <v>0</v>
      </c>
      <c r="BE123" s="402">
        <f t="shared" si="337"/>
        <v>0</v>
      </c>
      <c r="BF123" s="402">
        <f t="shared" si="337"/>
        <v>0</v>
      </c>
      <c r="BG123" s="402">
        <f t="shared" si="337"/>
        <v>0</v>
      </c>
      <c r="BH123" s="402">
        <f t="shared" si="337"/>
        <v>0</v>
      </c>
      <c r="BI123" s="402">
        <f t="shared" si="337"/>
        <v>0</v>
      </c>
      <c r="BJ123" s="402">
        <f t="shared" si="337"/>
        <v>0</v>
      </c>
      <c r="BK123" s="403">
        <f t="shared" si="207"/>
        <v>70000</v>
      </c>
      <c r="BL123" s="402">
        <f>SUM(AS123*4%)</f>
        <v>0</v>
      </c>
      <c r="BM123" s="402">
        <f>SUM(AT123*14%)</f>
        <v>0</v>
      </c>
      <c r="BN123" s="1213">
        <f t="shared" ref="BN123" si="347">SUM(AU123*14%)</f>
        <v>0</v>
      </c>
      <c r="BO123" s="1199">
        <f t="shared" ref="BO123" si="348">SUM(AV123*14%)</f>
        <v>0</v>
      </c>
      <c r="BP123" s="402">
        <f>SUM(AW123*4%)</f>
        <v>0</v>
      </c>
      <c r="BQ123" s="402">
        <f t="shared" ref="BQ123" si="349">SUM(AX123*14%)</f>
        <v>9800.0000000000018</v>
      </c>
      <c r="BR123" s="402">
        <f t="shared" ref="BR123" si="350">SUM(AY123*14%)</f>
        <v>0</v>
      </c>
      <c r="BS123" s="402">
        <f t="shared" ref="BS123" si="351">SUM(AZ123*14%)</f>
        <v>0</v>
      </c>
      <c r="BT123" s="402">
        <f t="shared" ref="BT123" si="352">SUM(BA123*14%)</f>
        <v>0</v>
      </c>
      <c r="BU123" s="402">
        <f t="shared" ref="BU123" si="353">SUM(BB123*14%)</f>
        <v>0</v>
      </c>
      <c r="BV123" s="402">
        <f t="shared" ref="BV123" si="354">SUM(BC123*14%)</f>
        <v>0</v>
      </c>
      <c r="BW123" s="402">
        <f t="shared" ref="BW123" si="355">SUM(BD123*14%)</f>
        <v>0</v>
      </c>
      <c r="BX123" s="344">
        <f>SUM(BL123:BW123)</f>
        <v>9800.0000000000018</v>
      </c>
      <c r="BY123" s="300">
        <f>AR123-BK123</f>
        <v>0</v>
      </c>
      <c r="BZ123" s="301">
        <f t="shared" si="319"/>
        <v>70000</v>
      </c>
      <c r="CA123" s="302">
        <f>BZ123-BK123</f>
        <v>0</v>
      </c>
      <c r="CB123" s="276">
        <f>SUM(W123/D123)</f>
        <v>1</v>
      </c>
      <c r="CC123" s="1081"/>
      <c r="CD123" s="1081"/>
      <c r="CE123" s="1083"/>
      <c r="CF123" s="1084"/>
      <c r="CG123" s="862"/>
      <c r="CH123" s="862"/>
      <c r="CI123" s="862"/>
      <c r="CJ123" s="862"/>
      <c r="CK123" s="862"/>
      <c r="CL123" s="862"/>
      <c r="CM123" s="862"/>
      <c r="CN123" s="862"/>
      <c r="CO123" s="1128">
        <f t="shared" si="221"/>
        <v>0</v>
      </c>
      <c r="CP123" s="862"/>
      <c r="CQ123" s="862"/>
      <c r="CR123" s="862"/>
      <c r="CS123" s="862"/>
      <c r="CT123" s="862"/>
      <c r="CU123" s="862"/>
      <c r="CV123" s="862"/>
      <c r="CW123" s="862"/>
      <c r="CX123" s="862"/>
      <c r="CY123" s="73">
        <f t="shared" si="215"/>
        <v>0</v>
      </c>
      <c r="CZ123" s="862"/>
      <c r="DA123" s="862"/>
      <c r="DB123" s="862"/>
      <c r="DC123" s="862"/>
      <c r="DD123" s="862"/>
      <c r="DE123" s="862"/>
      <c r="DF123" s="862"/>
      <c r="DG123" s="862"/>
      <c r="DH123" s="1128"/>
      <c r="DI123" s="862"/>
      <c r="DJ123" s="862"/>
      <c r="DK123" s="862"/>
      <c r="DL123" s="862"/>
      <c r="DM123" s="862"/>
      <c r="DN123" s="862"/>
      <c r="DO123" s="862"/>
      <c r="DP123" s="862"/>
      <c r="DQ123" s="862"/>
      <c r="DR123" s="73">
        <f t="shared" si="216"/>
        <v>0</v>
      </c>
      <c r="DS123" s="303"/>
      <c r="DT123" s="303"/>
      <c r="DU123" s="423"/>
      <c r="DV123" s="303"/>
      <c r="DW123" s="303"/>
      <c r="DX123" s="303"/>
      <c r="DY123" s="304"/>
      <c r="DZ123" s="304"/>
      <c r="EA123" s="304"/>
      <c r="EB123" s="304"/>
      <c r="EC123" s="304"/>
      <c r="ED123" s="304"/>
      <c r="EE123" s="304"/>
      <c r="EF123" s="304"/>
      <c r="EG123" s="304"/>
      <c r="EH123" s="304"/>
      <c r="EI123" s="304"/>
    </row>
    <row r="124" spans="1:157" s="282" customFormat="1" ht="24.75" customHeight="1" thickBot="1" x14ac:dyDescent="0.25">
      <c r="A124" s="577">
        <v>2</v>
      </c>
      <c r="B124" s="308" t="s">
        <v>4</v>
      </c>
      <c r="C124" s="308"/>
      <c r="D124" s="309"/>
      <c r="E124" s="465"/>
      <c r="F124" s="310"/>
      <c r="G124" s="399"/>
      <c r="H124" s="310"/>
      <c r="I124" s="465"/>
      <c r="J124" s="1422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1"/>
      <c r="X124" s="312"/>
      <c r="Y124" s="313"/>
      <c r="Z124" s="997"/>
      <c r="AA124" s="314"/>
      <c r="AB124" s="1157"/>
      <c r="AC124" s="314"/>
      <c r="AD124" s="314"/>
      <c r="AE124" s="1476"/>
      <c r="AF124" s="314"/>
      <c r="AG124" s="314"/>
      <c r="AH124" s="314"/>
      <c r="AI124" s="314"/>
      <c r="AJ124" s="314"/>
      <c r="AK124" s="314"/>
      <c r="AL124" s="314"/>
      <c r="AM124" s="314"/>
      <c r="AN124" s="314"/>
      <c r="AO124" s="314"/>
      <c r="AP124" s="314"/>
      <c r="AQ124" s="314"/>
      <c r="AR124" s="315">
        <f t="shared" ref="AR124:BW124" si="356">SUM(AR93:AR123)</f>
        <v>15110348</v>
      </c>
      <c r="AS124" s="1232">
        <f t="shared" si="356"/>
        <v>4140000</v>
      </c>
      <c r="AT124" s="315">
        <f t="shared" si="356"/>
        <v>1850000</v>
      </c>
      <c r="AU124" s="1232">
        <f t="shared" si="356"/>
        <v>874800</v>
      </c>
      <c r="AV124" s="315">
        <f t="shared" si="356"/>
        <v>379000</v>
      </c>
      <c r="AW124" s="1232">
        <f t="shared" si="356"/>
        <v>729000</v>
      </c>
      <c r="AX124" s="1478">
        <f>SUM(AX93:AX123)</f>
        <v>4150900</v>
      </c>
      <c r="AY124" s="315">
        <f t="shared" si="356"/>
        <v>1350000</v>
      </c>
      <c r="AZ124" s="315">
        <f t="shared" si="356"/>
        <v>0</v>
      </c>
      <c r="BA124" s="315">
        <f t="shared" si="356"/>
        <v>0</v>
      </c>
      <c r="BB124" s="315">
        <f t="shared" si="356"/>
        <v>0</v>
      </c>
      <c r="BC124" s="315">
        <f t="shared" si="356"/>
        <v>0</v>
      </c>
      <c r="BD124" s="315">
        <f t="shared" si="356"/>
        <v>0</v>
      </c>
      <c r="BE124" s="315">
        <f t="shared" si="356"/>
        <v>0</v>
      </c>
      <c r="BF124" s="315">
        <f t="shared" si="356"/>
        <v>0</v>
      </c>
      <c r="BG124" s="315">
        <f t="shared" si="356"/>
        <v>0</v>
      </c>
      <c r="BH124" s="315">
        <f t="shared" si="356"/>
        <v>0</v>
      </c>
      <c r="BI124" s="315">
        <f t="shared" si="356"/>
        <v>0</v>
      </c>
      <c r="BJ124" s="315">
        <f t="shared" si="356"/>
        <v>0</v>
      </c>
      <c r="BK124" s="315">
        <f>SUM(BK93:BK123)-2000000</f>
        <v>11473700</v>
      </c>
      <c r="BL124" s="315">
        <f t="shared" si="356"/>
        <v>165600</v>
      </c>
      <c r="BM124" s="315">
        <f t="shared" si="356"/>
        <v>47700</v>
      </c>
      <c r="BN124" s="315">
        <f t="shared" si="356"/>
        <v>104976</v>
      </c>
      <c r="BO124" s="1232">
        <f t="shared" si="356"/>
        <v>0</v>
      </c>
      <c r="BP124" s="315">
        <f t="shared" si="356"/>
        <v>51800.000000000007</v>
      </c>
      <c r="BQ124" s="315">
        <f t="shared" si="356"/>
        <v>415348</v>
      </c>
      <c r="BR124" s="315">
        <f t="shared" si="356"/>
        <v>0</v>
      </c>
      <c r="BS124" s="315">
        <f t="shared" si="356"/>
        <v>0</v>
      </c>
      <c r="BT124" s="315">
        <f t="shared" si="356"/>
        <v>0</v>
      </c>
      <c r="BU124" s="315">
        <f t="shared" si="356"/>
        <v>0</v>
      </c>
      <c r="BV124" s="315">
        <f t="shared" si="356"/>
        <v>0</v>
      </c>
      <c r="BW124" s="315">
        <f t="shared" si="356"/>
        <v>0</v>
      </c>
      <c r="BX124" s="315">
        <f>SUM(BX93:BX112)</f>
        <v>470660.00000000006</v>
      </c>
      <c r="BY124" s="316">
        <f>SUM(BY93:BY123)</f>
        <v>1410988</v>
      </c>
      <c r="BZ124" s="315">
        <f>SUM(BZ93:BZ123)-BZ105-BZ106</f>
        <v>15250348</v>
      </c>
      <c r="CA124" s="315">
        <f>SUM(CA93:CA123)</f>
        <v>1635348</v>
      </c>
      <c r="CB124" s="279">
        <v>1</v>
      </c>
      <c r="CC124" s="1081"/>
      <c r="CD124" s="1081"/>
      <c r="CE124" s="1083"/>
      <c r="CF124" s="1084"/>
      <c r="CG124" s="862"/>
      <c r="CH124" s="862"/>
      <c r="CI124" s="862"/>
      <c r="CJ124" s="862"/>
      <c r="CK124" s="862"/>
      <c r="CL124" s="862"/>
      <c r="CM124" s="862"/>
      <c r="CN124" s="862"/>
      <c r="CO124" s="1128">
        <f t="shared" si="221"/>
        <v>0</v>
      </c>
      <c r="CP124" s="862"/>
      <c r="CQ124" s="862"/>
      <c r="CR124" s="862"/>
      <c r="CS124" s="862"/>
      <c r="CT124" s="862"/>
      <c r="CU124" s="862"/>
      <c r="CV124" s="862"/>
      <c r="CW124" s="862"/>
      <c r="CX124" s="862"/>
      <c r="CY124" s="73">
        <f t="shared" si="215"/>
        <v>0</v>
      </c>
      <c r="CZ124" s="862"/>
      <c r="DA124" s="862"/>
      <c r="DB124" s="862"/>
      <c r="DC124" s="862"/>
      <c r="DD124" s="862"/>
      <c r="DE124" s="862"/>
      <c r="DF124" s="862"/>
      <c r="DG124" s="862"/>
      <c r="DH124" s="1128"/>
      <c r="DI124" s="862"/>
      <c r="DJ124" s="862"/>
      <c r="DK124" s="862"/>
      <c r="DL124" s="862"/>
      <c r="DM124" s="862"/>
      <c r="DN124" s="862"/>
      <c r="DO124" s="862"/>
      <c r="DP124" s="862"/>
      <c r="DQ124" s="862"/>
      <c r="DR124" s="73">
        <f t="shared" si="216"/>
        <v>0</v>
      </c>
      <c r="DS124" s="317"/>
      <c r="DT124" s="317"/>
      <c r="DU124" s="425"/>
      <c r="DV124" s="317"/>
      <c r="DW124" s="317"/>
      <c r="DX124" s="317"/>
      <c r="DY124" s="318"/>
      <c r="DZ124" s="318"/>
      <c r="EA124" s="318"/>
      <c r="EB124" s="318"/>
      <c r="EC124" s="318"/>
      <c r="ED124" s="318"/>
      <c r="EE124" s="318"/>
      <c r="EF124" s="318"/>
      <c r="EG124" s="318"/>
      <c r="EH124" s="318"/>
      <c r="EI124" s="318"/>
    </row>
    <row r="125" spans="1:157" s="262" customFormat="1" ht="24.75" customHeight="1" x14ac:dyDescent="0.2">
      <c r="A125" s="283"/>
      <c r="D125" s="283"/>
      <c r="E125" s="463"/>
      <c r="F125" s="283"/>
      <c r="G125" s="397"/>
      <c r="H125" s="283"/>
      <c r="I125" s="46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Z125" s="998"/>
      <c r="AS125" s="998"/>
      <c r="BK125" s="291"/>
      <c r="BO125" s="998"/>
      <c r="BX125" s="319">
        <f>SUM(BK124+BX124)</f>
        <v>11944360</v>
      </c>
      <c r="BY125" s="284">
        <f>AR124-BK124-BX124</f>
        <v>3165988</v>
      </c>
      <c r="BZ125" s="320"/>
      <c r="CA125" s="285">
        <f>SUM(BY124)</f>
        <v>1410988</v>
      </c>
      <c r="CB125" s="280" t="s">
        <v>38</v>
      </c>
      <c r="CC125" s="1081"/>
      <c r="CD125" s="1081"/>
      <c r="CE125" s="1083"/>
      <c r="CF125" s="1084"/>
      <c r="CG125" s="862"/>
      <c r="CH125" s="862"/>
      <c r="CI125" s="862"/>
      <c r="CJ125" s="862"/>
      <c r="CK125" s="862"/>
      <c r="CL125" s="862"/>
      <c r="CM125" s="862"/>
      <c r="CN125" s="862"/>
      <c r="CO125" s="1128">
        <f t="shared" si="221"/>
        <v>0</v>
      </c>
      <c r="CP125" s="862"/>
      <c r="CQ125" s="862"/>
      <c r="CR125" s="862"/>
      <c r="CS125" s="862"/>
      <c r="CT125" s="862"/>
      <c r="CU125" s="862"/>
      <c r="CV125" s="862"/>
      <c r="CW125" s="862"/>
      <c r="CX125" s="862"/>
      <c r="CY125" s="73">
        <f t="shared" si="215"/>
        <v>0</v>
      </c>
      <c r="CZ125" s="862"/>
      <c r="DA125" s="862"/>
      <c r="DB125" s="862"/>
      <c r="DC125" s="862"/>
      <c r="DD125" s="862"/>
      <c r="DE125" s="862"/>
      <c r="DF125" s="862"/>
      <c r="DG125" s="862"/>
      <c r="DH125" s="1128"/>
      <c r="DI125" s="862"/>
      <c r="DJ125" s="862"/>
      <c r="DK125" s="862"/>
      <c r="DL125" s="862"/>
      <c r="DM125" s="862"/>
      <c r="DN125" s="862"/>
      <c r="DO125" s="862"/>
      <c r="DP125" s="862"/>
      <c r="DQ125" s="862"/>
      <c r="DR125" s="73">
        <f t="shared" si="216"/>
        <v>0</v>
      </c>
      <c r="DS125" s="409"/>
      <c r="DT125" s="409"/>
      <c r="DU125" s="417"/>
      <c r="DV125" s="409"/>
      <c r="DW125" s="409"/>
      <c r="DX125" s="409"/>
      <c r="DY125" s="260"/>
      <c r="DZ125" s="260"/>
      <c r="EA125" s="260"/>
      <c r="EB125" s="260"/>
      <c r="EC125" s="260"/>
      <c r="ED125" s="260"/>
      <c r="EE125" s="260"/>
      <c r="EF125" s="260"/>
      <c r="EG125" s="260"/>
      <c r="EH125" s="260"/>
      <c r="EI125" s="260"/>
      <c r="EJ125" s="260"/>
    </row>
    <row r="126" spans="1:157" s="262" customFormat="1" ht="24.75" customHeight="1" x14ac:dyDescent="0.2">
      <c r="A126" s="283"/>
      <c r="D126" s="283"/>
      <c r="E126" s="463"/>
      <c r="F126" s="283"/>
      <c r="G126" s="397"/>
      <c r="H126" s="283"/>
      <c r="I126" s="46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Z126" s="998"/>
      <c r="AS126" s="998"/>
      <c r="AZ126" s="469"/>
      <c r="BK126" s="280"/>
      <c r="BL126" s="388">
        <f>SUM(AS124+BL124)</f>
        <v>4305600</v>
      </c>
      <c r="BM126" s="388">
        <f t="shared" ref="BM126" si="357">SUM(AT124+BM124)</f>
        <v>1897700</v>
      </c>
      <c r="BN126" s="388"/>
      <c r="BO126" s="1357"/>
      <c r="BP126" s="388"/>
      <c r="BQ126" s="388"/>
      <c r="BR126" s="388"/>
      <c r="BS126" s="388"/>
      <c r="BT126" s="388"/>
      <c r="BU126" s="388"/>
      <c r="BV126" s="388"/>
      <c r="BW126" s="388"/>
      <c r="BX126" s="388"/>
      <c r="BY126" s="388"/>
      <c r="BZ126" s="388"/>
      <c r="CA126" s="287">
        <f>SUM(CA124-CA125)</f>
        <v>224360</v>
      </c>
      <c r="CB126" s="280" t="s">
        <v>37</v>
      </c>
      <c r="CC126" s="1107">
        <f>SUM(CC93:CC125)</f>
        <v>838424</v>
      </c>
      <c r="CD126" s="1107">
        <f>SUM(CD93:CD125)</f>
        <v>816000</v>
      </c>
      <c r="CE126" s="1083">
        <f>SUM(CE93:CE125)</f>
        <v>22424</v>
      </c>
      <c r="CF126" s="1084"/>
      <c r="CG126" s="862"/>
      <c r="CH126" s="862"/>
      <c r="CI126" s="862"/>
      <c r="CJ126" s="862"/>
      <c r="CK126" s="862"/>
      <c r="CL126" s="862"/>
      <c r="CM126" s="862"/>
      <c r="CN126" s="862"/>
      <c r="CO126" s="1128">
        <f t="shared" si="221"/>
        <v>0</v>
      </c>
      <c r="CP126" s="862"/>
      <c r="CQ126" s="862"/>
      <c r="CR126" s="862"/>
      <c r="CS126" s="862"/>
      <c r="CT126" s="862"/>
      <c r="CU126" s="862"/>
      <c r="CV126" s="862"/>
      <c r="CW126" s="862"/>
      <c r="CX126" s="862"/>
      <c r="CY126" s="73">
        <f t="shared" si="215"/>
        <v>0</v>
      </c>
      <c r="CZ126" s="862"/>
      <c r="DA126" s="862"/>
      <c r="DB126" s="862"/>
      <c r="DC126" s="862"/>
      <c r="DD126" s="862"/>
      <c r="DE126" s="862"/>
      <c r="DF126" s="862"/>
      <c r="DG126" s="862"/>
      <c r="DH126" s="1128"/>
      <c r="DI126" s="862"/>
      <c r="DJ126" s="862"/>
      <c r="DK126" s="862"/>
      <c r="DL126" s="862"/>
      <c r="DM126" s="862"/>
      <c r="DN126" s="862"/>
      <c r="DO126" s="862"/>
      <c r="DP126" s="862"/>
      <c r="DQ126" s="862"/>
      <c r="DR126" s="73">
        <f t="shared" si="216"/>
        <v>0</v>
      </c>
      <c r="DS126" s="409"/>
      <c r="DT126" s="409"/>
      <c r="DU126" s="417"/>
      <c r="DV126" s="409"/>
      <c r="DW126" s="409"/>
      <c r="DX126" s="409"/>
      <c r="DY126" s="260"/>
      <c r="DZ126" s="260"/>
      <c r="EA126" s="260"/>
      <c r="EB126" s="260"/>
      <c r="EC126" s="260"/>
      <c r="ED126" s="260"/>
      <c r="EE126" s="260"/>
      <c r="EF126" s="260"/>
      <c r="EG126" s="260"/>
      <c r="EH126" s="260"/>
      <c r="EI126" s="260"/>
      <c r="EJ126" s="260"/>
    </row>
    <row r="127" spans="1:157" s="262" customFormat="1" ht="24.75" customHeight="1" x14ac:dyDescent="0.2">
      <c r="A127" s="1754" t="s">
        <v>8</v>
      </c>
      <c r="B127" s="1755"/>
      <c r="C127" s="244" t="s">
        <v>147</v>
      </c>
      <c r="D127" s="245"/>
      <c r="E127" s="462"/>
      <c r="F127" s="245"/>
      <c r="G127" s="292"/>
      <c r="H127" s="245"/>
      <c r="I127" s="462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994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46"/>
      <c r="AO127" s="246"/>
      <c r="AP127" s="246"/>
      <c r="AQ127" s="246"/>
      <c r="AR127" s="245"/>
      <c r="AS127" s="994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7"/>
      <c r="BL127" s="246"/>
      <c r="BM127" s="246"/>
      <c r="BN127" s="246"/>
      <c r="BO127" s="994"/>
      <c r="BP127" s="246"/>
      <c r="BQ127" s="246"/>
      <c r="BR127" s="246"/>
      <c r="BS127" s="246"/>
      <c r="BT127" s="246"/>
      <c r="BU127" s="246"/>
      <c r="BV127" s="246"/>
      <c r="BW127" s="246"/>
      <c r="BX127" s="1301"/>
      <c r="BY127" s="247"/>
      <c r="BZ127" s="243"/>
      <c r="CA127" s="248"/>
      <c r="CB127" s="1667">
        <v>1635348</v>
      </c>
      <c r="CC127" s="1115"/>
      <c r="CD127" s="1115"/>
      <c r="CE127" s="1195">
        <v>13824</v>
      </c>
      <c r="CF127" s="1155"/>
      <c r="CG127" s="862"/>
      <c r="CH127" s="862"/>
      <c r="CI127" s="862"/>
      <c r="CJ127" s="862"/>
      <c r="CK127" s="862"/>
      <c r="CL127" s="862"/>
      <c r="CM127" s="862"/>
      <c r="CN127" s="862"/>
      <c r="CO127" s="1128">
        <f t="shared" si="221"/>
        <v>0</v>
      </c>
      <c r="CP127" s="862"/>
      <c r="CQ127" s="862"/>
      <c r="CR127" s="862"/>
      <c r="CS127" s="862"/>
      <c r="CT127" s="862"/>
      <c r="CU127" s="862"/>
      <c r="CV127" s="862"/>
      <c r="CW127" s="862"/>
      <c r="CX127" s="862"/>
      <c r="CY127" s="73">
        <f t="shared" si="215"/>
        <v>0</v>
      </c>
      <c r="CZ127" s="862"/>
      <c r="DA127" s="862"/>
      <c r="DB127" s="862"/>
      <c r="DC127" s="862"/>
      <c r="DD127" s="862"/>
      <c r="DE127" s="862"/>
      <c r="DF127" s="862"/>
      <c r="DG127" s="862"/>
      <c r="DH127" s="1128"/>
      <c r="DI127" s="862"/>
      <c r="DJ127" s="862"/>
      <c r="DK127" s="862"/>
      <c r="DL127" s="862"/>
      <c r="DM127" s="862"/>
      <c r="DN127" s="862"/>
      <c r="DO127" s="862"/>
      <c r="DP127" s="862"/>
      <c r="DQ127" s="862"/>
      <c r="DR127" s="73">
        <f t="shared" si="216"/>
        <v>0</v>
      </c>
      <c r="DS127" s="249"/>
      <c r="DT127" s="292"/>
      <c r="DU127" s="418"/>
      <c r="DV127" s="292"/>
      <c r="DW127" s="249"/>
      <c r="DX127" s="292"/>
      <c r="DY127" s="246"/>
      <c r="DZ127" s="246"/>
      <c r="EA127" s="246"/>
      <c r="EB127" s="246"/>
      <c r="EC127" s="247"/>
      <c r="ED127" s="247"/>
      <c r="EE127" s="247"/>
      <c r="EF127" s="243"/>
      <c r="EG127" s="248"/>
      <c r="EH127" s="247"/>
      <c r="EI127" s="247"/>
      <c r="EJ127" s="260"/>
      <c r="EK127" s="260"/>
      <c r="EL127" s="260"/>
      <c r="EM127" s="260"/>
      <c r="EN127" s="260"/>
      <c r="EO127" s="261"/>
      <c r="EP127" s="260"/>
      <c r="EQ127" s="260"/>
      <c r="ER127" s="260"/>
      <c r="ES127" s="260"/>
      <c r="ET127" s="260"/>
      <c r="EU127" s="260"/>
      <c r="EV127" s="260"/>
      <c r="EW127" s="260"/>
      <c r="EX127" s="260"/>
      <c r="EY127" s="260"/>
      <c r="EZ127" s="260"/>
      <c r="FA127" s="260"/>
    </row>
    <row r="128" spans="1:157" s="264" customFormat="1" ht="33" customHeight="1" x14ac:dyDescent="0.2">
      <c r="A128" s="1756" t="s">
        <v>10</v>
      </c>
      <c r="B128" s="1759" t="s">
        <v>11</v>
      </c>
      <c r="C128" s="1759" t="s">
        <v>22</v>
      </c>
      <c r="D128" s="1762" t="s">
        <v>12</v>
      </c>
      <c r="E128" s="1762"/>
      <c r="F128" s="1762"/>
      <c r="G128" s="1762"/>
      <c r="H128" s="1762"/>
      <c r="I128" s="1762"/>
      <c r="J128" s="1762"/>
      <c r="K128" s="1762"/>
      <c r="L128" s="1762"/>
      <c r="M128" s="1762"/>
      <c r="N128" s="1762"/>
      <c r="O128" s="1762"/>
      <c r="P128" s="1762"/>
      <c r="Q128" s="1762"/>
      <c r="R128" s="1762"/>
      <c r="S128" s="1762"/>
      <c r="T128" s="1762"/>
      <c r="U128" s="1762"/>
      <c r="V128" s="1762"/>
      <c r="W128" s="1762"/>
      <c r="X128" s="1759" t="s">
        <v>20</v>
      </c>
      <c r="Y128" s="1763" t="s">
        <v>17</v>
      </c>
      <c r="Z128" s="1764"/>
      <c r="AA128" s="1764"/>
      <c r="AB128" s="1764"/>
      <c r="AC128" s="1764"/>
      <c r="AD128" s="1764"/>
      <c r="AE128" s="1764"/>
      <c r="AF128" s="1764"/>
      <c r="AG128" s="1764"/>
      <c r="AH128" s="1764"/>
      <c r="AI128" s="1764"/>
      <c r="AJ128" s="1764"/>
      <c r="AK128" s="1764"/>
      <c r="AL128" s="1178"/>
      <c r="AM128" s="1178"/>
      <c r="AN128" s="1178"/>
      <c r="AO128" s="1178"/>
      <c r="AP128" s="1178"/>
      <c r="AQ128" s="1178"/>
      <c r="AR128" s="1766" t="s">
        <v>6</v>
      </c>
      <c r="AS128" s="1766"/>
      <c r="AT128" s="1766"/>
      <c r="AU128" s="1766"/>
      <c r="AV128" s="1766"/>
      <c r="AW128" s="1766"/>
      <c r="AX128" s="1766"/>
      <c r="AY128" s="1766"/>
      <c r="AZ128" s="1766"/>
      <c r="BA128" s="1766"/>
      <c r="BB128" s="1766"/>
      <c r="BC128" s="1766"/>
      <c r="BD128" s="1766"/>
      <c r="BE128" s="1766"/>
      <c r="BF128" s="1766"/>
      <c r="BG128" s="1766"/>
      <c r="BH128" s="1766"/>
      <c r="BI128" s="1766"/>
      <c r="BJ128" s="1766"/>
      <c r="BK128" s="1766"/>
      <c r="BL128" s="1767" t="s">
        <v>41</v>
      </c>
      <c r="BM128" s="1768"/>
      <c r="BN128" s="1768"/>
      <c r="BO128" s="1768"/>
      <c r="BP128" s="1768"/>
      <c r="BQ128" s="1768"/>
      <c r="BR128" s="1768"/>
      <c r="BS128" s="1768"/>
      <c r="BT128" s="1768"/>
      <c r="BU128" s="1768"/>
      <c r="BV128" s="1768"/>
      <c r="BW128" s="1768"/>
      <c r="BX128" s="1769"/>
      <c r="BY128" s="1759" t="s">
        <v>38</v>
      </c>
      <c r="BZ128" s="1759" t="s">
        <v>256</v>
      </c>
      <c r="CA128" s="1746" t="s">
        <v>39</v>
      </c>
      <c r="CB128" s="436">
        <f>SUM(CA124-CB127)</f>
        <v>0</v>
      </c>
      <c r="CC128" s="1196"/>
      <c r="CD128" s="1196"/>
      <c r="CE128" s="1197">
        <f>SUM(CE126-CE127)</f>
        <v>8600</v>
      </c>
      <c r="CF128" s="1155"/>
      <c r="CG128" s="862"/>
      <c r="CH128" s="862"/>
      <c r="CI128" s="862"/>
      <c r="CJ128" s="862"/>
      <c r="CK128" s="862"/>
      <c r="CL128" s="862"/>
      <c r="CM128" s="862"/>
      <c r="CN128" s="862"/>
      <c r="CO128" s="1128">
        <f t="shared" si="221"/>
        <v>0</v>
      </c>
      <c r="CP128" s="862"/>
      <c r="CQ128" s="862"/>
      <c r="CR128" s="862"/>
      <c r="CS128" s="862"/>
      <c r="CT128" s="862"/>
      <c r="CU128" s="862"/>
      <c r="CV128" s="862"/>
      <c r="CW128" s="862"/>
      <c r="CX128" s="862"/>
      <c r="CY128" s="73">
        <f t="shared" si="215"/>
        <v>0</v>
      </c>
      <c r="CZ128" s="862"/>
      <c r="DA128" s="862"/>
      <c r="DB128" s="862"/>
      <c r="DC128" s="862"/>
      <c r="DD128" s="862"/>
      <c r="DE128" s="862"/>
      <c r="DF128" s="862"/>
      <c r="DG128" s="862"/>
      <c r="DH128" s="1128"/>
      <c r="DI128" s="862"/>
      <c r="DJ128" s="862"/>
      <c r="DK128" s="862"/>
      <c r="DL128" s="862"/>
      <c r="DM128" s="862"/>
      <c r="DN128" s="862"/>
      <c r="DO128" s="862"/>
      <c r="DP128" s="862"/>
      <c r="DQ128" s="862"/>
      <c r="DR128" s="73">
        <f t="shared" si="216"/>
        <v>0</v>
      </c>
      <c r="DS128" s="292"/>
      <c r="DT128" s="292"/>
      <c r="DU128" s="418"/>
      <c r="DV128" s="292"/>
      <c r="DW128" s="292"/>
      <c r="DX128" s="292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63"/>
      <c r="EI128" s="263"/>
    </row>
    <row r="129" spans="1:157" s="264" customFormat="1" ht="48.75" customHeight="1" x14ac:dyDescent="0.2">
      <c r="A129" s="1757"/>
      <c r="B129" s="1760"/>
      <c r="C129" s="1760"/>
      <c r="D129" s="1749" t="s">
        <v>18</v>
      </c>
      <c r="E129" s="1751" t="s">
        <v>19</v>
      </c>
      <c r="F129" s="1752"/>
      <c r="G129" s="1752"/>
      <c r="H129" s="1752"/>
      <c r="I129" s="1752"/>
      <c r="J129" s="1752"/>
      <c r="K129" s="1752"/>
      <c r="L129" s="1752"/>
      <c r="M129" s="1752"/>
      <c r="N129" s="1752"/>
      <c r="O129" s="1752"/>
      <c r="P129" s="1752"/>
      <c r="Q129" s="1752"/>
      <c r="R129" s="1752"/>
      <c r="S129" s="1752"/>
      <c r="T129" s="1752"/>
      <c r="U129" s="1752"/>
      <c r="V129" s="1752"/>
      <c r="W129" s="1752"/>
      <c r="X129" s="1760"/>
      <c r="Y129" s="1749" t="s">
        <v>18</v>
      </c>
      <c r="Z129" s="1751" t="s">
        <v>19</v>
      </c>
      <c r="AA129" s="1752"/>
      <c r="AB129" s="1752"/>
      <c r="AC129" s="1752"/>
      <c r="AD129" s="1752"/>
      <c r="AE129" s="1752"/>
      <c r="AF129" s="1752"/>
      <c r="AG129" s="1752"/>
      <c r="AH129" s="1752"/>
      <c r="AI129" s="1752"/>
      <c r="AJ129" s="1752"/>
      <c r="AK129" s="1752"/>
      <c r="AL129" s="1179"/>
      <c r="AM129" s="1179"/>
      <c r="AN129" s="1179"/>
      <c r="AO129" s="1179"/>
      <c r="AP129" s="1179"/>
      <c r="AQ129" s="1179"/>
      <c r="AR129" s="1749" t="s">
        <v>18</v>
      </c>
      <c r="AS129" s="1751" t="s">
        <v>19</v>
      </c>
      <c r="AT129" s="1752"/>
      <c r="AU129" s="1752"/>
      <c r="AV129" s="1752"/>
      <c r="AW129" s="1752"/>
      <c r="AX129" s="1752"/>
      <c r="AY129" s="1752"/>
      <c r="AZ129" s="1752"/>
      <c r="BA129" s="1752"/>
      <c r="BB129" s="1752"/>
      <c r="BC129" s="1752"/>
      <c r="BD129" s="1752"/>
      <c r="BE129" s="1752"/>
      <c r="BF129" s="1752"/>
      <c r="BG129" s="1752"/>
      <c r="BH129" s="1752"/>
      <c r="BI129" s="1752"/>
      <c r="BJ129" s="1752"/>
      <c r="BK129" s="1753"/>
      <c r="BL129" s="1770"/>
      <c r="BM129" s="1771"/>
      <c r="BN129" s="1771"/>
      <c r="BO129" s="1771"/>
      <c r="BP129" s="1771"/>
      <c r="BQ129" s="1771"/>
      <c r="BR129" s="1771"/>
      <c r="BS129" s="1771"/>
      <c r="BT129" s="1771"/>
      <c r="BU129" s="1771"/>
      <c r="BV129" s="1771"/>
      <c r="BW129" s="1771"/>
      <c r="BX129" s="1772"/>
      <c r="BY129" s="1760"/>
      <c r="BZ129" s="1760"/>
      <c r="CA129" s="1747"/>
      <c r="CB129" s="436"/>
      <c r="CC129" s="1156"/>
      <c r="CD129" s="1156"/>
      <c r="CE129" s="1338">
        <v>24344</v>
      </c>
      <c r="CF129" s="1339">
        <f>CE129+CE128+CE127</f>
        <v>46768</v>
      </c>
      <c r="CG129" s="862"/>
      <c r="CH129" s="862"/>
      <c r="CI129" s="862"/>
      <c r="CJ129" s="862"/>
      <c r="CK129" s="862"/>
      <c r="CL129" s="862"/>
      <c r="CM129" s="862"/>
      <c r="CN129" s="862"/>
      <c r="CO129" s="1128">
        <f t="shared" si="221"/>
        <v>0</v>
      </c>
      <c r="CP129" s="862"/>
      <c r="CQ129" s="862"/>
      <c r="CR129" s="862"/>
      <c r="CS129" s="862"/>
      <c r="CT129" s="862"/>
      <c r="CU129" s="862"/>
      <c r="CV129" s="862"/>
      <c r="CW129" s="862"/>
      <c r="CX129" s="862"/>
      <c r="CY129" s="73">
        <f t="shared" si="215"/>
        <v>0</v>
      </c>
      <c r="CZ129" s="862"/>
      <c r="DA129" s="862"/>
      <c r="DB129" s="862"/>
      <c r="DC129" s="862"/>
      <c r="DD129" s="862"/>
      <c r="DE129" s="862"/>
      <c r="DF129" s="862"/>
      <c r="DG129" s="862"/>
      <c r="DH129" s="1128"/>
      <c r="DI129" s="862"/>
      <c r="DJ129" s="862"/>
      <c r="DK129" s="862"/>
      <c r="DL129" s="862"/>
      <c r="DM129" s="862"/>
      <c r="DN129" s="862"/>
      <c r="DO129" s="862"/>
      <c r="DP129" s="862"/>
      <c r="DQ129" s="862"/>
      <c r="DR129" s="73">
        <f t="shared" si="216"/>
        <v>0</v>
      </c>
      <c r="DS129" s="292"/>
      <c r="DT129" s="292"/>
      <c r="DU129" s="418"/>
      <c r="DV129" s="292"/>
      <c r="DW129" s="292"/>
      <c r="DX129" s="292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63"/>
      <c r="EI129" s="263"/>
    </row>
    <row r="130" spans="1:157" s="267" customFormat="1" ht="28.5" customHeight="1" x14ac:dyDescent="0.2">
      <c r="A130" s="1758"/>
      <c r="B130" s="1761"/>
      <c r="C130" s="1761"/>
      <c r="D130" s="1750"/>
      <c r="E130" s="265">
        <v>1</v>
      </c>
      <c r="F130" s="265">
        <v>2</v>
      </c>
      <c r="G130" s="265">
        <v>3</v>
      </c>
      <c r="H130" s="265">
        <v>4</v>
      </c>
      <c r="I130" s="265">
        <v>5</v>
      </c>
      <c r="J130" s="265">
        <v>6</v>
      </c>
      <c r="K130" s="265">
        <v>7</v>
      </c>
      <c r="L130" s="265">
        <v>8</v>
      </c>
      <c r="M130" s="265">
        <v>9</v>
      </c>
      <c r="N130" s="265">
        <v>10</v>
      </c>
      <c r="O130" s="265">
        <v>11</v>
      </c>
      <c r="P130" s="265">
        <v>12</v>
      </c>
      <c r="Q130" s="265"/>
      <c r="R130" s="265"/>
      <c r="S130" s="265"/>
      <c r="T130" s="265"/>
      <c r="U130" s="265"/>
      <c r="V130" s="265"/>
      <c r="W130" s="265" t="s">
        <v>21</v>
      </c>
      <c r="X130" s="1761"/>
      <c r="Y130" s="1750"/>
      <c r="Z130" s="265">
        <v>1</v>
      </c>
      <c r="AA130" s="265">
        <v>2</v>
      </c>
      <c r="AB130" s="265">
        <v>3</v>
      </c>
      <c r="AC130" s="265">
        <v>4</v>
      </c>
      <c r="AD130" s="265">
        <v>5</v>
      </c>
      <c r="AE130" s="265">
        <v>6</v>
      </c>
      <c r="AF130" s="265">
        <v>7</v>
      </c>
      <c r="AG130" s="265">
        <v>8</v>
      </c>
      <c r="AH130" s="265">
        <v>9</v>
      </c>
      <c r="AI130" s="265">
        <v>10</v>
      </c>
      <c r="AJ130" s="265">
        <v>11</v>
      </c>
      <c r="AK130" s="265">
        <v>12</v>
      </c>
      <c r="AL130" s="266"/>
      <c r="AM130" s="266"/>
      <c r="AN130" s="266"/>
      <c r="AO130" s="266"/>
      <c r="AP130" s="266"/>
      <c r="AQ130" s="266"/>
      <c r="AR130" s="1750"/>
      <c r="AS130" s="1351">
        <v>1</v>
      </c>
      <c r="AT130" s="265">
        <v>2</v>
      </c>
      <c r="AU130" s="265">
        <v>3</v>
      </c>
      <c r="AV130" s="265">
        <v>4</v>
      </c>
      <c r="AW130" s="265">
        <v>5</v>
      </c>
      <c r="AX130" s="265">
        <v>6</v>
      </c>
      <c r="AY130" s="265">
        <v>7</v>
      </c>
      <c r="AZ130" s="265">
        <v>8</v>
      </c>
      <c r="BA130" s="265">
        <v>9</v>
      </c>
      <c r="BB130" s="265">
        <v>10</v>
      </c>
      <c r="BC130" s="265">
        <v>11</v>
      </c>
      <c r="BD130" s="265">
        <v>12</v>
      </c>
      <c r="BE130" s="265"/>
      <c r="BF130" s="265"/>
      <c r="BG130" s="265"/>
      <c r="BH130" s="265"/>
      <c r="BI130" s="265"/>
      <c r="BJ130" s="265"/>
      <c r="BK130" s="265" t="s">
        <v>13</v>
      </c>
      <c r="BL130" s="266">
        <v>1</v>
      </c>
      <c r="BM130" s="266">
        <v>2</v>
      </c>
      <c r="BN130" s="266">
        <v>3</v>
      </c>
      <c r="BO130" s="266">
        <v>4</v>
      </c>
      <c r="BP130" s="266">
        <v>5</v>
      </c>
      <c r="BQ130" s="266">
        <v>6</v>
      </c>
      <c r="BR130" s="266">
        <v>7</v>
      </c>
      <c r="BS130" s="266">
        <v>8</v>
      </c>
      <c r="BT130" s="266">
        <v>9</v>
      </c>
      <c r="BU130" s="266">
        <v>10</v>
      </c>
      <c r="BV130" s="266">
        <v>11</v>
      </c>
      <c r="BW130" s="266">
        <v>12</v>
      </c>
      <c r="BX130" s="265" t="s">
        <v>13</v>
      </c>
      <c r="BY130" s="1761"/>
      <c r="BZ130" s="1761"/>
      <c r="CA130" s="1748"/>
      <c r="CC130" s="1743" t="s">
        <v>19</v>
      </c>
      <c r="CD130" s="1744"/>
      <c r="CE130" s="1745"/>
      <c r="CG130" s="862"/>
      <c r="CH130" s="862"/>
      <c r="CI130" s="862"/>
      <c r="CJ130" s="862"/>
      <c r="CK130" s="862"/>
      <c r="CL130" s="862"/>
      <c r="CM130" s="862"/>
      <c r="CN130" s="862"/>
      <c r="CO130" s="1128">
        <f t="shared" si="221"/>
        <v>1</v>
      </c>
      <c r="CP130" s="862"/>
      <c r="CQ130" s="862"/>
      <c r="CR130" s="862"/>
      <c r="CS130" s="862"/>
      <c r="CT130" s="862"/>
      <c r="CU130" s="862"/>
      <c r="CV130" s="862"/>
      <c r="CW130" s="862"/>
      <c r="CX130" s="862"/>
      <c r="CY130" s="73">
        <f t="shared" si="215"/>
        <v>1</v>
      </c>
      <c r="CZ130" s="862"/>
      <c r="DA130" s="862"/>
      <c r="DB130" s="862"/>
      <c r="DC130" s="862"/>
      <c r="DD130" s="862"/>
      <c r="DE130" s="862"/>
      <c r="DF130" s="862"/>
      <c r="DG130" s="862"/>
      <c r="DH130" s="1128"/>
      <c r="DI130" s="862"/>
      <c r="DJ130" s="862"/>
      <c r="DK130" s="862"/>
      <c r="DL130" s="862"/>
      <c r="DM130" s="862"/>
      <c r="DN130" s="862"/>
      <c r="DO130" s="862"/>
      <c r="DP130" s="862"/>
      <c r="DQ130" s="862"/>
      <c r="DR130" s="73">
        <f t="shared" si="216"/>
        <v>0</v>
      </c>
      <c r="DS130" s="413"/>
      <c r="DT130" s="413"/>
      <c r="DU130" s="422"/>
      <c r="DV130" s="413"/>
      <c r="DW130" s="413"/>
      <c r="DX130" s="413"/>
      <c r="DY130" s="395"/>
      <c r="DZ130" s="395"/>
      <c r="EA130" s="395"/>
      <c r="EB130" s="395"/>
      <c r="EC130" s="395"/>
      <c r="ED130" s="395"/>
      <c r="EE130" s="395"/>
      <c r="EF130" s="395"/>
      <c r="EG130" s="395"/>
      <c r="EH130" s="395"/>
      <c r="EI130" s="395"/>
    </row>
    <row r="131" spans="1:157" s="305" customFormat="1" ht="24.75" customHeight="1" thickBot="1" x14ac:dyDescent="0.25">
      <c r="A131" s="294"/>
      <c r="B131" s="157" t="s">
        <v>268</v>
      </c>
      <c r="C131" s="295" t="s">
        <v>25</v>
      </c>
      <c r="D131" s="251">
        <v>108</v>
      </c>
      <c r="E131" s="836">
        <v>27</v>
      </c>
      <c r="F131" s="251">
        <v>9</v>
      </c>
      <c r="G131" s="398">
        <v>9</v>
      </c>
      <c r="H131" s="297">
        <v>9</v>
      </c>
      <c r="I131" s="297">
        <v>9</v>
      </c>
      <c r="J131" s="297">
        <v>9</v>
      </c>
      <c r="K131" s="297">
        <v>9</v>
      </c>
      <c r="L131" s="297">
        <v>9</v>
      </c>
      <c r="M131" s="464">
        <v>9</v>
      </c>
      <c r="N131" s="464">
        <v>9</v>
      </c>
      <c r="O131" s="297"/>
      <c r="P131" s="297"/>
      <c r="Q131" s="297"/>
      <c r="R131" s="297"/>
      <c r="S131" s="297"/>
      <c r="T131" s="297"/>
      <c r="U131" s="297"/>
      <c r="V131" s="297"/>
      <c r="W131" s="298">
        <f>SUM(E131:P131)</f>
        <v>108</v>
      </c>
      <c r="X131" s="146" t="s">
        <v>115</v>
      </c>
      <c r="Y131" s="324">
        <v>1100000</v>
      </c>
      <c r="Z131" s="1001">
        <v>1100000</v>
      </c>
      <c r="AA131" s="324">
        <v>1100000</v>
      </c>
      <c r="AB131" s="324">
        <v>1100000</v>
      </c>
      <c r="AC131" s="324">
        <v>1100000</v>
      </c>
      <c r="AD131" s="324">
        <v>1100000</v>
      </c>
      <c r="AE131" s="324">
        <v>1100000</v>
      </c>
      <c r="AF131" s="324">
        <v>1100000</v>
      </c>
      <c r="AG131" s="1001">
        <v>1100000</v>
      </c>
      <c r="AH131" s="1001">
        <v>1100000</v>
      </c>
      <c r="AI131" s="324">
        <v>1100000</v>
      </c>
      <c r="AJ131" s="324"/>
      <c r="AK131" s="324"/>
      <c r="AL131" s="1180"/>
      <c r="AM131" s="1180"/>
      <c r="AN131" s="1180"/>
      <c r="AO131" s="1180"/>
      <c r="AP131" s="1180"/>
      <c r="AQ131" s="1180"/>
      <c r="AR131" s="271">
        <f>SUM(W131*Y131)</f>
        <v>118800000</v>
      </c>
      <c r="AS131" s="1199">
        <f t="shared" ref="AS131:AY131" si="358">Z131*E131</f>
        <v>29700000</v>
      </c>
      <c r="AT131" s="272">
        <f t="shared" si="358"/>
        <v>9900000</v>
      </c>
      <c r="AU131" s="272">
        <f t="shared" si="358"/>
        <v>9900000</v>
      </c>
      <c r="AV131" s="272">
        <f t="shared" si="358"/>
        <v>9900000</v>
      </c>
      <c r="AW131" s="402">
        <f t="shared" si="358"/>
        <v>9900000</v>
      </c>
      <c r="AX131" s="272">
        <f t="shared" si="358"/>
        <v>9900000</v>
      </c>
      <c r="AY131" s="272">
        <f t="shared" si="358"/>
        <v>9900000</v>
      </c>
      <c r="AZ131" s="1199">
        <f>AG131*L131</f>
        <v>9900000</v>
      </c>
      <c r="BA131" s="1199">
        <f>AH131*M131</f>
        <v>9900000</v>
      </c>
      <c r="BB131" s="1298">
        <f>AI131*N131</f>
        <v>9900000</v>
      </c>
      <c r="BC131" s="272">
        <f>AJ131*O131</f>
        <v>0</v>
      </c>
      <c r="BD131" s="272">
        <f>AK131*P131</f>
        <v>0</v>
      </c>
      <c r="BE131" s="272"/>
      <c r="BF131" s="272"/>
      <c r="BG131" s="272"/>
      <c r="BH131" s="272"/>
      <c r="BI131" s="272"/>
      <c r="BJ131" s="272"/>
      <c r="BK131" s="273">
        <f>SUM(AS131:BD131)</f>
        <v>118800000</v>
      </c>
      <c r="BL131" s="272"/>
      <c r="BM131" s="272"/>
      <c r="BN131" s="272"/>
      <c r="BO131" s="1199"/>
      <c r="BP131" s="272"/>
      <c r="BQ131" s="272"/>
      <c r="BR131" s="272"/>
      <c r="BS131" s="272"/>
      <c r="BT131" s="272"/>
      <c r="BU131" s="272"/>
      <c r="BV131" s="272"/>
      <c r="BW131" s="272"/>
      <c r="BX131" s="299">
        <f>SUM(BL131:BW131)</f>
        <v>0</v>
      </c>
      <c r="BY131" s="300">
        <f>AR131-BK131-BX131</f>
        <v>0</v>
      </c>
      <c r="BZ131" s="301">
        <f>Y131*D131</f>
        <v>118800000</v>
      </c>
      <c r="CA131" s="302">
        <f>BZ131-BK131-BX131</f>
        <v>0</v>
      </c>
      <c r="CB131" s="276">
        <f>SUM(W131/D131)</f>
        <v>1</v>
      </c>
      <c r="CC131" s="1081"/>
      <c r="CD131" s="1081"/>
      <c r="CE131" s="1083"/>
      <c r="CG131" s="862"/>
      <c r="CH131" s="862"/>
      <c r="CI131" s="862"/>
      <c r="CJ131" s="862"/>
      <c r="CK131" s="862"/>
      <c r="CL131" s="862"/>
      <c r="CM131" s="862"/>
      <c r="CN131" s="862"/>
      <c r="CO131" s="1128">
        <f t="shared" si="221"/>
        <v>1237500</v>
      </c>
      <c r="CP131" s="862"/>
      <c r="CQ131" s="862"/>
      <c r="CR131" s="862"/>
      <c r="CS131" s="862"/>
      <c r="CT131" s="862"/>
      <c r="CU131" s="862"/>
      <c r="CV131" s="862"/>
      <c r="CW131" s="862"/>
      <c r="CX131" s="862"/>
      <c r="CY131" s="73">
        <f t="shared" si="215"/>
        <v>1237500</v>
      </c>
      <c r="CZ131" s="862"/>
      <c r="DA131" s="862"/>
      <c r="DB131" s="862"/>
      <c r="DC131" s="862"/>
      <c r="DD131" s="862"/>
      <c r="DE131" s="862"/>
      <c r="DF131" s="862"/>
      <c r="DG131" s="862"/>
      <c r="DH131" s="1128"/>
      <c r="DI131" s="862"/>
      <c r="DJ131" s="862"/>
      <c r="DK131" s="862"/>
      <c r="DL131" s="862"/>
      <c r="DM131" s="862"/>
      <c r="DN131" s="862"/>
      <c r="DO131" s="862"/>
      <c r="DP131" s="862"/>
      <c r="DQ131" s="862"/>
      <c r="DR131" s="73">
        <f t="shared" si="216"/>
        <v>0</v>
      </c>
      <c r="DS131" s="303"/>
      <c r="DT131" s="303"/>
      <c r="DU131" s="423"/>
      <c r="DV131" s="303"/>
      <c r="DW131" s="303"/>
      <c r="DX131" s="303"/>
      <c r="DY131" s="304"/>
      <c r="DZ131" s="304"/>
      <c r="EA131" s="304"/>
      <c r="EB131" s="304"/>
      <c r="EC131" s="304"/>
      <c r="ED131" s="304"/>
      <c r="EE131" s="304"/>
      <c r="EF131" s="304"/>
      <c r="EG131" s="304"/>
      <c r="EH131" s="304"/>
      <c r="EI131" s="304"/>
    </row>
    <row r="132" spans="1:157" s="282" customFormat="1" ht="24.75" customHeight="1" thickBot="1" x14ac:dyDescent="0.25">
      <c r="A132" s="577">
        <v>3</v>
      </c>
      <c r="B132" s="308" t="s">
        <v>4</v>
      </c>
      <c r="C132" s="308"/>
      <c r="D132" s="309"/>
      <c r="E132" s="465"/>
      <c r="F132" s="310"/>
      <c r="G132" s="399"/>
      <c r="H132" s="310"/>
      <c r="I132" s="465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1"/>
      <c r="X132" s="312"/>
      <c r="Y132" s="313"/>
      <c r="Z132" s="997"/>
      <c r="AA132" s="314"/>
      <c r="AB132" s="314"/>
      <c r="AC132" s="314"/>
      <c r="AD132" s="314"/>
      <c r="AE132" s="989"/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5">
        <f>SUM(AR131:AR131)</f>
        <v>118800000</v>
      </c>
      <c r="AS132" s="1232">
        <f>SUM(AS131:AS131)</f>
        <v>29700000</v>
      </c>
      <c r="AT132" s="315">
        <f>SUM(AT131:AT131)</f>
        <v>9900000</v>
      </c>
      <c r="AU132" s="315">
        <f>SUM(AU131:AU131)</f>
        <v>9900000</v>
      </c>
      <c r="AV132" s="315">
        <f t="shared" ref="AV132:BD132" si="359">SUM(AV131:AV131)</f>
        <v>9900000</v>
      </c>
      <c r="AW132" s="430">
        <f t="shared" si="359"/>
        <v>9900000</v>
      </c>
      <c r="AX132" s="315">
        <f t="shared" si="359"/>
        <v>9900000</v>
      </c>
      <c r="AY132" s="315">
        <f t="shared" si="359"/>
        <v>9900000</v>
      </c>
      <c r="AZ132" s="315">
        <f t="shared" si="359"/>
        <v>9900000</v>
      </c>
      <c r="BA132" s="315">
        <f t="shared" si="359"/>
        <v>9900000</v>
      </c>
      <c r="BB132" s="1478">
        <f t="shared" si="359"/>
        <v>9900000</v>
      </c>
      <c r="BC132" s="315">
        <f t="shared" si="359"/>
        <v>0</v>
      </c>
      <c r="BD132" s="315">
        <f t="shared" si="359"/>
        <v>0</v>
      </c>
      <c r="BE132" s="315"/>
      <c r="BF132" s="315"/>
      <c r="BG132" s="315"/>
      <c r="BH132" s="315"/>
      <c r="BI132" s="315"/>
      <c r="BJ132" s="315"/>
      <c r="BK132" s="315">
        <f>SUM(BK131:BK131)</f>
        <v>118800000</v>
      </c>
      <c r="BL132" s="315">
        <f>SUM(BL131:BL131)</f>
        <v>0</v>
      </c>
      <c r="BM132" s="315">
        <f>SUM(BM131:BM131)</f>
        <v>0</v>
      </c>
      <c r="BN132" s="315">
        <f>SUM(BN131:BN131)</f>
        <v>0</v>
      </c>
      <c r="BO132" s="1232"/>
      <c r="BP132" s="315"/>
      <c r="BQ132" s="315"/>
      <c r="BR132" s="315"/>
      <c r="BS132" s="315"/>
      <c r="BT132" s="315"/>
      <c r="BU132" s="315"/>
      <c r="BV132" s="315"/>
      <c r="BW132" s="315"/>
      <c r="BX132" s="315">
        <f>SUM(BX131:BX131)</f>
        <v>0</v>
      </c>
      <c r="BY132" s="316">
        <f>AR132-BK132-BX132</f>
        <v>0</v>
      </c>
      <c r="BZ132" s="315">
        <f>SUM(BZ131:BZ131)</f>
        <v>118800000</v>
      </c>
      <c r="CA132" s="315">
        <f>SUM(CA131:CA131)</f>
        <v>0</v>
      </c>
      <c r="CB132" s="279">
        <f>SUM(CB131)</f>
        <v>1</v>
      </c>
      <c r="CC132" s="1081"/>
      <c r="CD132" s="1081"/>
      <c r="CE132" s="1083"/>
      <c r="CF132" s="317"/>
      <c r="CG132" s="425"/>
      <c r="CH132" s="317"/>
      <c r="CI132" s="317"/>
      <c r="CJ132" s="317"/>
      <c r="CK132" s="425"/>
      <c r="CL132" s="317"/>
      <c r="CM132" s="317"/>
      <c r="CN132" s="317"/>
      <c r="CO132" s="425"/>
      <c r="CP132" s="317"/>
      <c r="CQ132" s="317"/>
      <c r="CR132" s="317"/>
      <c r="CS132" s="317"/>
      <c r="CT132" s="317"/>
      <c r="CU132" s="317"/>
      <c r="CV132" s="317"/>
      <c r="CW132" s="317"/>
      <c r="CX132" s="317"/>
      <c r="CY132" s="425"/>
      <c r="CZ132" s="317"/>
      <c r="DA132" s="317"/>
      <c r="DB132" s="317"/>
      <c r="DC132" s="425"/>
      <c r="DD132" s="317"/>
      <c r="DE132" s="317"/>
      <c r="DF132" s="317"/>
      <c r="DG132" s="425"/>
      <c r="DH132" s="317"/>
      <c r="DI132" s="317"/>
      <c r="DJ132" s="317"/>
      <c r="DK132" s="317"/>
      <c r="DL132" s="317"/>
      <c r="DM132" s="317"/>
      <c r="DN132" s="317"/>
      <c r="DO132" s="317"/>
      <c r="DP132" s="317"/>
      <c r="DQ132" s="317"/>
      <c r="DR132" s="317"/>
      <c r="DS132" s="317"/>
      <c r="DT132" s="317"/>
      <c r="DU132" s="425"/>
      <c r="DV132" s="317"/>
      <c r="DW132" s="317"/>
      <c r="DX132" s="317"/>
      <c r="DY132" s="318"/>
      <c r="DZ132" s="318"/>
      <c r="EA132" s="318"/>
      <c r="EB132" s="318"/>
      <c r="EC132" s="318"/>
      <c r="ED132" s="318"/>
      <c r="EE132" s="318"/>
      <c r="EF132" s="318"/>
      <c r="EG132" s="318"/>
      <c r="EH132" s="318"/>
      <c r="EI132" s="318"/>
    </row>
    <row r="133" spans="1:157" s="262" customFormat="1" ht="24.75" customHeight="1" x14ac:dyDescent="0.2">
      <c r="A133" s="283"/>
      <c r="D133" s="283"/>
      <c r="E133" s="463"/>
      <c r="F133" s="283"/>
      <c r="G133" s="397"/>
      <c r="H133" s="283"/>
      <c r="I133" s="46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Z133" s="998"/>
      <c r="AS133" s="998"/>
      <c r="BK133" s="291"/>
      <c r="BO133" s="998"/>
      <c r="BX133" s="319">
        <f>SUM(BK132+BX132)</f>
        <v>118800000</v>
      </c>
      <c r="BY133" s="284">
        <f>AR132-BK132-BX132</f>
        <v>0</v>
      </c>
      <c r="BZ133" s="320">
        <f>SUM(CA132+BK132+BX132)</f>
        <v>118800000</v>
      </c>
      <c r="CA133" s="285">
        <f>SUM(BY132)</f>
        <v>0</v>
      </c>
      <c r="CB133" s="280" t="s">
        <v>38</v>
      </c>
      <c r="CC133" s="1011"/>
      <c r="CD133" s="1012"/>
      <c r="CE133" s="260"/>
      <c r="CF133" s="409"/>
      <c r="CG133" s="417"/>
      <c r="CH133" s="409"/>
      <c r="CI133" s="409"/>
      <c r="CJ133" s="409"/>
      <c r="CK133" s="417"/>
      <c r="CL133" s="409"/>
      <c r="CM133" s="409"/>
      <c r="CN133" s="409"/>
      <c r="CO133" s="417"/>
      <c r="CP133" s="409"/>
      <c r="CQ133" s="409"/>
      <c r="CR133" s="409"/>
      <c r="CS133" s="409"/>
      <c r="CT133" s="409"/>
      <c r="CU133" s="409"/>
      <c r="CV133" s="409"/>
      <c r="CW133" s="409"/>
      <c r="CX133" s="409"/>
      <c r="CY133" s="417"/>
      <c r="CZ133" s="409"/>
      <c r="DA133" s="409"/>
      <c r="DB133" s="409"/>
      <c r="DC133" s="417"/>
      <c r="DD133" s="409"/>
      <c r="DE133" s="409"/>
      <c r="DF133" s="409"/>
      <c r="DG133" s="417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17"/>
      <c r="DV133" s="409"/>
      <c r="DW133" s="409"/>
      <c r="DX133" s="409"/>
      <c r="DY133" s="260"/>
      <c r="DZ133" s="260"/>
      <c r="EA133" s="260"/>
      <c r="EB133" s="260"/>
      <c r="EC133" s="260"/>
      <c r="ED133" s="260"/>
      <c r="EE133" s="260"/>
      <c r="EF133" s="260"/>
      <c r="EG133" s="260"/>
      <c r="EH133" s="260"/>
      <c r="EI133" s="260"/>
      <c r="EJ133" s="260"/>
    </row>
    <row r="134" spans="1:157" s="262" customFormat="1" ht="24.75" customHeight="1" x14ac:dyDescent="0.2">
      <c r="A134" s="283"/>
      <c r="D134" s="283"/>
      <c r="E134" s="463"/>
      <c r="F134" s="283"/>
      <c r="G134" s="397"/>
      <c r="H134" s="283"/>
      <c r="I134" s="46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Z134" s="998"/>
      <c r="AS134" s="998"/>
      <c r="BK134" s="280"/>
      <c r="BL134" s="388">
        <f>SUM(AS132+BL132)</f>
        <v>29700000</v>
      </c>
      <c r="BM134" s="388">
        <f t="shared" ref="BM134" si="360">SUM(AT132+BM132)</f>
        <v>9900000</v>
      </c>
      <c r="BN134" s="388">
        <f t="shared" ref="BN134" si="361">SUM(AU132+BN132)</f>
        <v>9900000</v>
      </c>
      <c r="BO134" s="1357">
        <f t="shared" ref="BO134" si="362">SUM(AV132+BO132)</f>
        <v>9900000</v>
      </c>
      <c r="BP134" s="388">
        <f t="shared" ref="BP134" si="363">SUM(AW132+BP132)</f>
        <v>9900000</v>
      </c>
      <c r="BQ134" s="388">
        <f t="shared" ref="BQ134" si="364">SUM(AX132+BQ132)</f>
        <v>9900000</v>
      </c>
      <c r="BR134" s="388">
        <f t="shared" ref="BR134" si="365">SUM(AY132+BR132)</f>
        <v>9900000</v>
      </c>
      <c r="BS134" s="388">
        <f t="shared" ref="BS134" si="366">SUM(AZ132+BS132)</f>
        <v>9900000</v>
      </c>
      <c r="BT134" s="388">
        <f t="shared" ref="BT134" si="367">SUM(BA132+BT132)</f>
        <v>9900000</v>
      </c>
      <c r="BU134" s="388">
        <f t="shared" ref="BU134" si="368">SUM(BB132+BU132)</f>
        <v>9900000</v>
      </c>
      <c r="BV134" s="388">
        <f t="shared" ref="BV134" si="369">SUM(BC132+BV132)</f>
        <v>0</v>
      </c>
      <c r="BW134" s="388">
        <f t="shared" ref="BW134" si="370">SUM(BD132+BW132)</f>
        <v>0</v>
      </c>
      <c r="BX134" s="388">
        <f>SUM(BL134:BW134)</f>
        <v>118800000</v>
      </c>
      <c r="BY134" s="280"/>
      <c r="BZ134" s="286"/>
      <c r="CA134" s="287">
        <f>SUM(CA132-CA133)</f>
        <v>0</v>
      </c>
      <c r="CB134" s="280" t="s">
        <v>37</v>
      </c>
      <c r="CC134" s="1011"/>
      <c r="CD134" s="1012"/>
      <c r="CE134" s="260"/>
      <c r="CF134" s="409"/>
      <c r="CG134" s="417"/>
      <c r="CH134" s="409"/>
      <c r="CI134" s="409"/>
      <c r="CJ134" s="409"/>
      <c r="CK134" s="417"/>
      <c r="CL134" s="409"/>
      <c r="CM134" s="409"/>
      <c r="CN134" s="409"/>
      <c r="CO134" s="417"/>
      <c r="CP134" s="409"/>
      <c r="CQ134" s="409"/>
      <c r="CR134" s="409"/>
      <c r="CS134" s="409"/>
      <c r="CT134" s="409"/>
      <c r="CU134" s="409"/>
      <c r="CV134" s="409"/>
      <c r="CW134" s="409"/>
      <c r="CX134" s="409"/>
      <c r="CY134" s="417"/>
      <c r="CZ134" s="409"/>
      <c r="DA134" s="409"/>
      <c r="DB134" s="409"/>
      <c r="DC134" s="417"/>
      <c r="DD134" s="409"/>
      <c r="DE134" s="409"/>
      <c r="DF134" s="409"/>
      <c r="DG134" s="417"/>
      <c r="DH134" s="409"/>
      <c r="DI134" s="409"/>
      <c r="DJ134" s="409"/>
      <c r="DK134" s="409"/>
      <c r="DL134" s="409"/>
      <c r="DM134" s="409"/>
      <c r="DN134" s="409"/>
      <c r="DO134" s="409"/>
      <c r="DP134" s="409"/>
      <c r="DQ134" s="409"/>
      <c r="DR134" s="409"/>
      <c r="DS134" s="409"/>
      <c r="DT134" s="409"/>
      <c r="DU134" s="417"/>
      <c r="DV134" s="409"/>
      <c r="DW134" s="409"/>
      <c r="DX134" s="409"/>
      <c r="DY134" s="260"/>
      <c r="DZ134" s="260"/>
      <c r="EA134" s="260"/>
      <c r="EB134" s="260"/>
      <c r="EC134" s="260"/>
      <c r="ED134" s="260"/>
      <c r="EE134" s="260"/>
      <c r="EF134" s="260"/>
      <c r="EG134" s="260"/>
      <c r="EH134" s="260"/>
      <c r="EI134" s="260"/>
      <c r="EJ134" s="260"/>
    </row>
    <row r="135" spans="1:157" s="262" customFormat="1" ht="24.75" customHeight="1" x14ac:dyDescent="0.2">
      <c r="A135" s="1754" t="s">
        <v>8</v>
      </c>
      <c r="B135" s="1755"/>
      <c r="C135" s="244" t="s">
        <v>148</v>
      </c>
      <c r="D135" s="245"/>
      <c r="E135" s="462"/>
      <c r="F135" s="245"/>
      <c r="G135" s="292"/>
      <c r="H135" s="245"/>
      <c r="I135" s="462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994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46"/>
      <c r="AM135" s="246"/>
      <c r="AN135" s="246"/>
      <c r="AO135" s="246"/>
      <c r="AP135" s="246"/>
      <c r="AQ135" s="246"/>
      <c r="AR135" s="245"/>
      <c r="AS135" s="994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7"/>
      <c r="BL135" s="246"/>
      <c r="BM135" s="246"/>
      <c r="BN135" s="246"/>
      <c r="BO135" s="994"/>
      <c r="BP135" s="246"/>
      <c r="BQ135" s="246"/>
      <c r="BR135" s="246"/>
      <c r="BS135" s="246"/>
      <c r="BT135" s="246"/>
      <c r="BU135" s="246"/>
      <c r="BV135" s="246"/>
      <c r="BW135" s="246"/>
      <c r="BX135" s="247"/>
      <c r="BY135" s="247"/>
      <c r="BZ135" s="243"/>
      <c r="CA135" s="248"/>
      <c r="CB135" s="245"/>
      <c r="CC135" s="1008"/>
      <c r="CD135" s="1008"/>
      <c r="CE135" s="246"/>
      <c r="CF135" s="292"/>
      <c r="CG135" s="418"/>
      <c r="CH135" s="292"/>
      <c r="CI135" s="249"/>
      <c r="CJ135" s="292"/>
      <c r="CK135" s="418"/>
      <c r="CL135" s="292"/>
      <c r="CM135" s="249"/>
      <c r="CN135" s="292"/>
      <c r="CO135" s="418"/>
      <c r="CP135" s="292"/>
      <c r="CQ135" s="249"/>
      <c r="CR135" s="249"/>
      <c r="CS135" s="249"/>
      <c r="CT135" s="249"/>
      <c r="CU135" s="249"/>
      <c r="CV135" s="249"/>
      <c r="CW135" s="249"/>
      <c r="CX135" s="249"/>
      <c r="CY135" s="418"/>
      <c r="CZ135" s="292"/>
      <c r="DA135" s="249"/>
      <c r="DB135" s="292"/>
      <c r="DC135" s="418"/>
      <c r="DD135" s="292"/>
      <c r="DE135" s="249"/>
      <c r="DF135" s="292"/>
      <c r="DG135" s="418"/>
      <c r="DH135" s="292"/>
      <c r="DI135" s="249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49"/>
      <c r="DT135" s="292"/>
      <c r="DU135" s="418"/>
      <c r="DV135" s="292"/>
      <c r="DW135" s="249"/>
      <c r="DX135" s="292"/>
      <c r="DY135" s="246"/>
      <c r="DZ135" s="246"/>
      <c r="EA135" s="246"/>
      <c r="EB135" s="246"/>
      <c r="EC135" s="247"/>
      <c r="ED135" s="247"/>
      <c r="EE135" s="247"/>
      <c r="EF135" s="243"/>
      <c r="EG135" s="248"/>
      <c r="EH135" s="247"/>
      <c r="EI135" s="247"/>
      <c r="EJ135" s="260"/>
      <c r="EK135" s="260"/>
      <c r="EL135" s="260"/>
      <c r="EM135" s="260"/>
      <c r="EN135" s="260"/>
      <c r="EO135" s="261"/>
      <c r="EP135" s="260"/>
      <c r="EQ135" s="260"/>
      <c r="ER135" s="260"/>
      <c r="ES135" s="260"/>
      <c r="ET135" s="260"/>
      <c r="EU135" s="260"/>
      <c r="EV135" s="260"/>
      <c r="EW135" s="260"/>
      <c r="EX135" s="260"/>
      <c r="EY135" s="260"/>
      <c r="EZ135" s="260"/>
      <c r="FA135" s="260"/>
    </row>
    <row r="136" spans="1:157" s="264" customFormat="1" ht="48.75" customHeight="1" x14ac:dyDescent="0.2">
      <c r="A136" s="1756" t="s">
        <v>10</v>
      </c>
      <c r="B136" s="1759" t="s">
        <v>11</v>
      </c>
      <c r="C136" s="1759" t="s">
        <v>22</v>
      </c>
      <c r="D136" s="1762" t="s">
        <v>12</v>
      </c>
      <c r="E136" s="1762"/>
      <c r="F136" s="1762"/>
      <c r="G136" s="1762"/>
      <c r="H136" s="1762"/>
      <c r="I136" s="1762"/>
      <c r="J136" s="1762"/>
      <c r="K136" s="1762"/>
      <c r="L136" s="1762"/>
      <c r="M136" s="1762"/>
      <c r="N136" s="1762"/>
      <c r="O136" s="1762"/>
      <c r="P136" s="1762"/>
      <c r="Q136" s="1762"/>
      <c r="R136" s="1762"/>
      <c r="S136" s="1762"/>
      <c r="T136" s="1762"/>
      <c r="U136" s="1762"/>
      <c r="V136" s="1762"/>
      <c r="W136" s="1762"/>
      <c r="X136" s="1759" t="s">
        <v>20</v>
      </c>
      <c r="Y136" s="1763" t="s">
        <v>17</v>
      </c>
      <c r="Z136" s="1764"/>
      <c r="AA136" s="1764"/>
      <c r="AB136" s="1764"/>
      <c r="AC136" s="1764"/>
      <c r="AD136" s="1764"/>
      <c r="AE136" s="1764"/>
      <c r="AF136" s="1764"/>
      <c r="AG136" s="1764"/>
      <c r="AH136" s="1764"/>
      <c r="AI136" s="1764"/>
      <c r="AJ136" s="1764"/>
      <c r="AK136" s="1764"/>
      <c r="AL136" s="1178"/>
      <c r="AM136" s="1178"/>
      <c r="AN136" s="1178"/>
      <c r="AO136" s="1178"/>
      <c r="AP136" s="1178"/>
      <c r="AQ136" s="1178"/>
      <c r="AR136" s="1766" t="s">
        <v>6</v>
      </c>
      <c r="AS136" s="1766"/>
      <c r="AT136" s="1766"/>
      <c r="AU136" s="1766"/>
      <c r="AV136" s="1766"/>
      <c r="AW136" s="1766"/>
      <c r="AX136" s="1766"/>
      <c r="AY136" s="1766"/>
      <c r="AZ136" s="1766"/>
      <c r="BA136" s="1766"/>
      <c r="BB136" s="1766"/>
      <c r="BC136" s="1766"/>
      <c r="BD136" s="1766"/>
      <c r="BE136" s="1766"/>
      <c r="BF136" s="1766"/>
      <c r="BG136" s="1766"/>
      <c r="BH136" s="1766"/>
      <c r="BI136" s="1766"/>
      <c r="BJ136" s="1766"/>
      <c r="BK136" s="1766"/>
      <c r="BL136" s="1767" t="s">
        <v>41</v>
      </c>
      <c r="BM136" s="1768"/>
      <c r="BN136" s="1768"/>
      <c r="BO136" s="1768"/>
      <c r="BP136" s="1768"/>
      <c r="BQ136" s="1768"/>
      <c r="BR136" s="1768"/>
      <c r="BS136" s="1768"/>
      <c r="BT136" s="1768"/>
      <c r="BU136" s="1768"/>
      <c r="BV136" s="1768"/>
      <c r="BW136" s="1768"/>
      <c r="BX136" s="1769"/>
      <c r="BY136" s="1759" t="s">
        <v>38</v>
      </c>
      <c r="BZ136" s="1759" t="s">
        <v>256</v>
      </c>
      <c r="CA136" s="1746" t="s">
        <v>39</v>
      </c>
      <c r="CB136" s="243"/>
      <c r="CC136" s="135"/>
      <c r="CD136" s="135"/>
      <c r="CE136" s="135"/>
      <c r="CF136" s="135"/>
      <c r="CG136" s="1733" t="s">
        <v>41</v>
      </c>
      <c r="CH136" s="1734"/>
      <c r="CI136" s="1734"/>
      <c r="CJ136" s="1734"/>
      <c r="CK136" s="1734"/>
      <c r="CL136" s="1734"/>
      <c r="CM136" s="1734"/>
      <c r="CN136" s="1734"/>
      <c r="CO136" s="1734"/>
      <c r="CP136" s="1734"/>
      <c r="CQ136" s="1734"/>
      <c r="CR136" s="1734"/>
      <c r="CS136" s="1734"/>
      <c r="CT136" s="1734"/>
      <c r="CU136" s="1734"/>
      <c r="CV136" s="1734"/>
      <c r="CW136" s="1734"/>
      <c r="CX136" s="1734"/>
      <c r="CY136" s="1734"/>
      <c r="CZ136" s="1734"/>
      <c r="DA136" s="1734"/>
      <c r="DB136" s="1734"/>
      <c r="DC136" s="1734"/>
      <c r="DD136" s="1734"/>
      <c r="DE136" s="1734"/>
      <c r="DF136" s="1734"/>
      <c r="DG136" s="1734"/>
      <c r="DH136" s="1734"/>
      <c r="DI136" s="1734"/>
      <c r="DJ136" s="1734"/>
      <c r="DK136" s="1734"/>
      <c r="DL136" s="1734"/>
      <c r="DM136" s="1734"/>
      <c r="DN136" s="1734"/>
      <c r="DO136" s="1734"/>
      <c r="DP136" s="1734"/>
      <c r="DQ136" s="1734"/>
      <c r="DR136" s="1735"/>
      <c r="DS136" s="292"/>
      <c r="DT136" s="292"/>
      <c r="DU136" s="418"/>
      <c r="DV136" s="292"/>
      <c r="DW136" s="292"/>
      <c r="DX136" s="292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63"/>
      <c r="EI136" s="263"/>
    </row>
    <row r="137" spans="1:157" s="264" customFormat="1" ht="48.75" customHeight="1" x14ac:dyDescent="0.2">
      <c r="A137" s="1757"/>
      <c r="B137" s="1760"/>
      <c r="C137" s="1760"/>
      <c r="D137" s="1749" t="s">
        <v>18</v>
      </c>
      <c r="E137" s="1751" t="s">
        <v>19</v>
      </c>
      <c r="F137" s="1752"/>
      <c r="G137" s="1752"/>
      <c r="H137" s="1752"/>
      <c r="I137" s="1752"/>
      <c r="J137" s="1752"/>
      <c r="K137" s="1752"/>
      <c r="L137" s="1752"/>
      <c r="M137" s="1752"/>
      <c r="N137" s="1752"/>
      <c r="O137" s="1752"/>
      <c r="P137" s="1752"/>
      <c r="Q137" s="1752"/>
      <c r="R137" s="1752"/>
      <c r="S137" s="1752"/>
      <c r="T137" s="1752"/>
      <c r="U137" s="1752"/>
      <c r="V137" s="1752"/>
      <c r="W137" s="1752"/>
      <c r="X137" s="1760"/>
      <c r="Y137" s="1749" t="s">
        <v>18</v>
      </c>
      <c r="Z137" s="1751" t="s">
        <v>19</v>
      </c>
      <c r="AA137" s="1752"/>
      <c r="AB137" s="1752"/>
      <c r="AC137" s="1752"/>
      <c r="AD137" s="1752"/>
      <c r="AE137" s="1752"/>
      <c r="AF137" s="1752"/>
      <c r="AG137" s="1752"/>
      <c r="AH137" s="1752"/>
      <c r="AI137" s="1752"/>
      <c r="AJ137" s="1752"/>
      <c r="AK137" s="1752"/>
      <c r="AL137" s="1179"/>
      <c r="AM137" s="1179"/>
      <c r="AN137" s="1179"/>
      <c r="AO137" s="1179"/>
      <c r="AP137" s="1179"/>
      <c r="AQ137" s="1179"/>
      <c r="AR137" s="1749" t="s">
        <v>18</v>
      </c>
      <c r="AS137" s="1751" t="s">
        <v>19</v>
      </c>
      <c r="AT137" s="1752"/>
      <c r="AU137" s="1752"/>
      <c r="AV137" s="1752"/>
      <c r="AW137" s="1752"/>
      <c r="AX137" s="1752"/>
      <c r="AY137" s="1752"/>
      <c r="AZ137" s="1752"/>
      <c r="BA137" s="1752"/>
      <c r="BB137" s="1752"/>
      <c r="BC137" s="1752"/>
      <c r="BD137" s="1752"/>
      <c r="BE137" s="1752"/>
      <c r="BF137" s="1752"/>
      <c r="BG137" s="1752"/>
      <c r="BH137" s="1752"/>
      <c r="BI137" s="1752"/>
      <c r="BJ137" s="1752"/>
      <c r="BK137" s="1753"/>
      <c r="BL137" s="1770"/>
      <c r="BM137" s="1771"/>
      <c r="BN137" s="1771"/>
      <c r="BO137" s="1771"/>
      <c r="BP137" s="1771"/>
      <c r="BQ137" s="1771"/>
      <c r="BR137" s="1771"/>
      <c r="BS137" s="1771"/>
      <c r="BT137" s="1771"/>
      <c r="BU137" s="1771"/>
      <c r="BV137" s="1771"/>
      <c r="BW137" s="1771"/>
      <c r="BX137" s="1772"/>
      <c r="BY137" s="1760"/>
      <c r="BZ137" s="1760"/>
      <c r="CA137" s="1747"/>
      <c r="CB137" s="243"/>
      <c r="CC137" s="1736">
        <f>SUM(CC139/60)</f>
        <v>0</v>
      </c>
      <c r="CD137" s="1736"/>
      <c r="CE137" s="1736"/>
      <c r="CF137" s="23"/>
      <c r="CG137" s="1737" t="s">
        <v>686</v>
      </c>
      <c r="CH137" s="1738"/>
      <c r="CI137" s="1738"/>
      <c r="CJ137" s="1738"/>
      <c r="CK137" s="1738"/>
      <c r="CL137" s="1738"/>
      <c r="CM137" s="1738"/>
      <c r="CN137" s="1738"/>
      <c r="CO137" s="1738"/>
      <c r="CP137" s="1738"/>
      <c r="CQ137" s="1738"/>
      <c r="CR137" s="1738"/>
      <c r="CS137" s="1738"/>
      <c r="CT137" s="1738"/>
      <c r="CU137" s="1738"/>
      <c r="CV137" s="1738"/>
      <c r="CW137" s="1738"/>
      <c r="CX137" s="1738"/>
      <c r="CY137" s="1739"/>
      <c r="CZ137" s="1740" t="s">
        <v>687</v>
      </c>
      <c r="DA137" s="1741"/>
      <c r="DB137" s="1741"/>
      <c r="DC137" s="1741"/>
      <c r="DD137" s="1741"/>
      <c r="DE137" s="1741"/>
      <c r="DF137" s="1741"/>
      <c r="DG137" s="1741"/>
      <c r="DH137" s="1741"/>
      <c r="DI137" s="1741"/>
      <c r="DJ137" s="1741"/>
      <c r="DK137" s="1741"/>
      <c r="DL137" s="1741"/>
      <c r="DM137" s="1741"/>
      <c r="DN137" s="1741"/>
      <c r="DO137" s="1741"/>
      <c r="DP137" s="1741"/>
      <c r="DQ137" s="1741"/>
      <c r="DR137" s="1742"/>
      <c r="DS137" s="292"/>
      <c r="DT137" s="292"/>
      <c r="DU137" s="418"/>
      <c r="DV137" s="292"/>
      <c r="DW137" s="292"/>
      <c r="DX137" s="292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63"/>
      <c r="EI137" s="263"/>
    </row>
    <row r="138" spans="1:157" s="267" customFormat="1" ht="28.5" customHeight="1" x14ac:dyDescent="0.2">
      <c r="A138" s="1758"/>
      <c r="B138" s="1761"/>
      <c r="C138" s="1761"/>
      <c r="D138" s="1750"/>
      <c r="E138" s="265">
        <v>1</v>
      </c>
      <c r="F138" s="265">
        <v>2</v>
      </c>
      <c r="G138" s="265">
        <v>3</v>
      </c>
      <c r="H138" s="265">
        <v>4</v>
      </c>
      <c r="I138" s="265">
        <v>5</v>
      </c>
      <c r="J138" s="265">
        <v>6</v>
      </c>
      <c r="K138" s="265">
        <v>7</v>
      </c>
      <c r="L138" s="265">
        <v>8</v>
      </c>
      <c r="M138" s="265">
        <v>9</v>
      </c>
      <c r="N138" s="265">
        <v>10</v>
      </c>
      <c r="O138" s="265">
        <v>11</v>
      </c>
      <c r="P138" s="265">
        <v>12</v>
      </c>
      <c r="Q138" s="265"/>
      <c r="R138" s="265"/>
      <c r="S138" s="265"/>
      <c r="T138" s="265"/>
      <c r="U138" s="265"/>
      <c r="V138" s="265"/>
      <c r="W138" s="265" t="s">
        <v>21</v>
      </c>
      <c r="X138" s="1761"/>
      <c r="Y138" s="1750"/>
      <c r="Z138" s="265">
        <v>1</v>
      </c>
      <c r="AA138" s="265">
        <v>2</v>
      </c>
      <c r="AB138" s="265">
        <v>3</v>
      </c>
      <c r="AC138" s="265">
        <v>4</v>
      </c>
      <c r="AD138" s="265">
        <v>5</v>
      </c>
      <c r="AE138" s="265">
        <v>6</v>
      </c>
      <c r="AF138" s="265">
        <v>7</v>
      </c>
      <c r="AG138" s="265">
        <v>8</v>
      </c>
      <c r="AH138" s="265">
        <v>9</v>
      </c>
      <c r="AI138" s="265">
        <v>10</v>
      </c>
      <c r="AJ138" s="265">
        <v>11</v>
      </c>
      <c r="AK138" s="265">
        <v>12</v>
      </c>
      <c r="AL138" s="266"/>
      <c r="AM138" s="266"/>
      <c r="AN138" s="266"/>
      <c r="AO138" s="266"/>
      <c r="AP138" s="266"/>
      <c r="AQ138" s="266"/>
      <c r="AR138" s="1750"/>
      <c r="AS138" s="1351">
        <v>1</v>
      </c>
      <c r="AT138" s="265">
        <v>2</v>
      </c>
      <c r="AU138" s="265">
        <v>3</v>
      </c>
      <c r="AV138" s="265">
        <v>4</v>
      </c>
      <c r="AW138" s="265">
        <v>5</v>
      </c>
      <c r="AX138" s="265">
        <v>6</v>
      </c>
      <c r="AY138" s="265">
        <v>7</v>
      </c>
      <c r="AZ138" s="265">
        <v>8</v>
      </c>
      <c r="BA138" s="265">
        <v>9</v>
      </c>
      <c r="BB138" s="265">
        <v>10</v>
      </c>
      <c r="BC138" s="265">
        <v>11</v>
      </c>
      <c r="BD138" s="265">
        <v>12</v>
      </c>
      <c r="BE138" s="265"/>
      <c r="BF138" s="265"/>
      <c r="BG138" s="265"/>
      <c r="BH138" s="265"/>
      <c r="BI138" s="265"/>
      <c r="BJ138" s="265"/>
      <c r="BK138" s="265" t="s">
        <v>13</v>
      </c>
      <c r="BL138" s="266">
        <v>1</v>
      </c>
      <c r="BM138" s="266">
        <v>2</v>
      </c>
      <c r="BN138" s="266">
        <v>3</v>
      </c>
      <c r="BO138" s="266">
        <v>4</v>
      </c>
      <c r="BP138" s="266">
        <v>5</v>
      </c>
      <c r="BQ138" s="266">
        <v>6</v>
      </c>
      <c r="BR138" s="266">
        <v>7</v>
      </c>
      <c r="BS138" s="266">
        <v>8</v>
      </c>
      <c r="BT138" s="266">
        <v>9</v>
      </c>
      <c r="BU138" s="266">
        <v>10</v>
      </c>
      <c r="BV138" s="266">
        <v>11</v>
      </c>
      <c r="BW138" s="266">
        <v>12</v>
      </c>
      <c r="BX138" s="265" t="s">
        <v>13</v>
      </c>
      <c r="BY138" s="1761"/>
      <c r="BZ138" s="1761"/>
      <c r="CA138" s="1748"/>
      <c r="CC138" s="1743" t="s">
        <v>19</v>
      </c>
      <c r="CD138" s="1744"/>
      <c r="CE138" s="1745"/>
      <c r="CF138" s="621"/>
      <c r="CG138" s="173">
        <v>1</v>
      </c>
      <c r="CH138" s="173">
        <v>2</v>
      </c>
      <c r="CI138" s="173">
        <v>3</v>
      </c>
      <c r="CJ138" s="173">
        <v>4</v>
      </c>
      <c r="CK138" s="173">
        <v>5</v>
      </c>
      <c r="CL138" s="173">
        <v>6</v>
      </c>
      <c r="CM138" s="173">
        <v>7</v>
      </c>
      <c r="CN138" s="173">
        <v>8</v>
      </c>
      <c r="CO138" s="173">
        <v>9</v>
      </c>
      <c r="CP138" s="173">
        <v>10</v>
      </c>
      <c r="CQ138" s="173">
        <v>11</v>
      </c>
      <c r="CR138" s="173"/>
      <c r="CS138" s="173"/>
      <c r="CT138" s="173"/>
      <c r="CU138" s="173"/>
      <c r="CV138" s="173"/>
      <c r="CW138" s="173"/>
      <c r="CX138" s="173"/>
      <c r="CY138" s="26" t="s">
        <v>13</v>
      </c>
      <c r="CZ138" s="173">
        <v>1</v>
      </c>
      <c r="DA138" s="173">
        <v>2</v>
      </c>
      <c r="DB138" s="173">
        <v>3</v>
      </c>
      <c r="DC138" s="173">
        <v>4</v>
      </c>
      <c r="DD138" s="173">
        <v>5</v>
      </c>
      <c r="DE138" s="173">
        <v>6</v>
      </c>
      <c r="DF138" s="173">
        <v>7</v>
      </c>
      <c r="DG138" s="173">
        <v>8</v>
      </c>
      <c r="DH138" s="173">
        <v>9</v>
      </c>
      <c r="DI138" s="173">
        <v>10</v>
      </c>
      <c r="DJ138" s="173">
        <v>11</v>
      </c>
      <c r="DK138" s="173"/>
      <c r="DL138" s="173"/>
      <c r="DM138" s="173"/>
      <c r="DN138" s="173"/>
      <c r="DO138" s="173"/>
      <c r="DP138" s="173"/>
      <c r="DQ138" s="173"/>
      <c r="DR138" s="26" t="s">
        <v>13</v>
      </c>
      <c r="DS138" s="413"/>
      <c r="DT138" s="413"/>
      <c r="DU138" s="422"/>
      <c r="DV138" s="413"/>
      <c r="DW138" s="413"/>
      <c r="DX138" s="413"/>
      <c r="DY138" s="395"/>
      <c r="DZ138" s="395"/>
      <c r="EA138" s="395"/>
      <c r="EB138" s="395"/>
      <c r="EC138" s="395"/>
      <c r="ED138" s="395"/>
      <c r="EE138" s="395"/>
      <c r="EF138" s="395"/>
      <c r="EG138" s="395"/>
      <c r="EH138" s="395"/>
      <c r="EI138" s="395"/>
    </row>
    <row r="139" spans="1:157" s="305" customFormat="1" ht="24.75" customHeight="1" thickBot="1" x14ac:dyDescent="0.25">
      <c r="A139" s="294"/>
      <c r="B139" s="157" t="s">
        <v>269</v>
      </c>
      <c r="C139" s="295" t="s">
        <v>25</v>
      </c>
      <c r="D139" s="251">
        <v>108</v>
      </c>
      <c r="E139" s="251">
        <v>9</v>
      </c>
      <c r="F139" s="251">
        <v>9</v>
      </c>
      <c r="G139" s="398">
        <v>9</v>
      </c>
      <c r="H139" s="398">
        <v>9</v>
      </c>
      <c r="I139" s="398">
        <v>9</v>
      </c>
      <c r="J139" s="297">
        <v>9</v>
      </c>
      <c r="K139" s="297">
        <v>9</v>
      </c>
      <c r="L139" s="297">
        <v>9</v>
      </c>
      <c r="M139" s="464">
        <f>9*4</f>
        <v>36</v>
      </c>
      <c r="N139" s="297"/>
      <c r="O139" s="297"/>
      <c r="P139" s="297"/>
      <c r="Q139" s="297"/>
      <c r="R139" s="297"/>
      <c r="S139" s="297"/>
      <c r="T139" s="297"/>
      <c r="U139" s="297"/>
      <c r="V139" s="297"/>
      <c r="W139" s="298">
        <f>SUM(E139:P139)</f>
        <v>108</v>
      </c>
      <c r="X139" s="146" t="s">
        <v>115</v>
      </c>
      <c r="Y139" s="1074">
        <v>10800</v>
      </c>
      <c r="Z139" s="441">
        <v>10800</v>
      </c>
      <c r="AA139" s="441">
        <v>10800</v>
      </c>
      <c r="AB139" s="441">
        <v>10800</v>
      </c>
      <c r="AC139" s="441">
        <v>10800</v>
      </c>
      <c r="AD139" s="441">
        <v>10800</v>
      </c>
      <c r="AE139" s="441">
        <v>10800</v>
      </c>
      <c r="AF139" s="441">
        <v>10800</v>
      </c>
      <c r="AG139" s="441">
        <v>10800</v>
      </c>
      <c r="AH139" s="1210">
        <v>10800</v>
      </c>
      <c r="AI139" s="441"/>
      <c r="AJ139" s="441"/>
      <c r="AK139" s="441"/>
      <c r="AL139" s="583"/>
      <c r="AM139" s="583"/>
      <c r="AN139" s="583"/>
      <c r="AO139" s="583"/>
      <c r="AP139" s="583"/>
      <c r="AQ139" s="583"/>
      <c r="AR139" s="271">
        <f>SUM(W139*Y139)</f>
        <v>1166400</v>
      </c>
      <c r="AS139" s="1352">
        <f t="shared" ref="AS139:BD139" si="371">Z139*E139</f>
        <v>97200</v>
      </c>
      <c r="AT139" s="402">
        <f t="shared" si="371"/>
        <v>97200</v>
      </c>
      <c r="AU139" s="402">
        <f t="shared" si="371"/>
        <v>97200</v>
      </c>
      <c r="AV139" s="402">
        <f t="shared" si="371"/>
        <v>97200</v>
      </c>
      <c r="AW139" s="402">
        <f t="shared" si="371"/>
        <v>97200</v>
      </c>
      <c r="AX139" s="402">
        <f t="shared" si="371"/>
        <v>97200</v>
      </c>
      <c r="AY139" s="402">
        <f t="shared" si="371"/>
        <v>97200</v>
      </c>
      <c r="AZ139" s="402">
        <f t="shared" si="371"/>
        <v>97200</v>
      </c>
      <c r="BA139" s="1211">
        <f t="shared" si="371"/>
        <v>388800</v>
      </c>
      <c r="BB139" s="402">
        <f t="shared" si="371"/>
        <v>0</v>
      </c>
      <c r="BC139" s="402">
        <f t="shared" si="371"/>
        <v>0</v>
      </c>
      <c r="BD139" s="402">
        <f t="shared" si="371"/>
        <v>0</v>
      </c>
      <c r="BE139" s="402"/>
      <c r="BF139" s="402"/>
      <c r="BG139" s="402"/>
      <c r="BH139" s="402"/>
      <c r="BI139" s="402"/>
      <c r="BJ139" s="402"/>
      <c r="BK139" s="403">
        <f>SUM(AS139:BD139)</f>
        <v>1166400</v>
      </c>
      <c r="BL139" s="402"/>
      <c r="BM139" s="402"/>
      <c r="BN139" s="402"/>
      <c r="BO139" s="1199"/>
      <c r="BP139" s="402"/>
      <c r="BQ139" s="402"/>
      <c r="BR139" s="402"/>
      <c r="BS139" s="402"/>
      <c r="BT139" s="402"/>
      <c r="BU139" s="402"/>
      <c r="BV139" s="402"/>
      <c r="BW139" s="402"/>
      <c r="BX139" s="344">
        <f>SUM(BL139:BW139)</f>
        <v>0</v>
      </c>
      <c r="BY139" s="300">
        <f>AR139-BK139-BX139</f>
        <v>0</v>
      </c>
      <c r="BZ139" s="301">
        <f>Y139*D139</f>
        <v>1166400</v>
      </c>
      <c r="CA139" s="302">
        <f>BZ139-BK139-BX139</f>
        <v>0</v>
      </c>
      <c r="CB139" s="276">
        <f>SUM(W139/D139)</f>
        <v>1</v>
      </c>
      <c r="CC139" s="1081"/>
      <c r="CD139" s="1081"/>
      <c r="CE139" s="1083"/>
      <c r="CF139" s="1084"/>
      <c r="CG139" s="862"/>
      <c r="CH139" s="862"/>
      <c r="CI139" s="862"/>
      <c r="CJ139" s="862"/>
      <c r="CK139" s="862"/>
      <c r="CL139" s="862"/>
      <c r="CM139" s="862"/>
      <c r="CN139" s="862"/>
      <c r="CO139" s="1081">
        <f t="shared" ref="CO139:CO140" si="372">SUM(AZ139*12.5%)</f>
        <v>12150</v>
      </c>
      <c r="CP139" s="862"/>
      <c r="CQ139" s="862"/>
      <c r="CR139" s="862"/>
      <c r="CS139" s="862"/>
      <c r="CT139" s="862"/>
      <c r="CU139" s="862"/>
      <c r="CV139" s="862"/>
      <c r="CW139" s="862"/>
      <c r="CX139" s="862"/>
      <c r="CY139" s="73">
        <f>SUM(CG139:CX139)</f>
        <v>12150</v>
      </c>
      <c r="CZ139" s="862"/>
      <c r="DA139" s="862"/>
      <c r="DB139" s="862"/>
      <c r="DC139" s="862"/>
      <c r="DD139" s="862"/>
      <c r="DE139" s="862"/>
      <c r="DF139" s="862"/>
      <c r="DG139" s="862"/>
      <c r="DH139" s="1081"/>
      <c r="DI139" s="862"/>
      <c r="DJ139" s="862"/>
      <c r="DK139" s="862"/>
      <c r="DL139" s="862"/>
      <c r="DM139" s="862"/>
      <c r="DN139" s="862"/>
      <c r="DO139" s="862"/>
      <c r="DP139" s="862"/>
      <c r="DQ139" s="862"/>
      <c r="DR139" s="73">
        <f>SUM(CZ139:DQ139)</f>
        <v>0</v>
      </c>
      <c r="DS139" s="303"/>
      <c r="DT139" s="303"/>
      <c r="DU139" s="423"/>
      <c r="DV139" s="303"/>
      <c r="DW139" s="303"/>
      <c r="DX139" s="303"/>
      <c r="DY139" s="304"/>
      <c r="DZ139" s="304"/>
      <c r="EA139" s="304"/>
      <c r="EB139" s="304"/>
      <c r="EC139" s="304"/>
      <c r="ED139" s="304"/>
      <c r="EE139" s="304"/>
      <c r="EF139" s="304"/>
      <c r="EG139" s="304"/>
      <c r="EH139" s="304"/>
      <c r="EI139" s="304"/>
    </row>
    <row r="140" spans="1:157" s="282" customFormat="1" ht="24.75" customHeight="1" thickBot="1" x14ac:dyDescent="0.25">
      <c r="A140" s="577">
        <v>4</v>
      </c>
      <c r="B140" s="308" t="s">
        <v>4</v>
      </c>
      <c r="C140" s="308"/>
      <c r="D140" s="309"/>
      <c r="E140" s="465"/>
      <c r="F140" s="310"/>
      <c r="G140" s="399"/>
      <c r="H140" s="310"/>
      <c r="I140" s="465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1"/>
      <c r="X140" s="312"/>
      <c r="Y140" s="313"/>
      <c r="Z140" s="997"/>
      <c r="AA140" s="314"/>
      <c r="AB140" s="314"/>
      <c r="AC140" s="314"/>
      <c r="AD140" s="314"/>
      <c r="AE140" s="989"/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5">
        <f>SUM(AR139:AR139)</f>
        <v>1166400</v>
      </c>
      <c r="AS140" s="1353">
        <f>SUM(AS139:AS139)</f>
        <v>97200</v>
      </c>
      <c r="AT140" s="315">
        <f>SUM(AT139:AT139)</f>
        <v>97200</v>
      </c>
      <c r="AU140" s="315">
        <f>SUM(AU139:AU139)</f>
        <v>97200</v>
      </c>
      <c r="AV140" s="315">
        <f t="shared" ref="AV140:BD140" si="373">SUM(AV139:AV139)</f>
        <v>97200</v>
      </c>
      <c r="AW140" s="430">
        <f t="shared" si="373"/>
        <v>97200</v>
      </c>
      <c r="AX140" s="315">
        <f t="shared" si="373"/>
        <v>97200</v>
      </c>
      <c r="AY140" s="315">
        <f t="shared" si="373"/>
        <v>97200</v>
      </c>
      <c r="AZ140" s="315">
        <f t="shared" si="373"/>
        <v>97200</v>
      </c>
      <c r="BA140" s="315">
        <f t="shared" si="373"/>
        <v>388800</v>
      </c>
      <c r="BB140" s="315">
        <f t="shared" si="373"/>
        <v>0</v>
      </c>
      <c r="BC140" s="315">
        <f t="shared" si="373"/>
        <v>0</v>
      </c>
      <c r="BD140" s="315">
        <f t="shared" si="373"/>
        <v>0</v>
      </c>
      <c r="BE140" s="315"/>
      <c r="BF140" s="315"/>
      <c r="BG140" s="315"/>
      <c r="BH140" s="315"/>
      <c r="BI140" s="315"/>
      <c r="BJ140" s="315"/>
      <c r="BK140" s="315">
        <f>SUM(BK139:BK139)</f>
        <v>1166400</v>
      </c>
      <c r="BL140" s="315">
        <f>SUM(BL139:BL139)</f>
        <v>0</v>
      </c>
      <c r="BM140" s="315">
        <f>SUM(BM139:BM139)</f>
        <v>0</v>
      </c>
      <c r="BN140" s="315">
        <f>SUM(BN139:BN139)</f>
        <v>0</v>
      </c>
      <c r="BO140" s="1232">
        <f t="shared" ref="BO140:BW140" si="374">SUM(BO139:BO139)</f>
        <v>0</v>
      </c>
      <c r="BP140" s="315">
        <f t="shared" si="374"/>
        <v>0</v>
      </c>
      <c r="BQ140" s="315">
        <f t="shared" si="374"/>
        <v>0</v>
      </c>
      <c r="BR140" s="315">
        <f t="shared" si="374"/>
        <v>0</v>
      </c>
      <c r="BS140" s="315">
        <f t="shared" si="374"/>
        <v>0</v>
      </c>
      <c r="BT140" s="315">
        <f t="shared" si="374"/>
        <v>0</v>
      </c>
      <c r="BU140" s="315">
        <f t="shared" si="374"/>
        <v>0</v>
      </c>
      <c r="BV140" s="315">
        <f t="shared" si="374"/>
        <v>0</v>
      </c>
      <c r="BW140" s="315">
        <f t="shared" si="374"/>
        <v>0</v>
      </c>
      <c r="BX140" s="315">
        <f>SUM(BX139:BX139)</f>
        <v>0</v>
      </c>
      <c r="BY140" s="316">
        <f>AR140-BK140-BX140</f>
        <v>0</v>
      </c>
      <c r="BZ140" s="315">
        <f>SUM(BZ139:BZ139)</f>
        <v>1166400</v>
      </c>
      <c r="CA140" s="315">
        <f>SUM(CA139:CA139)</f>
        <v>0</v>
      </c>
      <c r="CB140" s="279">
        <f>SUM(CB139)</f>
        <v>1</v>
      </c>
      <c r="CC140" s="1081"/>
      <c r="CD140" s="1081"/>
      <c r="CE140" s="1083"/>
      <c r="CF140" s="1084"/>
      <c r="CG140" s="862"/>
      <c r="CH140" s="862"/>
      <c r="CI140" s="862"/>
      <c r="CJ140" s="862"/>
      <c r="CK140" s="862"/>
      <c r="CL140" s="862"/>
      <c r="CM140" s="862"/>
      <c r="CN140" s="862"/>
      <c r="CO140" s="1081">
        <f t="shared" si="372"/>
        <v>12150</v>
      </c>
      <c r="CP140" s="862"/>
      <c r="CQ140" s="862"/>
      <c r="CR140" s="862"/>
      <c r="CS140" s="862"/>
      <c r="CT140" s="862"/>
      <c r="CU140" s="862"/>
      <c r="CV140" s="862"/>
      <c r="CW140" s="862"/>
      <c r="CX140" s="862"/>
      <c r="CY140" s="73">
        <f>SUM(CG140:CX140)</f>
        <v>12150</v>
      </c>
      <c r="CZ140" s="862"/>
      <c r="DA140" s="862"/>
      <c r="DB140" s="862"/>
      <c r="DC140" s="862"/>
      <c r="DD140" s="862"/>
      <c r="DE140" s="862"/>
      <c r="DF140" s="862"/>
      <c r="DG140" s="862"/>
      <c r="DH140" s="1081"/>
      <c r="DI140" s="862"/>
      <c r="DJ140" s="862"/>
      <c r="DK140" s="862"/>
      <c r="DL140" s="862"/>
      <c r="DM140" s="862"/>
      <c r="DN140" s="862"/>
      <c r="DO140" s="862"/>
      <c r="DP140" s="862"/>
      <c r="DQ140" s="862"/>
      <c r="DR140" s="73">
        <f>SUM(CZ140:DQ140)</f>
        <v>0</v>
      </c>
      <c r="DS140" s="317"/>
      <c r="DT140" s="317"/>
      <c r="DU140" s="425"/>
      <c r="DV140" s="317"/>
      <c r="DW140" s="317"/>
      <c r="DX140" s="317"/>
      <c r="DY140" s="318"/>
      <c r="DZ140" s="318"/>
      <c r="EA140" s="318"/>
      <c r="EB140" s="318"/>
      <c r="EC140" s="318"/>
      <c r="ED140" s="318"/>
      <c r="EE140" s="318"/>
      <c r="EF140" s="318"/>
      <c r="EG140" s="318"/>
      <c r="EH140" s="318"/>
      <c r="EI140" s="318"/>
    </row>
    <row r="141" spans="1:157" s="262" customFormat="1" ht="24.75" customHeight="1" x14ac:dyDescent="0.2">
      <c r="A141" s="283"/>
      <c r="D141" s="283"/>
      <c r="E141" s="463"/>
      <c r="F141" s="283"/>
      <c r="G141" s="397"/>
      <c r="H141" s="283"/>
      <c r="I141" s="46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Z141" s="998"/>
      <c r="AS141" s="1354"/>
      <c r="BK141" s="291"/>
      <c r="BO141" s="998"/>
      <c r="BX141" s="319">
        <f>SUM(BK140+BX140)</f>
        <v>1166400</v>
      </c>
      <c r="BY141" s="284">
        <f>AR140-BK140-BX140</f>
        <v>0</v>
      </c>
      <c r="BZ141" s="320">
        <f>SUM(CA140+BK140+BX140)</f>
        <v>1166400</v>
      </c>
      <c r="CA141" s="285">
        <f>SUM(BY140)</f>
        <v>0</v>
      </c>
      <c r="CB141" s="280" t="s">
        <v>38</v>
      </c>
      <c r="CC141" s="1011"/>
      <c r="CD141" s="1012"/>
      <c r="CE141" s="260"/>
      <c r="CF141" s="409"/>
      <c r="CG141" s="417"/>
      <c r="CH141" s="409"/>
      <c r="CI141" s="409"/>
      <c r="CJ141" s="409"/>
      <c r="CK141" s="417"/>
      <c r="CL141" s="409"/>
      <c r="CM141" s="409"/>
      <c r="CN141" s="409"/>
      <c r="CO141" s="417"/>
      <c r="CP141" s="409"/>
      <c r="CQ141" s="409"/>
      <c r="CR141" s="409"/>
      <c r="CS141" s="409"/>
      <c r="CT141" s="409"/>
      <c r="CU141" s="409"/>
      <c r="CV141" s="409"/>
      <c r="CW141" s="409"/>
      <c r="CX141" s="409"/>
      <c r="CY141" s="417"/>
      <c r="CZ141" s="409"/>
      <c r="DA141" s="409"/>
      <c r="DB141" s="409"/>
      <c r="DC141" s="417"/>
      <c r="DD141" s="409"/>
      <c r="DE141" s="409"/>
      <c r="DF141" s="409"/>
      <c r="DG141" s="417"/>
      <c r="DH141" s="409"/>
      <c r="DI141" s="409"/>
      <c r="DJ141" s="409"/>
      <c r="DK141" s="409"/>
      <c r="DL141" s="409"/>
      <c r="DM141" s="409"/>
      <c r="DN141" s="409"/>
      <c r="DO141" s="409"/>
      <c r="DP141" s="409"/>
      <c r="DQ141" s="409"/>
      <c r="DR141" s="409"/>
      <c r="DS141" s="409"/>
      <c r="DT141" s="409"/>
      <c r="DU141" s="417"/>
      <c r="DV141" s="409"/>
      <c r="DW141" s="409"/>
      <c r="DX141" s="409"/>
      <c r="DY141" s="260"/>
      <c r="DZ141" s="260"/>
      <c r="EA141" s="260"/>
      <c r="EB141" s="260"/>
      <c r="EC141" s="260"/>
      <c r="ED141" s="260"/>
      <c r="EE141" s="260"/>
      <c r="EF141" s="260"/>
      <c r="EG141" s="260"/>
      <c r="EH141" s="260"/>
      <c r="EI141" s="260"/>
      <c r="EJ141" s="260"/>
    </row>
    <row r="142" spans="1:157" s="262" customFormat="1" ht="24.75" customHeight="1" x14ac:dyDescent="0.2">
      <c r="A142" s="283"/>
      <c r="D142" s="283"/>
      <c r="E142" s="463"/>
      <c r="F142" s="283"/>
      <c r="G142" s="397"/>
      <c r="H142" s="283"/>
      <c r="I142" s="46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Z142" s="998"/>
      <c r="AS142" s="1354"/>
      <c r="BK142" s="280"/>
      <c r="BL142" s="388">
        <f>SUM(AS140+BL140)</f>
        <v>97200</v>
      </c>
      <c r="BM142" s="388">
        <f t="shared" ref="BM142" si="375">SUM(AT140+BM140)</f>
        <v>97200</v>
      </c>
      <c r="BN142" s="388">
        <f t="shared" ref="BN142" si="376">SUM(AU140+BN140)</f>
        <v>97200</v>
      </c>
      <c r="BO142" s="1357">
        <f t="shared" ref="BO142" si="377">SUM(AV140+BO140)</f>
        <v>97200</v>
      </c>
      <c r="BP142" s="388">
        <f t="shared" ref="BP142" si="378">SUM(AW140+BP140)</f>
        <v>97200</v>
      </c>
      <c r="BQ142" s="1032">
        <f t="shared" ref="BQ142" si="379">SUM(AX140+BQ140)</f>
        <v>97200</v>
      </c>
      <c r="BR142" s="1032">
        <f t="shared" ref="BR142" si="380">SUM(AY140+BR140)</f>
        <v>97200</v>
      </c>
      <c r="BS142" s="1032">
        <f t="shared" ref="BS142" si="381">SUM(AZ140+BS140)</f>
        <v>97200</v>
      </c>
      <c r="BT142" s="388">
        <f t="shared" ref="BT142" si="382">SUM(BA140+BT140)</f>
        <v>388800</v>
      </c>
      <c r="BU142" s="388">
        <f t="shared" ref="BU142" si="383">SUM(BB140+BU140)</f>
        <v>0</v>
      </c>
      <c r="BV142" s="388">
        <f t="shared" ref="BV142" si="384">SUM(BC140+BV140)</f>
        <v>0</v>
      </c>
      <c r="BW142" s="388">
        <f t="shared" ref="BW142" si="385">SUM(BD140+BW140)</f>
        <v>0</v>
      </c>
      <c r="BX142" s="388">
        <f>SUM(BL142:BW142)</f>
        <v>1166400</v>
      </c>
      <c r="BY142" s="280"/>
      <c r="BZ142" s="286"/>
      <c r="CA142" s="287">
        <f>SUM(CA140-CA141)</f>
        <v>0</v>
      </c>
      <c r="CB142" s="280" t="s">
        <v>37</v>
      </c>
      <c r="CC142" s="1011"/>
      <c r="CD142" s="1012"/>
      <c r="CE142" s="260"/>
      <c r="CF142" s="409"/>
      <c r="CG142" s="417"/>
      <c r="CH142" s="409"/>
      <c r="CI142" s="409"/>
      <c r="CJ142" s="409"/>
      <c r="CK142" s="417"/>
      <c r="CL142" s="409"/>
      <c r="CM142" s="409"/>
      <c r="CN142" s="409"/>
      <c r="CO142" s="417"/>
      <c r="CP142" s="409"/>
      <c r="CQ142" s="409"/>
      <c r="CR142" s="409"/>
      <c r="CS142" s="409"/>
      <c r="CT142" s="409"/>
      <c r="CU142" s="409"/>
      <c r="CV142" s="409"/>
      <c r="CW142" s="409"/>
      <c r="CX142" s="409"/>
      <c r="CY142" s="417"/>
      <c r="CZ142" s="409"/>
      <c r="DA142" s="409"/>
      <c r="DB142" s="409"/>
      <c r="DC142" s="417"/>
      <c r="DD142" s="409"/>
      <c r="DE142" s="409"/>
      <c r="DF142" s="409"/>
      <c r="DG142" s="417"/>
      <c r="DH142" s="409"/>
      <c r="DI142" s="409"/>
      <c r="DJ142" s="409"/>
      <c r="DK142" s="409"/>
      <c r="DL142" s="409"/>
      <c r="DM142" s="409"/>
      <c r="DN142" s="409"/>
      <c r="DO142" s="409"/>
      <c r="DP142" s="409"/>
      <c r="DQ142" s="409"/>
      <c r="DR142" s="409"/>
      <c r="DS142" s="409"/>
      <c r="DT142" s="409"/>
      <c r="DU142" s="417"/>
      <c r="DV142" s="409"/>
      <c r="DW142" s="409"/>
      <c r="DX142" s="409"/>
      <c r="DY142" s="260"/>
      <c r="DZ142" s="260"/>
      <c r="EA142" s="260"/>
      <c r="EB142" s="260"/>
      <c r="EC142" s="260"/>
      <c r="ED142" s="260"/>
      <c r="EE142" s="260"/>
      <c r="EF142" s="260"/>
      <c r="EG142" s="260"/>
      <c r="EH142" s="260"/>
      <c r="EI142" s="260"/>
      <c r="EJ142" s="260"/>
    </row>
    <row r="143" spans="1:157" s="262" customFormat="1" ht="24.75" customHeight="1" x14ac:dyDescent="0.2">
      <c r="A143" s="1754" t="s">
        <v>8</v>
      </c>
      <c r="B143" s="1755"/>
      <c r="C143" s="244" t="s">
        <v>149</v>
      </c>
      <c r="D143" s="245"/>
      <c r="E143" s="462"/>
      <c r="F143" s="245"/>
      <c r="G143" s="292"/>
      <c r="H143" s="245"/>
      <c r="I143" s="462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994"/>
      <c r="AA143" s="246"/>
      <c r="AB143" s="246"/>
      <c r="AC143" s="246"/>
      <c r="AD143" s="246"/>
      <c r="AE143" s="246"/>
      <c r="AF143" s="246"/>
      <c r="AG143" s="246"/>
      <c r="AH143" s="246"/>
      <c r="AI143" s="246"/>
      <c r="AJ143" s="246"/>
      <c r="AK143" s="246"/>
      <c r="AL143" s="246"/>
      <c r="AM143" s="246"/>
      <c r="AN143" s="246"/>
      <c r="AO143" s="246"/>
      <c r="AP143" s="246"/>
      <c r="AQ143" s="246"/>
      <c r="AR143" s="245"/>
      <c r="AS143" s="1350"/>
      <c r="AT143" s="246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7"/>
      <c r="BL143" s="246"/>
      <c r="BM143" s="246"/>
      <c r="BN143" s="246"/>
      <c r="BO143" s="994"/>
      <c r="BP143" s="246"/>
      <c r="BQ143" s="246"/>
      <c r="BR143" s="246"/>
      <c r="BS143" s="246"/>
      <c r="BT143" s="246"/>
      <c r="BU143" s="246"/>
      <c r="BV143" s="246"/>
      <c r="BW143" s="246"/>
      <c r="BX143" s="247"/>
      <c r="BY143" s="247"/>
      <c r="BZ143" s="243"/>
      <c r="CA143" s="248"/>
      <c r="CB143" s="245"/>
      <c r="CC143" s="1008"/>
      <c r="CD143" s="1008"/>
      <c r="CE143" s="246"/>
      <c r="CF143" s="292"/>
      <c r="CG143" s="418"/>
      <c r="CH143" s="292"/>
      <c r="CI143" s="249"/>
      <c r="CJ143" s="292"/>
      <c r="CK143" s="418"/>
      <c r="CL143" s="292"/>
      <c r="CM143" s="249"/>
      <c r="CN143" s="292"/>
      <c r="CO143" s="418"/>
      <c r="CP143" s="292"/>
      <c r="CQ143" s="249"/>
      <c r="CR143" s="249"/>
      <c r="CS143" s="249"/>
      <c r="CT143" s="249"/>
      <c r="CU143" s="249"/>
      <c r="CV143" s="249"/>
      <c r="CW143" s="249"/>
      <c r="CX143" s="249"/>
      <c r="CY143" s="418"/>
      <c r="CZ143" s="292"/>
      <c r="DA143" s="249"/>
      <c r="DB143" s="292"/>
      <c r="DC143" s="418"/>
      <c r="DD143" s="292"/>
      <c r="DE143" s="249"/>
      <c r="DF143" s="292"/>
      <c r="DG143" s="418"/>
      <c r="DH143" s="292"/>
      <c r="DI143" s="249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49"/>
      <c r="DT143" s="292"/>
      <c r="DU143" s="418"/>
      <c r="DV143" s="292"/>
      <c r="DW143" s="249"/>
      <c r="DX143" s="292"/>
      <c r="DY143" s="246"/>
      <c r="DZ143" s="246"/>
      <c r="EA143" s="246"/>
      <c r="EB143" s="246"/>
      <c r="EC143" s="247"/>
      <c r="ED143" s="247"/>
      <c r="EE143" s="247"/>
      <c r="EF143" s="243"/>
      <c r="EG143" s="248"/>
      <c r="EH143" s="247"/>
      <c r="EI143" s="247"/>
      <c r="EJ143" s="260"/>
      <c r="EK143" s="260"/>
      <c r="EL143" s="260"/>
      <c r="EM143" s="260"/>
      <c r="EN143" s="260"/>
      <c r="EO143" s="261"/>
      <c r="EP143" s="260"/>
      <c r="EQ143" s="260"/>
      <c r="ER143" s="260"/>
      <c r="ES143" s="260"/>
      <c r="ET143" s="260"/>
      <c r="EU143" s="260"/>
      <c r="EV143" s="260"/>
      <c r="EW143" s="260"/>
      <c r="EX143" s="260"/>
      <c r="EY143" s="260"/>
      <c r="EZ143" s="260"/>
      <c r="FA143" s="260"/>
    </row>
    <row r="144" spans="1:157" s="264" customFormat="1" ht="48.75" customHeight="1" x14ac:dyDescent="0.2">
      <c r="A144" s="1756" t="s">
        <v>10</v>
      </c>
      <c r="B144" s="1759" t="s">
        <v>11</v>
      </c>
      <c r="C144" s="1759" t="s">
        <v>22</v>
      </c>
      <c r="D144" s="1762" t="s">
        <v>12</v>
      </c>
      <c r="E144" s="1762"/>
      <c r="F144" s="1762"/>
      <c r="G144" s="1762"/>
      <c r="H144" s="1762"/>
      <c r="I144" s="1762"/>
      <c r="J144" s="1762"/>
      <c r="K144" s="1762"/>
      <c r="L144" s="1762"/>
      <c r="M144" s="1762"/>
      <c r="N144" s="1762"/>
      <c r="O144" s="1762"/>
      <c r="P144" s="1762"/>
      <c r="Q144" s="1762"/>
      <c r="R144" s="1762"/>
      <c r="S144" s="1762"/>
      <c r="T144" s="1762"/>
      <c r="U144" s="1762"/>
      <c r="V144" s="1762"/>
      <c r="W144" s="1762"/>
      <c r="X144" s="1759" t="s">
        <v>20</v>
      </c>
      <c r="Y144" s="1763" t="s">
        <v>17</v>
      </c>
      <c r="Z144" s="1764"/>
      <c r="AA144" s="1764"/>
      <c r="AB144" s="1764"/>
      <c r="AC144" s="1764"/>
      <c r="AD144" s="1764"/>
      <c r="AE144" s="1764"/>
      <c r="AF144" s="1764"/>
      <c r="AG144" s="1764"/>
      <c r="AH144" s="1764"/>
      <c r="AI144" s="1764"/>
      <c r="AJ144" s="1764"/>
      <c r="AK144" s="1764"/>
      <c r="AL144" s="1178"/>
      <c r="AM144" s="1178"/>
      <c r="AN144" s="1178"/>
      <c r="AO144" s="1178"/>
      <c r="AP144" s="1178"/>
      <c r="AQ144" s="1178"/>
      <c r="AR144" s="1766" t="s">
        <v>6</v>
      </c>
      <c r="AS144" s="1766"/>
      <c r="AT144" s="1766"/>
      <c r="AU144" s="1766"/>
      <c r="AV144" s="1766"/>
      <c r="AW144" s="1766"/>
      <c r="AX144" s="1766"/>
      <c r="AY144" s="1766"/>
      <c r="AZ144" s="1766"/>
      <c r="BA144" s="1766"/>
      <c r="BB144" s="1766"/>
      <c r="BC144" s="1766"/>
      <c r="BD144" s="1766"/>
      <c r="BE144" s="1766"/>
      <c r="BF144" s="1766"/>
      <c r="BG144" s="1766"/>
      <c r="BH144" s="1766"/>
      <c r="BI144" s="1766"/>
      <c r="BJ144" s="1766"/>
      <c r="BK144" s="1766"/>
      <c r="BL144" s="1767" t="s">
        <v>41</v>
      </c>
      <c r="BM144" s="1768"/>
      <c r="BN144" s="1768"/>
      <c r="BO144" s="1768"/>
      <c r="BP144" s="1768"/>
      <c r="BQ144" s="1768"/>
      <c r="BR144" s="1768"/>
      <c r="BS144" s="1768"/>
      <c r="BT144" s="1768"/>
      <c r="BU144" s="1768"/>
      <c r="BV144" s="1768"/>
      <c r="BW144" s="1768"/>
      <c r="BX144" s="1769"/>
      <c r="BY144" s="1759" t="s">
        <v>38</v>
      </c>
      <c r="BZ144" s="1759" t="s">
        <v>256</v>
      </c>
      <c r="CA144" s="1746" t="s">
        <v>39</v>
      </c>
      <c r="CB144" s="243"/>
      <c r="CC144" s="135"/>
      <c r="CD144" s="135"/>
      <c r="CE144" s="135"/>
      <c r="CF144" s="135"/>
      <c r="CG144" s="1733" t="s">
        <v>41</v>
      </c>
      <c r="CH144" s="1734"/>
      <c r="CI144" s="1734"/>
      <c r="CJ144" s="1734"/>
      <c r="CK144" s="1734"/>
      <c r="CL144" s="1734"/>
      <c r="CM144" s="1734"/>
      <c r="CN144" s="1734"/>
      <c r="CO144" s="1734"/>
      <c r="CP144" s="1734"/>
      <c r="CQ144" s="1734"/>
      <c r="CR144" s="1734"/>
      <c r="CS144" s="1734"/>
      <c r="CT144" s="1734"/>
      <c r="CU144" s="1734"/>
      <c r="CV144" s="1734"/>
      <c r="CW144" s="1734"/>
      <c r="CX144" s="1734"/>
      <c r="CY144" s="1734"/>
      <c r="CZ144" s="1734"/>
      <c r="DA144" s="1734"/>
      <c r="DB144" s="1734"/>
      <c r="DC144" s="1734"/>
      <c r="DD144" s="1734"/>
      <c r="DE144" s="1734"/>
      <c r="DF144" s="1734"/>
      <c r="DG144" s="1734"/>
      <c r="DH144" s="1734"/>
      <c r="DI144" s="1734"/>
      <c r="DJ144" s="1734"/>
      <c r="DK144" s="1734"/>
      <c r="DL144" s="1734"/>
      <c r="DM144" s="1734"/>
      <c r="DN144" s="1734"/>
      <c r="DO144" s="1734"/>
      <c r="DP144" s="1734"/>
      <c r="DQ144" s="1734"/>
      <c r="DR144" s="1735"/>
      <c r="DS144" s="292"/>
      <c r="DT144" s="292"/>
      <c r="DU144" s="418"/>
      <c r="DV144" s="292"/>
      <c r="DW144" s="292"/>
      <c r="DX144" s="292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63"/>
      <c r="EI144" s="263"/>
    </row>
    <row r="145" spans="1:157" s="264" customFormat="1" ht="48.75" customHeight="1" x14ac:dyDescent="0.2">
      <c r="A145" s="1757"/>
      <c r="B145" s="1760"/>
      <c r="C145" s="1760"/>
      <c r="D145" s="1749" t="s">
        <v>18</v>
      </c>
      <c r="E145" s="1751" t="s">
        <v>19</v>
      </c>
      <c r="F145" s="1752"/>
      <c r="G145" s="1752"/>
      <c r="H145" s="1752"/>
      <c r="I145" s="1752"/>
      <c r="J145" s="1752"/>
      <c r="K145" s="1752"/>
      <c r="L145" s="1752"/>
      <c r="M145" s="1752"/>
      <c r="N145" s="1752"/>
      <c r="O145" s="1752"/>
      <c r="P145" s="1752"/>
      <c r="Q145" s="1752"/>
      <c r="R145" s="1752"/>
      <c r="S145" s="1752"/>
      <c r="T145" s="1752"/>
      <c r="U145" s="1752"/>
      <c r="V145" s="1752"/>
      <c r="W145" s="1752"/>
      <c r="X145" s="1760"/>
      <c r="Y145" s="1749" t="s">
        <v>18</v>
      </c>
      <c r="Z145" s="1751" t="s">
        <v>19</v>
      </c>
      <c r="AA145" s="1752"/>
      <c r="AB145" s="1752"/>
      <c r="AC145" s="1752"/>
      <c r="AD145" s="1752"/>
      <c r="AE145" s="1752"/>
      <c r="AF145" s="1752"/>
      <c r="AG145" s="1752"/>
      <c r="AH145" s="1752"/>
      <c r="AI145" s="1752"/>
      <c r="AJ145" s="1752"/>
      <c r="AK145" s="1752"/>
      <c r="AL145" s="1179"/>
      <c r="AM145" s="1179"/>
      <c r="AN145" s="1179"/>
      <c r="AO145" s="1179"/>
      <c r="AP145" s="1179"/>
      <c r="AQ145" s="1179"/>
      <c r="AR145" s="1749" t="s">
        <v>18</v>
      </c>
      <c r="AS145" s="1751" t="s">
        <v>19</v>
      </c>
      <c r="AT145" s="1752"/>
      <c r="AU145" s="1752"/>
      <c r="AV145" s="1752"/>
      <c r="AW145" s="1752"/>
      <c r="AX145" s="1752"/>
      <c r="AY145" s="1752"/>
      <c r="AZ145" s="1752"/>
      <c r="BA145" s="1752"/>
      <c r="BB145" s="1752"/>
      <c r="BC145" s="1752"/>
      <c r="BD145" s="1752"/>
      <c r="BE145" s="1752"/>
      <c r="BF145" s="1752"/>
      <c r="BG145" s="1752"/>
      <c r="BH145" s="1752"/>
      <c r="BI145" s="1752"/>
      <c r="BJ145" s="1752"/>
      <c r="BK145" s="1753"/>
      <c r="BL145" s="1770"/>
      <c r="BM145" s="1771"/>
      <c r="BN145" s="1771"/>
      <c r="BO145" s="1771"/>
      <c r="BP145" s="1771"/>
      <c r="BQ145" s="1771"/>
      <c r="BR145" s="1771"/>
      <c r="BS145" s="1771"/>
      <c r="BT145" s="1771"/>
      <c r="BU145" s="1771"/>
      <c r="BV145" s="1771"/>
      <c r="BW145" s="1771"/>
      <c r="BX145" s="1772"/>
      <c r="BY145" s="1760"/>
      <c r="BZ145" s="1760"/>
      <c r="CA145" s="1747"/>
      <c r="CB145" s="243"/>
      <c r="CC145" s="1736">
        <f>SUM(CC147/60)</f>
        <v>0</v>
      </c>
      <c r="CD145" s="1736"/>
      <c r="CE145" s="1736"/>
      <c r="CF145" s="23"/>
      <c r="CG145" s="1737" t="s">
        <v>686</v>
      </c>
      <c r="CH145" s="1738"/>
      <c r="CI145" s="1738"/>
      <c r="CJ145" s="1738"/>
      <c r="CK145" s="1738"/>
      <c r="CL145" s="1738"/>
      <c r="CM145" s="1738"/>
      <c r="CN145" s="1738"/>
      <c r="CO145" s="1738"/>
      <c r="CP145" s="1738"/>
      <c r="CQ145" s="1738"/>
      <c r="CR145" s="1738"/>
      <c r="CS145" s="1738"/>
      <c r="CT145" s="1738"/>
      <c r="CU145" s="1738"/>
      <c r="CV145" s="1738"/>
      <c r="CW145" s="1738"/>
      <c r="CX145" s="1738"/>
      <c r="CY145" s="1739"/>
      <c r="CZ145" s="1740" t="s">
        <v>687</v>
      </c>
      <c r="DA145" s="1741"/>
      <c r="DB145" s="1741"/>
      <c r="DC145" s="1741"/>
      <c r="DD145" s="1741"/>
      <c r="DE145" s="1741"/>
      <c r="DF145" s="1741"/>
      <c r="DG145" s="1741"/>
      <c r="DH145" s="1741"/>
      <c r="DI145" s="1741"/>
      <c r="DJ145" s="1741"/>
      <c r="DK145" s="1741"/>
      <c r="DL145" s="1741"/>
      <c r="DM145" s="1741"/>
      <c r="DN145" s="1741"/>
      <c r="DO145" s="1741"/>
      <c r="DP145" s="1741"/>
      <c r="DQ145" s="1741"/>
      <c r="DR145" s="1742"/>
      <c r="DS145" s="292"/>
      <c r="DT145" s="292"/>
      <c r="DU145" s="418"/>
      <c r="DV145" s="292"/>
      <c r="DW145" s="292"/>
      <c r="DX145" s="292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63"/>
      <c r="EI145" s="263"/>
    </row>
    <row r="146" spans="1:157" s="267" customFormat="1" ht="28.5" customHeight="1" x14ac:dyDescent="0.2">
      <c r="A146" s="1758"/>
      <c r="B146" s="1761"/>
      <c r="C146" s="1761"/>
      <c r="D146" s="1750"/>
      <c r="E146" s="265">
        <v>1</v>
      </c>
      <c r="F146" s="265">
        <v>2</v>
      </c>
      <c r="G146" s="265">
        <v>3</v>
      </c>
      <c r="H146" s="265">
        <v>4</v>
      </c>
      <c r="I146" s="265">
        <v>5</v>
      </c>
      <c r="J146" s="265">
        <v>6</v>
      </c>
      <c r="K146" s="265">
        <v>7</v>
      </c>
      <c r="L146" s="265">
        <v>8</v>
      </c>
      <c r="M146" s="265">
        <v>9</v>
      </c>
      <c r="N146" s="265">
        <v>10</v>
      </c>
      <c r="O146" s="265">
        <v>11</v>
      </c>
      <c r="P146" s="265">
        <v>12</v>
      </c>
      <c r="Q146" s="265"/>
      <c r="R146" s="265"/>
      <c r="S146" s="265"/>
      <c r="T146" s="265"/>
      <c r="U146" s="265"/>
      <c r="V146" s="265"/>
      <c r="W146" s="265" t="s">
        <v>21</v>
      </c>
      <c r="X146" s="1761"/>
      <c r="Y146" s="1750"/>
      <c r="Z146" s="265">
        <v>1</v>
      </c>
      <c r="AA146" s="265">
        <v>2</v>
      </c>
      <c r="AB146" s="265">
        <v>3</v>
      </c>
      <c r="AC146" s="265">
        <v>4</v>
      </c>
      <c r="AD146" s="265">
        <v>5</v>
      </c>
      <c r="AE146" s="265">
        <v>6</v>
      </c>
      <c r="AF146" s="265">
        <v>7</v>
      </c>
      <c r="AG146" s="265">
        <v>8</v>
      </c>
      <c r="AH146" s="265">
        <v>9</v>
      </c>
      <c r="AI146" s="265">
        <v>10</v>
      </c>
      <c r="AJ146" s="265">
        <v>11</v>
      </c>
      <c r="AK146" s="265">
        <v>12</v>
      </c>
      <c r="AL146" s="266"/>
      <c r="AM146" s="266"/>
      <c r="AN146" s="266"/>
      <c r="AO146" s="266"/>
      <c r="AP146" s="266"/>
      <c r="AQ146" s="266"/>
      <c r="AR146" s="1750"/>
      <c r="AS146" s="1351">
        <v>1</v>
      </c>
      <c r="AT146" s="265">
        <v>2</v>
      </c>
      <c r="AU146" s="265">
        <v>3</v>
      </c>
      <c r="AV146" s="265">
        <v>4</v>
      </c>
      <c r="AW146" s="265">
        <v>5</v>
      </c>
      <c r="AX146" s="265">
        <v>6</v>
      </c>
      <c r="AY146" s="265">
        <v>7</v>
      </c>
      <c r="AZ146" s="265">
        <v>8</v>
      </c>
      <c r="BA146" s="265">
        <v>9</v>
      </c>
      <c r="BB146" s="265">
        <v>10</v>
      </c>
      <c r="BC146" s="265">
        <v>11</v>
      </c>
      <c r="BD146" s="265">
        <v>12</v>
      </c>
      <c r="BE146" s="265"/>
      <c r="BF146" s="265"/>
      <c r="BG146" s="265"/>
      <c r="BH146" s="265"/>
      <c r="BI146" s="265"/>
      <c r="BJ146" s="265"/>
      <c r="BK146" s="265" t="s">
        <v>13</v>
      </c>
      <c r="BL146" s="266">
        <v>1</v>
      </c>
      <c r="BM146" s="266">
        <v>2</v>
      </c>
      <c r="BN146" s="266">
        <v>3</v>
      </c>
      <c r="BO146" s="266">
        <v>4</v>
      </c>
      <c r="BP146" s="266"/>
      <c r="BQ146" s="266"/>
      <c r="BR146" s="266"/>
      <c r="BS146" s="266"/>
      <c r="BT146" s="266"/>
      <c r="BU146" s="266"/>
      <c r="BV146" s="266"/>
      <c r="BW146" s="266"/>
      <c r="BX146" s="265" t="s">
        <v>13</v>
      </c>
      <c r="BY146" s="1761"/>
      <c r="BZ146" s="1761"/>
      <c r="CA146" s="1748"/>
      <c r="CC146" s="1743" t="s">
        <v>19</v>
      </c>
      <c r="CD146" s="1744"/>
      <c r="CE146" s="1745"/>
      <c r="CF146" s="621"/>
      <c r="CG146" s="173">
        <v>1</v>
      </c>
      <c r="CH146" s="173">
        <v>2</v>
      </c>
      <c r="CI146" s="173">
        <v>3</v>
      </c>
      <c r="CJ146" s="173">
        <v>4</v>
      </c>
      <c r="CK146" s="173">
        <v>5</v>
      </c>
      <c r="CL146" s="173">
        <v>6</v>
      </c>
      <c r="CM146" s="173">
        <v>7</v>
      </c>
      <c r="CN146" s="173">
        <v>8</v>
      </c>
      <c r="CO146" s="173">
        <v>9</v>
      </c>
      <c r="CP146" s="173">
        <v>10</v>
      </c>
      <c r="CQ146" s="173">
        <v>11</v>
      </c>
      <c r="CR146" s="173"/>
      <c r="CS146" s="173"/>
      <c r="CT146" s="173"/>
      <c r="CU146" s="173"/>
      <c r="CV146" s="173"/>
      <c r="CW146" s="173"/>
      <c r="CX146" s="173"/>
      <c r="CY146" s="26" t="s">
        <v>13</v>
      </c>
      <c r="CZ146" s="173">
        <v>1</v>
      </c>
      <c r="DA146" s="173">
        <v>2</v>
      </c>
      <c r="DB146" s="173">
        <v>3</v>
      </c>
      <c r="DC146" s="173">
        <v>4</v>
      </c>
      <c r="DD146" s="173">
        <v>5</v>
      </c>
      <c r="DE146" s="173">
        <v>6</v>
      </c>
      <c r="DF146" s="173">
        <v>7</v>
      </c>
      <c r="DG146" s="173">
        <v>8</v>
      </c>
      <c r="DH146" s="173">
        <v>9</v>
      </c>
      <c r="DI146" s="173">
        <v>10</v>
      </c>
      <c r="DJ146" s="173">
        <v>11</v>
      </c>
      <c r="DK146" s="173"/>
      <c r="DL146" s="173"/>
      <c r="DM146" s="173"/>
      <c r="DN146" s="173"/>
      <c r="DO146" s="173"/>
      <c r="DP146" s="173"/>
      <c r="DQ146" s="173"/>
      <c r="DR146" s="26" t="s">
        <v>13</v>
      </c>
      <c r="DS146" s="413"/>
      <c r="DT146" s="413"/>
      <c r="DU146" s="422"/>
      <c r="DV146" s="413"/>
      <c r="DW146" s="413"/>
      <c r="DX146" s="413"/>
      <c r="DY146" s="395"/>
      <c r="DZ146" s="395"/>
      <c r="EA146" s="395"/>
      <c r="EB146" s="395"/>
      <c r="EC146" s="395"/>
      <c r="ED146" s="395"/>
      <c r="EE146" s="395"/>
      <c r="EF146" s="395"/>
      <c r="EG146" s="395"/>
      <c r="EH146" s="395"/>
      <c r="EI146" s="395"/>
    </row>
    <row r="147" spans="1:157" s="305" customFormat="1" ht="24.75" customHeight="1" thickBot="1" x14ac:dyDescent="0.25">
      <c r="A147" s="294"/>
      <c r="B147" s="157" t="s">
        <v>230</v>
      </c>
      <c r="C147" s="295" t="s">
        <v>25</v>
      </c>
      <c r="D147" s="251">
        <v>144</v>
      </c>
      <c r="E147" s="398">
        <v>12</v>
      </c>
      <c r="F147" s="398">
        <v>12</v>
      </c>
      <c r="G147" s="398">
        <v>12</v>
      </c>
      <c r="H147" s="398">
        <v>12</v>
      </c>
      <c r="I147" s="398">
        <v>12</v>
      </c>
      <c r="J147" s="398">
        <v>12</v>
      </c>
      <c r="K147" s="297">
        <v>12</v>
      </c>
      <c r="L147" s="297">
        <v>12</v>
      </c>
      <c r="M147" s="464">
        <f>12*4</f>
        <v>48</v>
      </c>
      <c r="N147" s="297"/>
      <c r="O147" s="297"/>
      <c r="P147" s="297"/>
      <c r="Q147" s="297"/>
      <c r="R147" s="297"/>
      <c r="S147" s="297"/>
      <c r="T147" s="297"/>
      <c r="U147" s="297"/>
      <c r="V147" s="297"/>
      <c r="W147" s="298">
        <f>SUM(E147:P147)</f>
        <v>144</v>
      </c>
      <c r="X147" s="146" t="s">
        <v>115</v>
      </c>
      <c r="Y147" s="1074">
        <v>10800</v>
      </c>
      <c r="Z147" s="1074">
        <v>10800</v>
      </c>
      <c r="AA147" s="1074">
        <v>10800</v>
      </c>
      <c r="AB147" s="1074">
        <v>10800</v>
      </c>
      <c r="AC147" s="1074">
        <v>10800</v>
      </c>
      <c r="AD147" s="1074">
        <v>10800</v>
      </c>
      <c r="AE147" s="1074">
        <v>10800</v>
      </c>
      <c r="AF147" s="441">
        <v>10800</v>
      </c>
      <c r="AG147" s="441">
        <v>10800</v>
      </c>
      <c r="AH147" s="1210">
        <v>10800</v>
      </c>
      <c r="AI147" s="441"/>
      <c r="AJ147" s="441"/>
      <c r="AK147" s="441"/>
      <c r="AL147" s="583"/>
      <c r="AM147" s="583"/>
      <c r="AN147" s="583"/>
      <c r="AO147" s="583"/>
      <c r="AP147" s="583"/>
      <c r="AQ147" s="583"/>
      <c r="AR147" s="271">
        <f>SUM(W147*Y147)</f>
        <v>1555200</v>
      </c>
      <c r="AS147" s="1352">
        <f t="shared" ref="AS147:BD147" si="386">Z147*E147</f>
        <v>129600</v>
      </c>
      <c r="AT147" s="402">
        <f t="shared" si="386"/>
        <v>129600</v>
      </c>
      <c r="AU147" s="402">
        <f t="shared" si="386"/>
        <v>129600</v>
      </c>
      <c r="AV147" s="402">
        <f t="shared" si="386"/>
        <v>129600</v>
      </c>
      <c r="AW147" s="402">
        <f t="shared" si="386"/>
        <v>129600</v>
      </c>
      <c r="AX147" s="402">
        <f t="shared" si="386"/>
        <v>129600</v>
      </c>
      <c r="AY147" s="402">
        <f t="shared" si="386"/>
        <v>129600</v>
      </c>
      <c r="AZ147" s="402">
        <f t="shared" si="386"/>
        <v>129600</v>
      </c>
      <c r="BA147" s="1211">
        <f t="shared" si="386"/>
        <v>518400</v>
      </c>
      <c r="BB147" s="402">
        <f t="shared" si="386"/>
        <v>0</v>
      </c>
      <c r="BC147" s="402">
        <f t="shared" si="386"/>
        <v>0</v>
      </c>
      <c r="BD147" s="402">
        <f t="shared" si="386"/>
        <v>0</v>
      </c>
      <c r="BE147" s="402"/>
      <c r="BF147" s="402"/>
      <c r="BG147" s="402"/>
      <c r="BH147" s="402"/>
      <c r="BI147" s="402"/>
      <c r="BJ147" s="402"/>
      <c r="BK147" s="403">
        <f>SUM(AS147:BD147)</f>
        <v>1555200</v>
      </c>
      <c r="BL147" s="402"/>
      <c r="BM147" s="402"/>
      <c r="BN147" s="402"/>
      <c r="BO147" s="1199"/>
      <c r="BP147" s="402"/>
      <c r="BQ147" s="402"/>
      <c r="BR147" s="402"/>
      <c r="BS147" s="402"/>
      <c r="BT147" s="402"/>
      <c r="BU147" s="402"/>
      <c r="BV147" s="402"/>
      <c r="BW147" s="402"/>
      <c r="BX147" s="344">
        <f>SUM(BL147:BW147)</f>
        <v>0</v>
      </c>
      <c r="BY147" s="300">
        <f>AR147-BK147-BX147</f>
        <v>0</v>
      </c>
      <c r="BZ147" s="301">
        <f>Y147*D147</f>
        <v>1555200</v>
      </c>
      <c r="CA147" s="302">
        <f>BZ147-BK147-BX147</f>
        <v>0</v>
      </c>
      <c r="CB147" s="276">
        <f>SUM(W147/D147)</f>
        <v>1</v>
      </c>
      <c r="CC147" s="1081"/>
      <c r="CD147" s="1081"/>
      <c r="CE147" s="1083"/>
      <c r="CF147" s="1084"/>
      <c r="CG147" s="862"/>
      <c r="CH147" s="862"/>
      <c r="CI147" s="862"/>
      <c r="CJ147" s="862"/>
      <c r="CK147" s="862"/>
      <c r="CL147" s="862"/>
      <c r="CM147" s="862"/>
      <c r="CN147" s="862"/>
      <c r="CO147" s="1081">
        <f t="shared" ref="CO147:CO148" si="387">SUM(AZ147*12.5%)</f>
        <v>16200</v>
      </c>
      <c r="CP147" s="862"/>
      <c r="CQ147" s="862"/>
      <c r="CR147" s="862"/>
      <c r="CS147" s="862"/>
      <c r="CT147" s="862"/>
      <c r="CU147" s="862"/>
      <c r="CV147" s="862"/>
      <c r="CW147" s="862"/>
      <c r="CX147" s="862"/>
      <c r="CY147" s="73">
        <f>SUM(CG147:CX147)</f>
        <v>16200</v>
      </c>
      <c r="CZ147" s="862"/>
      <c r="DA147" s="862"/>
      <c r="DB147" s="862"/>
      <c r="DC147" s="862"/>
      <c r="DD147" s="862"/>
      <c r="DE147" s="862"/>
      <c r="DF147" s="862"/>
      <c r="DG147" s="862"/>
      <c r="DH147" s="1081"/>
      <c r="DI147" s="862"/>
      <c r="DJ147" s="862"/>
      <c r="DK147" s="862"/>
      <c r="DL147" s="862"/>
      <c r="DM147" s="862"/>
      <c r="DN147" s="862"/>
      <c r="DO147" s="862"/>
      <c r="DP147" s="862"/>
      <c r="DQ147" s="862"/>
      <c r="DR147" s="73">
        <f>SUM(CZ147:DQ147)</f>
        <v>0</v>
      </c>
      <c r="DS147" s="303"/>
      <c r="DT147" s="303"/>
      <c r="DU147" s="423"/>
      <c r="DV147" s="303"/>
      <c r="DW147" s="303"/>
      <c r="DX147" s="303"/>
      <c r="DY147" s="304"/>
      <c r="DZ147" s="304"/>
      <c r="EA147" s="304"/>
      <c r="EB147" s="304"/>
      <c r="EC147" s="304"/>
      <c r="ED147" s="304"/>
      <c r="EE147" s="304"/>
      <c r="EF147" s="304"/>
      <c r="EG147" s="304"/>
      <c r="EH147" s="304"/>
      <c r="EI147" s="304"/>
    </row>
    <row r="148" spans="1:157" s="282" customFormat="1" ht="24.75" customHeight="1" thickBot="1" x14ac:dyDescent="0.25">
      <c r="A148" s="577">
        <v>5</v>
      </c>
      <c r="B148" s="308" t="s">
        <v>4</v>
      </c>
      <c r="C148" s="308"/>
      <c r="D148" s="309"/>
      <c r="E148" s="465"/>
      <c r="F148" s="310"/>
      <c r="G148" s="399"/>
      <c r="H148" s="310"/>
      <c r="I148" s="465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1"/>
      <c r="X148" s="312"/>
      <c r="Y148" s="313"/>
      <c r="Z148" s="997"/>
      <c r="AA148" s="314"/>
      <c r="AB148" s="314"/>
      <c r="AC148" s="314"/>
      <c r="AD148" s="314"/>
      <c r="AE148" s="989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5">
        <f>SUM(AR147:AR147)</f>
        <v>1555200</v>
      </c>
      <c r="AS148" s="1353">
        <f>SUM(AS147:AS147)</f>
        <v>129600</v>
      </c>
      <c r="AT148" s="315">
        <f>SUM(AT147:AT147)</f>
        <v>129600</v>
      </c>
      <c r="AU148" s="315">
        <f>SUM(AU147:AU147)</f>
        <v>129600</v>
      </c>
      <c r="AV148" s="315">
        <f t="shared" ref="AV148:BD148" si="388">SUM(AV147:AV147)</f>
        <v>129600</v>
      </c>
      <c r="AW148" s="430">
        <f t="shared" si="388"/>
        <v>129600</v>
      </c>
      <c r="AX148" s="315">
        <f t="shared" si="388"/>
        <v>129600</v>
      </c>
      <c r="AY148" s="315">
        <f t="shared" si="388"/>
        <v>129600</v>
      </c>
      <c r="AZ148" s="315">
        <f t="shared" si="388"/>
        <v>129600</v>
      </c>
      <c r="BA148" s="315">
        <f t="shared" si="388"/>
        <v>518400</v>
      </c>
      <c r="BB148" s="315">
        <f t="shared" si="388"/>
        <v>0</v>
      </c>
      <c r="BC148" s="315">
        <f t="shared" si="388"/>
        <v>0</v>
      </c>
      <c r="BD148" s="315">
        <f t="shared" si="388"/>
        <v>0</v>
      </c>
      <c r="BE148" s="315"/>
      <c r="BF148" s="315"/>
      <c r="BG148" s="315"/>
      <c r="BH148" s="315"/>
      <c r="BI148" s="315"/>
      <c r="BJ148" s="315"/>
      <c r="BK148" s="315">
        <f>SUM(BK147:BK147)</f>
        <v>1555200</v>
      </c>
      <c r="BL148" s="315">
        <f>SUM(BL147:BL147)</f>
        <v>0</v>
      </c>
      <c r="BM148" s="315">
        <f>SUM(BM147:BM147)</f>
        <v>0</v>
      </c>
      <c r="BN148" s="315">
        <f>SUM(BN147:BN147)</f>
        <v>0</v>
      </c>
      <c r="BO148" s="1232">
        <f t="shared" ref="BO148:BW148" si="389">SUM(BO147:BO147)</f>
        <v>0</v>
      </c>
      <c r="BP148" s="315">
        <f t="shared" si="389"/>
        <v>0</v>
      </c>
      <c r="BQ148" s="315">
        <f t="shared" si="389"/>
        <v>0</v>
      </c>
      <c r="BR148" s="315">
        <f t="shared" si="389"/>
        <v>0</v>
      </c>
      <c r="BS148" s="315">
        <f t="shared" si="389"/>
        <v>0</v>
      </c>
      <c r="BT148" s="315">
        <f t="shared" si="389"/>
        <v>0</v>
      </c>
      <c r="BU148" s="315">
        <f t="shared" si="389"/>
        <v>0</v>
      </c>
      <c r="BV148" s="315">
        <f t="shared" si="389"/>
        <v>0</v>
      </c>
      <c r="BW148" s="315">
        <f t="shared" si="389"/>
        <v>0</v>
      </c>
      <c r="BX148" s="315">
        <f>SUM(BX147:BX147)</f>
        <v>0</v>
      </c>
      <c r="BY148" s="316">
        <f>AR148-BK148-BX148</f>
        <v>0</v>
      </c>
      <c r="BZ148" s="315">
        <f>SUM(BZ147:BZ147)</f>
        <v>1555200</v>
      </c>
      <c r="CA148" s="315">
        <f>SUM(CA147:CA147)</f>
        <v>0</v>
      </c>
      <c r="CB148" s="279">
        <f>SUM(CB147)</f>
        <v>1</v>
      </c>
      <c r="CC148" s="1081"/>
      <c r="CD148" s="1081"/>
      <c r="CE148" s="1083"/>
      <c r="CF148" s="1084"/>
      <c r="CG148" s="862"/>
      <c r="CH148" s="862"/>
      <c r="CI148" s="862"/>
      <c r="CJ148" s="862"/>
      <c r="CK148" s="862"/>
      <c r="CL148" s="862"/>
      <c r="CM148" s="862"/>
      <c r="CN148" s="862"/>
      <c r="CO148" s="1081">
        <f t="shared" si="387"/>
        <v>16200</v>
      </c>
      <c r="CP148" s="862"/>
      <c r="CQ148" s="862"/>
      <c r="CR148" s="862"/>
      <c r="CS148" s="862"/>
      <c r="CT148" s="862"/>
      <c r="CU148" s="862"/>
      <c r="CV148" s="862"/>
      <c r="CW148" s="862"/>
      <c r="CX148" s="862"/>
      <c r="CY148" s="73">
        <f>SUM(CG148:CX148)</f>
        <v>16200</v>
      </c>
      <c r="CZ148" s="862"/>
      <c r="DA148" s="862"/>
      <c r="DB148" s="862"/>
      <c r="DC148" s="862"/>
      <c r="DD148" s="862"/>
      <c r="DE148" s="862"/>
      <c r="DF148" s="862"/>
      <c r="DG148" s="862"/>
      <c r="DH148" s="1081"/>
      <c r="DI148" s="862"/>
      <c r="DJ148" s="862"/>
      <c r="DK148" s="862"/>
      <c r="DL148" s="862"/>
      <c r="DM148" s="862"/>
      <c r="DN148" s="862"/>
      <c r="DO148" s="862"/>
      <c r="DP148" s="862"/>
      <c r="DQ148" s="862"/>
      <c r="DR148" s="73">
        <f>SUM(CZ148:DQ148)</f>
        <v>0</v>
      </c>
      <c r="DS148" s="317"/>
      <c r="DT148" s="317"/>
      <c r="DU148" s="425"/>
      <c r="DV148" s="317"/>
      <c r="DW148" s="317"/>
      <c r="DX148" s="317"/>
      <c r="DY148" s="318"/>
      <c r="DZ148" s="318"/>
      <c r="EA148" s="318"/>
      <c r="EB148" s="318"/>
      <c r="EC148" s="318"/>
      <c r="ED148" s="318"/>
      <c r="EE148" s="318"/>
      <c r="EF148" s="318"/>
      <c r="EG148" s="318"/>
      <c r="EH148" s="318"/>
      <c r="EI148" s="318"/>
    </row>
    <row r="149" spans="1:157" s="262" customFormat="1" ht="24.75" customHeight="1" x14ac:dyDescent="0.2">
      <c r="A149" s="283"/>
      <c r="D149" s="283"/>
      <c r="E149" s="463"/>
      <c r="F149" s="283"/>
      <c r="G149" s="397"/>
      <c r="H149" s="283"/>
      <c r="I149" s="46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Z149" s="998"/>
      <c r="AS149" s="1354"/>
      <c r="BK149" s="291"/>
      <c r="BO149" s="998"/>
      <c r="BX149" s="319">
        <f>SUM(BK148+BX148)</f>
        <v>1555200</v>
      </c>
      <c r="BY149" s="284">
        <f>AR148-BK148-BX148</f>
        <v>0</v>
      </c>
      <c r="BZ149" s="320">
        <f>SUM(CA148+BK148+BX148)</f>
        <v>1555200</v>
      </c>
      <c r="CA149" s="285">
        <f>SUM(BY148)</f>
        <v>0</v>
      </c>
      <c r="CB149" s="280" t="s">
        <v>38</v>
      </c>
      <c r="CC149" s="1011"/>
      <c r="CD149" s="1012"/>
      <c r="CE149" s="260"/>
      <c r="CF149" s="409"/>
      <c r="CG149" s="417"/>
      <c r="CH149" s="409"/>
      <c r="CI149" s="409"/>
      <c r="CJ149" s="409"/>
      <c r="CK149" s="417"/>
      <c r="CL149" s="409"/>
      <c r="CM149" s="409"/>
      <c r="CN149" s="409"/>
      <c r="CO149" s="417"/>
      <c r="CP149" s="409"/>
      <c r="CQ149" s="409"/>
      <c r="CR149" s="409"/>
      <c r="CS149" s="409"/>
      <c r="CT149" s="409"/>
      <c r="CU149" s="409"/>
      <c r="CV149" s="409"/>
      <c r="CW149" s="409"/>
      <c r="CX149" s="409"/>
      <c r="CY149" s="417"/>
      <c r="CZ149" s="409"/>
      <c r="DA149" s="409"/>
      <c r="DB149" s="409"/>
      <c r="DC149" s="417"/>
      <c r="DD149" s="409"/>
      <c r="DE149" s="409"/>
      <c r="DF149" s="409"/>
      <c r="DG149" s="417"/>
      <c r="DH149" s="409"/>
      <c r="DI149" s="409"/>
      <c r="DJ149" s="409"/>
      <c r="DK149" s="409"/>
      <c r="DL149" s="409"/>
      <c r="DM149" s="409"/>
      <c r="DN149" s="409"/>
      <c r="DO149" s="409"/>
      <c r="DP149" s="409"/>
      <c r="DQ149" s="409"/>
      <c r="DR149" s="409"/>
      <c r="DS149" s="409"/>
      <c r="DT149" s="409"/>
      <c r="DU149" s="417"/>
      <c r="DV149" s="409"/>
      <c r="DW149" s="409"/>
      <c r="DX149" s="409"/>
      <c r="DY149" s="260"/>
      <c r="DZ149" s="260"/>
      <c r="EA149" s="260"/>
      <c r="EB149" s="260"/>
      <c r="EC149" s="260"/>
      <c r="ED149" s="260"/>
      <c r="EE149" s="260"/>
      <c r="EF149" s="260"/>
      <c r="EG149" s="260"/>
      <c r="EH149" s="260"/>
      <c r="EI149" s="260"/>
      <c r="EJ149" s="260"/>
    </row>
    <row r="150" spans="1:157" s="262" customFormat="1" ht="24.75" customHeight="1" x14ac:dyDescent="0.2">
      <c r="A150" s="283"/>
      <c r="D150" s="283"/>
      <c r="E150" s="463"/>
      <c r="F150" s="283"/>
      <c r="G150" s="397"/>
      <c r="H150" s="283"/>
      <c r="I150" s="46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Z150" s="998"/>
      <c r="AS150" s="1354"/>
      <c r="BK150" s="280"/>
      <c r="BL150" s="388">
        <f>SUM(AS148+BL148)</f>
        <v>129600</v>
      </c>
      <c r="BM150" s="388">
        <f t="shared" ref="BM150" si="390">SUM(AT148+BM148)</f>
        <v>129600</v>
      </c>
      <c r="BN150" s="388">
        <f t="shared" ref="BN150" si="391">SUM(AU148+BN148)</f>
        <v>129600</v>
      </c>
      <c r="BO150" s="1357">
        <f t="shared" ref="BO150" si="392">SUM(AV148+BO148)</f>
        <v>129600</v>
      </c>
      <c r="BP150" s="388">
        <f t="shared" ref="BP150" si="393">SUM(AW148+BP148)</f>
        <v>129600</v>
      </c>
      <c r="BQ150" s="388">
        <f t="shared" ref="BQ150" si="394">SUM(AX148+BQ148)</f>
        <v>129600</v>
      </c>
      <c r="BR150" s="388">
        <f t="shared" ref="BR150" si="395">SUM(AY148+BR148)</f>
        <v>129600</v>
      </c>
      <c r="BS150" s="388">
        <f t="shared" ref="BS150" si="396">SUM(AZ148+BS148)</f>
        <v>129600</v>
      </c>
      <c r="BT150" s="388">
        <f t="shared" ref="BT150" si="397">SUM(BA148+BT148)</f>
        <v>518400</v>
      </c>
      <c r="BU150" s="388">
        <f t="shared" ref="BU150" si="398">SUM(BB148+BU148)</f>
        <v>0</v>
      </c>
      <c r="BV150" s="388">
        <f t="shared" ref="BV150" si="399">SUM(BC148+BV148)</f>
        <v>0</v>
      </c>
      <c r="BW150" s="388">
        <f t="shared" ref="BW150" si="400">SUM(BD148+BW148)</f>
        <v>0</v>
      </c>
      <c r="BX150" s="388">
        <f>SUM(BL150:BW150)</f>
        <v>1555200</v>
      </c>
      <c r="BY150" s="280"/>
      <c r="BZ150" s="286"/>
      <c r="CA150" s="287">
        <f>SUM(CA148-CA149)</f>
        <v>0</v>
      </c>
      <c r="CB150" s="280" t="s">
        <v>37</v>
      </c>
      <c r="CC150" s="1011"/>
      <c r="CD150" s="1012"/>
      <c r="CE150" s="260"/>
      <c r="CF150" s="409"/>
      <c r="CG150" s="417"/>
      <c r="CH150" s="409"/>
      <c r="CI150" s="409"/>
      <c r="CJ150" s="409"/>
      <c r="CK150" s="417"/>
      <c r="CL150" s="409"/>
      <c r="CM150" s="409"/>
      <c r="CN150" s="409"/>
      <c r="CO150" s="417"/>
      <c r="CP150" s="409"/>
      <c r="CQ150" s="409"/>
      <c r="CR150" s="409"/>
      <c r="CS150" s="409"/>
      <c r="CT150" s="409"/>
      <c r="CU150" s="409"/>
      <c r="CV150" s="409"/>
      <c r="CW150" s="409"/>
      <c r="CX150" s="409"/>
      <c r="CY150" s="417"/>
      <c r="CZ150" s="409"/>
      <c r="DA150" s="409"/>
      <c r="DB150" s="409"/>
      <c r="DC150" s="417"/>
      <c r="DD150" s="409"/>
      <c r="DE150" s="409"/>
      <c r="DF150" s="409"/>
      <c r="DG150" s="417"/>
      <c r="DH150" s="409"/>
      <c r="DI150" s="409"/>
      <c r="DJ150" s="409"/>
      <c r="DK150" s="409"/>
      <c r="DL150" s="409"/>
      <c r="DM150" s="409"/>
      <c r="DN150" s="409"/>
      <c r="DO150" s="409"/>
      <c r="DP150" s="409"/>
      <c r="DQ150" s="409"/>
      <c r="DR150" s="409"/>
      <c r="DS150" s="409"/>
      <c r="DT150" s="409"/>
      <c r="DU150" s="417"/>
      <c r="DV150" s="409"/>
      <c r="DW150" s="409"/>
      <c r="DX150" s="409"/>
      <c r="DY150" s="260"/>
      <c r="DZ150" s="260"/>
      <c r="EA150" s="260"/>
      <c r="EB150" s="260"/>
      <c r="EC150" s="260"/>
      <c r="ED150" s="260"/>
      <c r="EE150" s="260"/>
      <c r="EF150" s="260"/>
      <c r="EG150" s="260"/>
      <c r="EH150" s="260"/>
      <c r="EI150" s="260"/>
      <c r="EJ150" s="260"/>
    </row>
    <row r="151" spans="1:157" s="262" customFormat="1" ht="24.75" customHeight="1" x14ac:dyDescent="0.2">
      <c r="A151" s="1754" t="s">
        <v>8</v>
      </c>
      <c r="B151" s="1755"/>
      <c r="C151" s="244" t="s">
        <v>150</v>
      </c>
      <c r="D151" s="245"/>
      <c r="E151" s="462"/>
      <c r="F151" s="245"/>
      <c r="G151" s="292"/>
      <c r="H151" s="245"/>
      <c r="I151" s="462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994"/>
      <c r="AA151" s="246"/>
      <c r="AB151" s="246"/>
      <c r="AC151" s="246"/>
      <c r="AD151" s="246"/>
      <c r="AE151" s="246"/>
      <c r="AF151" s="246"/>
      <c r="AG151" s="246"/>
      <c r="AH151" s="246"/>
      <c r="AI151" s="246"/>
      <c r="AJ151" s="246"/>
      <c r="AK151" s="246"/>
      <c r="AL151" s="246"/>
      <c r="AM151" s="246"/>
      <c r="AN151" s="246"/>
      <c r="AO151" s="246"/>
      <c r="AP151" s="246"/>
      <c r="AQ151" s="246"/>
      <c r="AR151" s="245"/>
      <c r="AS151" s="1350"/>
      <c r="AT151" s="246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7"/>
      <c r="BL151" s="246"/>
      <c r="BM151" s="246"/>
      <c r="BN151" s="246"/>
      <c r="BO151" s="994"/>
      <c r="BP151" s="246"/>
      <c r="BQ151" s="246"/>
      <c r="BR151" s="246"/>
      <c r="BS151" s="246"/>
      <c r="BT151" s="246"/>
      <c r="BU151" s="246"/>
      <c r="BV151" s="246"/>
      <c r="BW151" s="246"/>
      <c r="BX151" s="247"/>
      <c r="BY151" s="247"/>
      <c r="BZ151" s="243"/>
      <c r="CA151" s="248"/>
      <c r="CB151" s="245"/>
      <c r="CC151" s="1008"/>
      <c r="CD151" s="1008"/>
      <c r="CE151" s="246"/>
      <c r="CF151" s="292"/>
      <c r="CG151" s="418"/>
      <c r="CH151" s="292"/>
      <c r="CI151" s="249"/>
      <c r="CJ151" s="292"/>
      <c r="CK151" s="418"/>
      <c r="CL151" s="292"/>
      <c r="CM151" s="249"/>
      <c r="CN151" s="292"/>
      <c r="CO151" s="418"/>
      <c r="CP151" s="292"/>
      <c r="CQ151" s="249"/>
      <c r="CR151" s="249"/>
      <c r="CS151" s="249"/>
      <c r="CT151" s="249"/>
      <c r="CU151" s="249"/>
      <c r="CV151" s="249"/>
      <c r="CW151" s="249"/>
      <c r="CX151" s="249"/>
      <c r="CY151" s="418"/>
      <c r="CZ151" s="292"/>
      <c r="DA151" s="249"/>
      <c r="DB151" s="292"/>
      <c r="DC151" s="418"/>
      <c r="DD151" s="292"/>
      <c r="DE151" s="249"/>
      <c r="DF151" s="292"/>
      <c r="DG151" s="418"/>
      <c r="DH151" s="292"/>
      <c r="DI151" s="249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49"/>
      <c r="DT151" s="292"/>
      <c r="DU151" s="418"/>
      <c r="DV151" s="292"/>
      <c r="DW151" s="249"/>
      <c r="DX151" s="292"/>
      <c r="DY151" s="246"/>
      <c r="DZ151" s="246"/>
      <c r="EA151" s="246"/>
      <c r="EB151" s="246"/>
      <c r="EC151" s="247"/>
      <c r="ED151" s="247"/>
      <c r="EE151" s="247"/>
      <c r="EF151" s="243"/>
      <c r="EG151" s="248"/>
      <c r="EH151" s="247"/>
      <c r="EI151" s="247"/>
      <c r="EJ151" s="260"/>
      <c r="EK151" s="260"/>
      <c r="EL151" s="260"/>
      <c r="EM151" s="260"/>
      <c r="EN151" s="260"/>
      <c r="EO151" s="261"/>
      <c r="EP151" s="260"/>
      <c r="EQ151" s="260"/>
      <c r="ER151" s="260"/>
      <c r="ES151" s="260"/>
      <c r="ET151" s="260"/>
      <c r="EU151" s="260"/>
      <c r="EV151" s="260"/>
      <c r="EW151" s="260"/>
      <c r="EX151" s="260"/>
      <c r="EY151" s="260"/>
      <c r="EZ151" s="260"/>
      <c r="FA151" s="260"/>
    </row>
    <row r="152" spans="1:157" s="264" customFormat="1" ht="48.75" customHeight="1" x14ac:dyDescent="0.2">
      <c r="A152" s="1756" t="s">
        <v>10</v>
      </c>
      <c r="B152" s="1759" t="s">
        <v>11</v>
      </c>
      <c r="C152" s="1759" t="s">
        <v>22</v>
      </c>
      <c r="D152" s="1762" t="s">
        <v>12</v>
      </c>
      <c r="E152" s="1762"/>
      <c r="F152" s="1762"/>
      <c r="G152" s="1762"/>
      <c r="H152" s="1762"/>
      <c r="I152" s="1762"/>
      <c r="J152" s="1762"/>
      <c r="K152" s="1762"/>
      <c r="L152" s="1762"/>
      <c r="M152" s="1762"/>
      <c r="N152" s="1762"/>
      <c r="O152" s="1762"/>
      <c r="P152" s="1762"/>
      <c r="Q152" s="1762"/>
      <c r="R152" s="1762"/>
      <c r="S152" s="1762"/>
      <c r="T152" s="1762"/>
      <c r="U152" s="1762"/>
      <c r="V152" s="1762"/>
      <c r="W152" s="1762"/>
      <c r="X152" s="1759" t="s">
        <v>20</v>
      </c>
      <c r="Y152" s="1763" t="s">
        <v>17</v>
      </c>
      <c r="Z152" s="1764"/>
      <c r="AA152" s="1764"/>
      <c r="AB152" s="1764"/>
      <c r="AC152" s="1764"/>
      <c r="AD152" s="1764"/>
      <c r="AE152" s="1764"/>
      <c r="AF152" s="1764"/>
      <c r="AG152" s="1764"/>
      <c r="AH152" s="1764"/>
      <c r="AI152" s="1764"/>
      <c r="AJ152" s="1764"/>
      <c r="AK152" s="1764"/>
      <c r="AL152" s="1178"/>
      <c r="AM152" s="1178"/>
      <c r="AN152" s="1178"/>
      <c r="AO152" s="1178"/>
      <c r="AP152" s="1178"/>
      <c r="AQ152" s="1178"/>
      <c r="AR152" s="1766" t="s">
        <v>6</v>
      </c>
      <c r="AS152" s="1766"/>
      <c r="AT152" s="1766"/>
      <c r="AU152" s="1766"/>
      <c r="AV152" s="1766"/>
      <c r="AW152" s="1766"/>
      <c r="AX152" s="1766"/>
      <c r="AY152" s="1766"/>
      <c r="AZ152" s="1766"/>
      <c r="BA152" s="1766"/>
      <c r="BB152" s="1766"/>
      <c r="BC152" s="1766"/>
      <c r="BD152" s="1766"/>
      <c r="BE152" s="1766"/>
      <c r="BF152" s="1766"/>
      <c r="BG152" s="1766"/>
      <c r="BH152" s="1766"/>
      <c r="BI152" s="1766"/>
      <c r="BJ152" s="1766"/>
      <c r="BK152" s="1766"/>
      <c r="BL152" s="1767" t="s">
        <v>41</v>
      </c>
      <c r="BM152" s="1768"/>
      <c r="BN152" s="1768"/>
      <c r="BO152" s="1768"/>
      <c r="BP152" s="1768"/>
      <c r="BQ152" s="1768"/>
      <c r="BR152" s="1768"/>
      <c r="BS152" s="1768"/>
      <c r="BT152" s="1768"/>
      <c r="BU152" s="1768"/>
      <c r="BV152" s="1768"/>
      <c r="BW152" s="1768"/>
      <c r="BX152" s="1769"/>
      <c r="BY152" s="1759" t="s">
        <v>38</v>
      </c>
      <c r="BZ152" s="1759" t="s">
        <v>256</v>
      </c>
      <c r="CA152" s="1746" t="s">
        <v>39</v>
      </c>
      <c r="CB152" s="243"/>
      <c r="CC152" s="135"/>
      <c r="CD152" s="135"/>
      <c r="CE152" s="135"/>
      <c r="CF152" s="135"/>
      <c r="CG152" s="1733" t="s">
        <v>41</v>
      </c>
      <c r="CH152" s="1734"/>
      <c r="CI152" s="1734"/>
      <c r="CJ152" s="1734"/>
      <c r="CK152" s="1734"/>
      <c r="CL152" s="1734"/>
      <c r="CM152" s="1734"/>
      <c r="CN152" s="1734"/>
      <c r="CO152" s="1734"/>
      <c r="CP152" s="1734"/>
      <c r="CQ152" s="1734"/>
      <c r="CR152" s="1734"/>
      <c r="CS152" s="1734"/>
      <c r="CT152" s="1734"/>
      <c r="CU152" s="1734"/>
      <c r="CV152" s="1734"/>
      <c r="CW152" s="1734"/>
      <c r="CX152" s="1734"/>
      <c r="CY152" s="1734"/>
      <c r="CZ152" s="1734"/>
      <c r="DA152" s="1734"/>
      <c r="DB152" s="1734"/>
      <c r="DC152" s="1734"/>
      <c r="DD152" s="1734"/>
      <c r="DE152" s="1734"/>
      <c r="DF152" s="1734"/>
      <c r="DG152" s="1734"/>
      <c r="DH152" s="1734"/>
      <c r="DI152" s="1734"/>
      <c r="DJ152" s="1734"/>
      <c r="DK152" s="1734"/>
      <c r="DL152" s="1734"/>
      <c r="DM152" s="1734"/>
      <c r="DN152" s="1734"/>
      <c r="DO152" s="1734"/>
      <c r="DP152" s="1734"/>
      <c r="DQ152" s="1734"/>
      <c r="DR152" s="1735"/>
      <c r="DS152" s="292"/>
      <c r="DT152" s="292"/>
      <c r="DU152" s="418"/>
      <c r="DV152" s="292"/>
      <c r="DW152" s="292"/>
      <c r="DX152" s="292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63"/>
      <c r="EI152" s="263"/>
    </row>
    <row r="153" spans="1:157" s="264" customFormat="1" ht="48.75" customHeight="1" x14ac:dyDescent="0.2">
      <c r="A153" s="1757"/>
      <c r="B153" s="1760"/>
      <c r="C153" s="1760"/>
      <c r="D153" s="1749" t="s">
        <v>18</v>
      </c>
      <c r="E153" s="1751" t="s">
        <v>19</v>
      </c>
      <c r="F153" s="1752"/>
      <c r="G153" s="1752"/>
      <c r="H153" s="1752"/>
      <c r="I153" s="1752"/>
      <c r="J153" s="1752"/>
      <c r="K153" s="1752"/>
      <c r="L153" s="1752"/>
      <c r="M153" s="1752"/>
      <c r="N153" s="1752"/>
      <c r="O153" s="1752"/>
      <c r="P153" s="1752"/>
      <c r="Q153" s="1752"/>
      <c r="R153" s="1752"/>
      <c r="S153" s="1752"/>
      <c r="T153" s="1752"/>
      <c r="U153" s="1752"/>
      <c r="V153" s="1752"/>
      <c r="W153" s="1752"/>
      <c r="X153" s="1760"/>
      <c r="Y153" s="1749" t="s">
        <v>18</v>
      </c>
      <c r="Z153" s="1751" t="s">
        <v>19</v>
      </c>
      <c r="AA153" s="1752"/>
      <c r="AB153" s="1752"/>
      <c r="AC153" s="1752"/>
      <c r="AD153" s="1752"/>
      <c r="AE153" s="1752"/>
      <c r="AF153" s="1752"/>
      <c r="AG153" s="1752"/>
      <c r="AH153" s="1752"/>
      <c r="AI153" s="1752"/>
      <c r="AJ153" s="1752"/>
      <c r="AK153" s="1752"/>
      <c r="AL153" s="1179"/>
      <c r="AM153" s="1179"/>
      <c r="AN153" s="1179"/>
      <c r="AO153" s="1179"/>
      <c r="AP153" s="1179"/>
      <c r="AQ153" s="1179"/>
      <c r="AR153" s="1749" t="s">
        <v>18</v>
      </c>
      <c r="AS153" s="1751" t="s">
        <v>19</v>
      </c>
      <c r="AT153" s="1752"/>
      <c r="AU153" s="1752"/>
      <c r="AV153" s="1752"/>
      <c r="AW153" s="1752"/>
      <c r="AX153" s="1752"/>
      <c r="AY153" s="1752"/>
      <c r="AZ153" s="1752"/>
      <c r="BA153" s="1752"/>
      <c r="BB153" s="1752"/>
      <c r="BC153" s="1752"/>
      <c r="BD153" s="1752"/>
      <c r="BE153" s="1752"/>
      <c r="BF153" s="1752"/>
      <c r="BG153" s="1752"/>
      <c r="BH153" s="1752"/>
      <c r="BI153" s="1752"/>
      <c r="BJ153" s="1752"/>
      <c r="BK153" s="1753"/>
      <c r="BL153" s="1770"/>
      <c r="BM153" s="1771"/>
      <c r="BN153" s="1771"/>
      <c r="BO153" s="1771"/>
      <c r="BP153" s="1771"/>
      <c r="BQ153" s="1771"/>
      <c r="BR153" s="1771"/>
      <c r="BS153" s="1771"/>
      <c r="BT153" s="1771"/>
      <c r="BU153" s="1771"/>
      <c r="BV153" s="1771"/>
      <c r="BW153" s="1771"/>
      <c r="BX153" s="1772"/>
      <c r="BY153" s="1760"/>
      <c r="BZ153" s="1760"/>
      <c r="CA153" s="1747"/>
      <c r="CB153" s="243"/>
      <c r="CC153" s="1736">
        <f>SUM(CC155/60)</f>
        <v>0</v>
      </c>
      <c r="CD153" s="1736"/>
      <c r="CE153" s="1736"/>
      <c r="CF153" s="23"/>
      <c r="CG153" s="1737" t="s">
        <v>686</v>
      </c>
      <c r="CH153" s="1738"/>
      <c r="CI153" s="1738"/>
      <c r="CJ153" s="1738"/>
      <c r="CK153" s="1738"/>
      <c r="CL153" s="1738"/>
      <c r="CM153" s="1738"/>
      <c r="CN153" s="1738"/>
      <c r="CO153" s="1738"/>
      <c r="CP153" s="1738"/>
      <c r="CQ153" s="1738"/>
      <c r="CR153" s="1738"/>
      <c r="CS153" s="1738"/>
      <c r="CT153" s="1738"/>
      <c r="CU153" s="1738"/>
      <c r="CV153" s="1738"/>
      <c r="CW153" s="1738"/>
      <c r="CX153" s="1738"/>
      <c r="CY153" s="1739"/>
      <c r="CZ153" s="1740" t="s">
        <v>687</v>
      </c>
      <c r="DA153" s="1741"/>
      <c r="DB153" s="1741"/>
      <c r="DC153" s="1741"/>
      <c r="DD153" s="1741"/>
      <c r="DE153" s="1741"/>
      <c r="DF153" s="1741"/>
      <c r="DG153" s="1741"/>
      <c r="DH153" s="1741"/>
      <c r="DI153" s="1741"/>
      <c r="DJ153" s="1741"/>
      <c r="DK153" s="1741"/>
      <c r="DL153" s="1741"/>
      <c r="DM153" s="1741"/>
      <c r="DN153" s="1741"/>
      <c r="DO153" s="1741"/>
      <c r="DP153" s="1741"/>
      <c r="DQ153" s="1741"/>
      <c r="DR153" s="1742"/>
      <c r="DS153" s="292"/>
      <c r="DT153" s="292"/>
      <c r="DU153" s="418"/>
      <c r="DV153" s="292"/>
      <c r="DW153" s="292"/>
      <c r="DX153" s="292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63"/>
      <c r="EI153" s="263"/>
    </row>
    <row r="154" spans="1:157" s="267" customFormat="1" ht="28.5" customHeight="1" x14ac:dyDescent="0.2">
      <c r="A154" s="1758"/>
      <c r="B154" s="1761"/>
      <c r="C154" s="1761"/>
      <c r="D154" s="1750"/>
      <c r="E154" s="265">
        <v>1</v>
      </c>
      <c r="F154" s="265">
        <v>2</v>
      </c>
      <c r="G154" s="265">
        <v>3</v>
      </c>
      <c r="H154" s="265">
        <v>4</v>
      </c>
      <c r="I154" s="265">
        <v>5</v>
      </c>
      <c r="J154" s="265">
        <v>6</v>
      </c>
      <c r="K154" s="265">
        <v>7</v>
      </c>
      <c r="L154" s="265">
        <v>8</v>
      </c>
      <c r="M154" s="265">
        <v>9</v>
      </c>
      <c r="N154" s="265">
        <v>10</v>
      </c>
      <c r="O154" s="265">
        <v>11</v>
      </c>
      <c r="P154" s="265">
        <v>12</v>
      </c>
      <c r="Q154" s="265"/>
      <c r="R154" s="265"/>
      <c r="S154" s="265"/>
      <c r="T154" s="265"/>
      <c r="U154" s="265"/>
      <c r="V154" s="265"/>
      <c r="W154" s="265" t="s">
        <v>21</v>
      </c>
      <c r="X154" s="1761"/>
      <c r="Y154" s="1750"/>
      <c r="Z154" s="265">
        <v>1</v>
      </c>
      <c r="AA154" s="265">
        <v>2</v>
      </c>
      <c r="AB154" s="265">
        <v>3</v>
      </c>
      <c r="AC154" s="265">
        <v>4</v>
      </c>
      <c r="AD154" s="265">
        <v>5</v>
      </c>
      <c r="AE154" s="265">
        <v>6</v>
      </c>
      <c r="AF154" s="265">
        <v>7</v>
      </c>
      <c r="AG154" s="265">
        <v>8</v>
      </c>
      <c r="AH154" s="265">
        <v>9</v>
      </c>
      <c r="AI154" s="265">
        <v>10</v>
      </c>
      <c r="AJ154" s="265">
        <v>11</v>
      </c>
      <c r="AK154" s="265">
        <v>12</v>
      </c>
      <c r="AL154" s="266"/>
      <c r="AM154" s="266"/>
      <c r="AN154" s="266"/>
      <c r="AO154" s="266"/>
      <c r="AP154" s="266"/>
      <c r="AQ154" s="266"/>
      <c r="AR154" s="1750"/>
      <c r="AS154" s="1351">
        <v>1</v>
      </c>
      <c r="AT154" s="265">
        <v>2</v>
      </c>
      <c r="AU154" s="265">
        <v>3</v>
      </c>
      <c r="AV154" s="265">
        <v>4</v>
      </c>
      <c r="AW154" s="265">
        <v>5</v>
      </c>
      <c r="AX154" s="265">
        <v>6</v>
      </c>
      <c r="AY154" s="265">
        <v>7</v>
      </c>
      <c r="AZ154" s="265">
        <v>8</v>
      </c>
      <c r="BA154" s="265">
        <v>9</v>
      </c>
      <c r="BB154" s="265">
        <v>10</v>
      </c>
      <c r="BC154" s="265">
        <v>11</v>
      </c>
      <c r="BD154" s="265">
        <v>12</v>
      </c>
      <c r="BE154" s="265"/>
      <c r="BF154" s="265"/>
      <c r="BG154" s="265"/>
      <c r="BH154" s="265"/>
      <c r="BI154" s="265"/>
      <c r="BJ154" s="265"/>
      <c r="BK154" s="265" t="s">
        <v>13</v>
      </c>
      <c r="BL154" s="266">
        <v>1</v>
      </c>
      <c r="BM154" s="266">
        <v>2</v>
      </c>
      <c r="BN154" s="266">
        <v>3</v>
      </c>
      <c r="BO154" s="1360">
        <v>4</v>
      </c>
      <c r="BP154" s="266">
        <v>5</v>
      </c>
      <c r="BQ154" s="266">
        <v>6</v>
      </c>
      <c r="BR154" s="266">
        <v>7</v>
      </c>
      <c r="BS154" s="266">
        <v>8</v>
      </c>
      <c r="BT154" s="266">
        <v>9</v>
      </c>
      <c r="BU154" s="266">
        <v>10</v>
      </c>
      <c r="BV154" s="266">
        <v>11</v>
      </c>
      <c r="BW154" s="266">
        <v>12</v>
      </c>
      <c r="BX154" s="265" t="s">
        <v>13</v>
      </c>
      <c r="BY154" s="1761"/>
      <c r="BZ154" s="1761"/>
      <c r="CA154" s="1748"/>
      <c r="CC154" s="1743" t="s">
        <v>19</v>
      </c>
      <c r="CD154" s="1744"/>
      <c r="CE154" s="1745"/>
      <c r="CF154" s="621"/>
      <c r="CG154" s="173">
        <v>1</v>
      </c>
      <c r="CH154" s="173">
        <v>2</v>
      </c>
      <c r="CI154" s="173">
        <v>3</v>
      </c>
      <c r="CJ154" s="173">
        <v>4</v>
      </c>
      <c r="CK154" s="173">
        <v>5</v>
      </c>
      <c r="CL154" s="173">
        <v>6</v>
      </c>
      <c r="CM154" s="173">
        <v>7</v>
      </c>
      <c r="CN154" s="173">
        <v>8</v>
      </c>
      <c r="CO154" s="173">
        <v>9</v>
      </c>
      <c r="CP154" s="173">
        <v>10</v>
      </c>
      <c r="CQ154" s="173">
        <v>11</v>
      </c>
      <c r="CR154" s="173"/>
      <c r="CS154" s="173"/>
      <c r="CT154" s="173"/>
      <c r="CU154" s="173"/>
      <c r="CV154" s="173"/>
      <c r="CW154" s="173"/>
      <c r="CX154" s="173"/>
      <c r="CY154" s="26" t="s">
        <v>13</v>
      </c>
      <c r="CZ154" s="173">
        <v>1</v>
      </c>
      <c r="DA154" s="173">
        <v>2</v>
      </c>
      <c r="DB154" s="173">
        <v>3</v>
      </c>
      <c r="DC154" s="173">
        <v>4</v>
      </c>
      <c r="DD154" s="173">
        <v>5</v>
      </c>
      <c r="DE154" s="173">
        <v>6</v>
      </c>
      <c r="DF154" s="173">
        <v>7</v>
      </c>
      <c r="DG154" s="173">
        <v>8</v>
      </c>
      <c r="DH154" s="173">
        <v>9</v>
      </c>
      <c r="DI154" s="173">
        <v>10</v>
      </c>
      <c r="DJ154" s="173">
        <v>11</v>
      </c>
      <c r="DK154" s="173"/>
      <c r="DL154" s="173"/>
      <c r="DM154" s="173"/>
      <c r="DN154" s="173"/>
      <c r="DO154" s="173"/>
      <c r="DP154" s="173"/>
      <c r="DQ154" s="173"/>
      <c r="DR154" s="26" t="s">
        <v>13</v>
      </c>
      <c r="DS154" s="413"/>
      <c r="DT154" s="413"/>
      <c r="DU154" s="422"/>
      <c r="DV154" s="413"/>
      <c r="DW154" s="413"/>
      <c r="DX154" s="413"/>
      <c r="DY154" s="395"/>
      <c r="DZ154" s="395"/>
      <c r="EA154" s="395"/>
      <c r="EB154" s="395"/>
      <c r="EC154" s="395"/>
      <c r="ED154" s="395"/>
      <c r="EE154" s="395"/>
      <c r="EF154" s="395"/>
      <c r="EG154" s="395"/>
      <c r="EH154" s="395"/>
      <c r="EI154" s="395"/>
    </row>
    <row r="155" spans="1:157" s="305" customFormat="1" ht="24.75" customHeight="1" thickBot="1" x14ac:dyDescent="0.25">
      <c r="A155" s="294"/>
      <c r="B155" s="157" t="s">
        <v>270</v>
      </c>
      <c r="C155" s="295" t="s">
        <v>25</v>
      </c>
      <c r="D155" s="251">
        <v>108</v>
      </c>
      <c r="E155" s="251">
        <v>9</v>
      </c>
      <c r="F155" s="251">
        <v>9</v>
      </c>
      <c r="G155" s="398">
        <v>9</v>
      </c>
      <c r="H155" s="398">
        <v>9</v>
      </c>
      <c r="I155" s="398">
        <v>9</v>
      </c>
      <c r="J155" s="398">
        <v>9</v>
      </c>
      <c r="K155" s="297">
        <v>9</v>
      </c>
      <c r="L155" s="297">
        <v>9</v>
      </c>
      <c r="M155" s="297">
        <f>9*4</f>
        <v>36</v>
      </c>
      <c r="N155" s="297"/>
      <c r="O155" s="297"/>
      <c r="P155" s="297"/>
      <c r="Q155" s="297"/>
      <c r="R155" s="297"/>
      <c r="S155" s="297"/>
      <c r="T155" s="297"/>
      <c r="U155" s="297"/>
      <c r="V155" s="297"/>
      <c r="W155" s="298">
        <f>SUM(E155:P155)</f>
        <v>108</v>
      </c>
      <c r="X155" s="146" t="s">
        <v>115</v>
      </c>
      <c r="Y155" s="1074">
        <v>10800</v>
      </c>
      <c r="Z155" s="1074">
        <v>10800</v>
      </c>
      <c r="AA155" s="1074">
        <v>10800</v>
      </c>
      <c r="AB155" s="1074">
        <v>10800</v>
      </c>
      <c r="AC155" s="1074">
        <v>10800</v>
      </c>
      <c r="AD155" s="1074">
        <v>10800</v>
      </c>
      <c r="AE155" s="1074">
        <v>10800</v>
      </c>
      <c r="AF155" s="1074">
        <v>10800</v>
      </c>
      <c r="AG155" s="1074">
        <v>10800</v>
      </c>
      <c r="AH155" s="1212">
        <v>10800</v>
      </c>
      <c r="AI155" s="1074"/>
      <c r="AJ155" s="1074"/>
      <c r="AK155" s="1074"/>
      <c r="AL155" s="1181"/>
      <c r="AM155" s="1181"/>
      <c r="AN155" s="1181"/>
      <c r="AO155" s="1181"/>
      <c r="AP155" s="1181"/>
      <c r="AQ155" s="1181"/>
      <c r="AR155" s="271">
        <f>SUM(W155*Y155)</f>
        <v>1166400</v>
      </c>
      <c r="AS155" s="1352">
        <f t="shared" ref="AS155:BD155" si="401">Z155*E155</f>
        <v>97200</v>
      </c>
      <c r="AT155" s="402">
        <f t="shared" si="401"/>
        <v>97200</v>
      </c>
      <c r="AU155" s="402">
        <f t="shared" si="401"/>
        <v>97200</v>
      </c>
      <c r="AV155" s="402">
        <f t="shared" si="401"/>
        <v>97200</v>
      </c>
      <c r="AW155" s="402">
        <f t="shared" si="401"/>
        <v>97200</v>
      </c>
      <c r="AX155" s="402">
        <f t="shared" si="401"/>
        <v>97200</v>
      </c>
      <c r="AY155" s="402">
        <f t="shared" si="401"/>
        <v>97200</v>
      </c>
      <c r="AZ155" s="402">
        <f t="shared" si="401"/>
        <v>97200</v>
      </c>
      <c r="BA155" s="1211">
        <f t="shared" si="401"/>
        <v>388800</v>
      </c>
      <c r="BB155" s="402">
        <f t="shared" si="401"/>
        <v>0</v>
      </c>
      <c r="BC155" s="402">
        <f t="shared" si="401"/>
        <v>0</v>
      </c>
      <c r="BD155" s="402">
        <f t="shared" si="401"/>
        <v>0</v>
      </c>
      <c r="BE155" s="402"/>
      <c r="BF155" s="402"/>
      <c r="BG155" s="402"/>
      <c r="BH155" s="402"/>
      <c r="BI155" s="402"/>
      <c r="BJ155" s="402"/>
      <c r="BK155" s="403">
        <f>SUM(AS155:BD155)</f>
        <v>1166400</v>
      </c>
      <c r="BL155" s="402"/>
      <c r="BM155" s="402"/>
      <c r="BN155" s="402"/>
      <c r="BO155" s="1331"/>
      <c r="BP155" s="402"/>
      <c r="BQ155" s="402"/>
      <c r="BR155" s="402"/>
      <c r="BS155" s="402"/>
      <c r="BT155" s="402"/>
      <c r="BU155" s="402"/>
      <c r="BV155" s="402"/>
      <c r="BW155" s="402"/>
      <c r="BX155" s="344">
        <f>SUM(BL155:BW155)</f>
        <v>0</v>
      </c>
      <c r="BY155" s="300">
        <f>AR155-BK155-BX155</f>
        <v>0</v>
      </c>
      <c r="BZ155" s="301">
        <f>Y155*D155</f>
        <v>1166400</v>
      </c>
      <c r="CA155" s="302">
        <f>BZ155-BK155-BX155</f>
        <v>0</v>
      </c>
      <c r="CB155" s="276">
        <f>SUM(W155/D155)</f>
        <v>1</v>
      </c>
      <c r="CC155" s="1081"/>
      <c r="CD155" s="1081"/>
      <c r="CE155" s="1083"/>
      <c r="CF155" s="1084"/>
      <c r="CG155" s="862"/>
      <c r="CH155" s="862"/>
      <c r="CI155" s="862"/>
      <c r="CJ155" s="862"/>
      <c r="CK155" s="862"/>
      <c r="CL155" s="862"/>
      <c r="CM155" s="862"/>
      <c r="CN155" s="862"/>
      <c r="CO155" s="1081">
        <f t="shared" ref="CO155:CO156" si="402">SUM(AZ155*12.5%)</f>
        <v>12150</v>
      </c>
      <c r="CP155" s="862"/>
      <c r="CQ155" s="862"/>
      <c r="CR155" s="862"/>
      <c r="CS155" s="862"/>
      <c r="CT155" s="862"/>
      <c r="CU155" s="862"/>
      <c r="CV155" s="862"/>
      <c r="CW155" s="862"/>
      <c r="CX155" s="862"/>
      <c r="CY155" s="73">
        <f>SUM(CG155:CX155)</f>
        <v>12150</v>
      </c>
      <c r="CZ155" s="862"/>
      <c r="DA155" s="862"/>
      <c r="DB155" s="862"/>
      <c r="DC155" s="862"/>
      <c r="DD155" s="862"/>
      <c r="DE155" s="862"/>
      <c r="DF155" s="862"/>
      <c r="DG155" s="862"/>
      <c r="DH155" s="1081"/>
      <c r="DI155" s="862"/>
      <c r="DJ155" s="862"/>
      <c r="DK155" s="862"/>
      <c r="DL155" s="862"/>
      <c r="DM155" s="862"/>
      <c r="DN155" s="862"/>
      <c r="DO155" s="862"/>
      <c r="DP155" s="862"/>
      <c r="DQ155" s="862"/>
      <c r="DR155" s="73">
        <f>SUM(CZ155:DQ155)</f>
        <v>0</v>
      </c>
      <c r="DS155" s="303"/>
      <c r="DT155" s="303"/>
      <c r="DU155" s="423"/>
      <c r="DV155" s="303"/>
      <c r="DW155" s="303"/>
      <c r="DX155" s="303"/>
      <c r="DY155" s="304"/>
      <c r="DZ155" s="304"/>
      <c r="EA155" s="304"/>
      <c r="EB155" s="304"/>
      <c r="EC155" s="304"/>
      <c r="ED155" s="304"/>
      <c r="EE155" s="304"/>
      <c r="EF155" s="304"/>
      <c r="EG155" s="304"/>
      <c r="EH155" s="304"/>
      <c r="EI155" s="304"/>
    </row>
    <row r="156" spans="1:157" s="282" customFormat="1" ht="24.75" customHeight="1" thickBot="1" x14ac:dyDescent="0.25">
      <c r="A156" s="577">
        <v>6</v>
      </c>
      <c r="B156" s="308" t="s">
        <v>4</v>
      </c>
      <c r="C156" s="308"/>
      <c r="D156" s="309"/>
      <c r="E156" s="465"/>
      <c r="F156" s="310"/>
      <c r="G156" s="399"/>
      <c r="H156" s="310"/>
      <c r="I156" s="465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1"/>
      <c r="X156" s="312"/>
      <c r="Y156" s="313"/>
      <c r="Z156" s="997"/>
      <c r="AA156" s="314"/>
      <c r="AB156" s="314"/>
      <c r="AC156" s="314"/>
      <c r="AD156" s="314"/>
      <c r="AE156" s="989"/>
      <c r="AF156" s="314"/>
      <c r="AG156" s="314"/>
      <c r="AH156" s="314"/>
      <c r="AI156" s="314"/>
      <c r="AJ156" s="314"/>
      <c r="AK156" s="314"/>
      <c r="AL156" s="314"/>
      <c r="AM156" s="314"/>
      <c r="AN156" s="314"/>
      <c r="AO156" s="314"/>
      <c r="AP156" s="314"/>
      <c r="AQ156" s="314"/>
      <c r="AR156" s="315">
        <f>SUM(AR155:AR155)</f>
        <v>1166400</v>
      </c>
      <c r="AS156" s="1353">
        <f>SUM(AS155:AS155)</f>
        <v>97200</v>
      </c>
      <c r="AT156" s="315">
        <f>SUM(AT155:AT155)</f>
        <v>97200</v>
      </c>
      <c r="AU156" s="315">
        <f>SUM(AU155:AU155)</f>
        <v>97200</v>
      </c>
      <c r="AV156" s="315">
        <f t="shared" ref="AV156:BD156" si="403">SUM(AV155:AV155)</f>
        <v>97200</v>
      </c>
      <c r="AW156" s="430">
        <f t="shared" si="403"/>
        <v>97200</v>
      </c>
      <c r="AX156" s="315">
        <f t="shared" si="403"/>
        <v>97200</v>
      </c>
      <c r="AY156" s="315">
        <f t="shared" si="403"/>
        <v>97200</v>
      </c>
      <c r="AZ156" s="315">
        <f t="shared" si="403"/>
        <v>97200</v>
      </c>
      <c r="BA156" s="315">
        <f t="shared" si="403"/>
        <v>388800</v>
      </c>
      <c r="BB156" s="315">
        <f t="shared" si="403"/>
        <v>0</v>
      </c>
      <c r="BC156" s="315">
        <f t="shared" si="403"/>
        <v>0</v>
      </c>
      <c r="BD156" s="315">
        <f t="shared" si="403"/>
        <v>0</v>
      </c>
      <c r="BE156" s="315"/>
      <c r="BF156" s="315"/>
      <c r="BG156" s="315"/>
      <c r="BH156" s="315"/>
      <c r="BI156" s="315"/>
      <c r="BJ156" s="315"/>
      <c r="BK156" s="315">
        <f>SUM(BK155:BK155)</f>
        <v>1166400</v>
      </c>
      <c r="BL156" s="315">
        <f>SUM(BL155:BL155)</f>
        <v>0</v>
      </c>
      <c r="BM156" s="315">
        <f>SUM(BM155:BM155)</f>
        <v>0</v>
      </c>
      <c r="BN156" s="315">
        <f>SUM(BN155:BN155)</f>
        <v>0</v>
      </c>
      <c r="BO156" s="1337">
        <f t="shared" ref="BO156:BW156" si="404">SUM(BO155:BO155)</f>
        <v>0</v>
      </c>
      <c r="BP156" s="315">
        <f t="shared" si="404"/>
        <v>0</v>
      </c>
      <c r="BQ156" s="315">
        <f t="shared" si="404"/>
        <v>0</v>
      </c>
      <c r="BR156" s="315">
        <f t="shared" si="404"/>
        <v>0</v>
      </c>
      <c r="BS156" s="315">
        <f t="shared" si="404"/>
        <v>0</v>
      </c>
      <c r="BT156" s="315">
        <f t="shared" si="404"/>
        <v>0</v>
      </c>
      <c r="BU156" s="315">
        <f t="shared" si="404"/>
        <v>0</v>
      </c>
      <c r="BV156" s="315">
        <f t="shared" si="404"/>
        <v>0</v>
      </c>
      <c r="BW156" s="315">
        <f t="shared" si="404"/>
        <v>0</v>
      </c>
      <c r="BX156" s="315">
        <f>SUM(BX155:BX155)</f>
        <v>0</v>
      </c>
      <c r="BY156" s="316">
        <f>AR156-BK156-BX156</f>
        <v>0</v>
      </c>
      <c r="BZ156" s="315">
        <f>SUM(BZ155:BZ155)</f>
        <v>1166400</v>
      </c>
      <c r="CA156" s="315">
        <f>SUM(CA155:CA155)</f>
        <v>0</v>
      </c>
      <c r="CB156" s="279">
        <f>SUM(CB155)</f>
        <v>1</v>
      </c>
      <c r="CC156" s="1081"/>
      <c r="CD156" s="1081"/>
      <c r="CE156" s="1083"/>
      <c r="CF156" s="1084"/>
      <c r="CG156" s="862"/>
      <c r="CH156" s="862"/>
      <c r="CI156" s="862"/>
      <c r="CJ156" s="862"/>
      <c r="CK156" s="862"/>
      <c r="CL156" s="862"/>
      <c r="CM156" s="862"/>
      <c r="CN156" s="862"/>
      <c r="CO156" s="1081">
        <f t="shared" si="402"/>
        <v>12150</v>
      </c>
      <c r="CP156" s="862"/>
      <c r="CQ156" s="862"/>
      <c r="CR156" s="862"/>
      <c r="CS156" s="862"/>
      <c r="CT156" s="862"/>
      <c r="CU156" s="862"/>
      <c r="CV156" s="862"/>
      <c r="CW156" s="862"/>
      <c r="CX156" s="862"/>
      <c r="CY156" s="73">
        <f>SUM(CG156:CX156)</f>
        <v>12150</v>
      </c>
      <c r="CZ156" s="862"/>
      <c r="DA156" s="862"/>
      <c r="DB156" s="862"/>
      <c r="DC156" s="862"/>
      <c r="DD156" s="862"/>
      <c r="DE156" s="862"/>
      <c r="DF156" s="862"/>
      <c r="DG156" s="862"/>
      <c r="DH156" s="1081"/>
      <c r="DI156" s="862"/>
      <c r="DJ156" s="862"/>
      <c r="DK156" s="862"/>
      <c r="DL156" s="862"/>
      <c r="DM156" s="862"/>
      <c r="DN156" s="862"/>
      <c r="DO156" s="862"/>
      <c r="DP156" s="862"/>
      <c r="DQ156" s="862"/>
      <c r="DR156" s="73">
        <f>SUM(CZ156:DQ156)</f>
        <v>0</v>
      </c>
      <c r="DS156" s="317"/>
      <c r="DT156" s="317"/>
      <c r="DU156" s="425"/>
      <c r="DV156" s="317"/>
      <c r="DW156" s="317"/>
      <c r="DX156" s="317"/>
      <c r="DY156" s="318"/>
      <c r="DZ156" s="318"/>
      <c r="EA156" s="318"/>
      <c r="EB156" s="318"/>
      <c r="EC156" s="318"/>
      <c r="ED156" s="318"/>
      <c r="EE156" s="318"/>
      <c r="EF156" s="318"/>
      <c r="EG156" s="318"/>
      <c r="EH156" s="318"/>
      <c r="EI156" s="318"/>
    </row>
    <row r="157" spans="1:157" s="262" customFormat="1" ht="24.75" customHeight="1" x14ac:dyDescent="0.2">
      <c r="A157" s="283"/>
      <c r="D157" s="283"/>
      <c r="E157" s="463"/>
      <c r="F157" s="283"/>
      <c r="G157" s="397"/>
      <c r="H157" s="283"/>
      <c r="I157" s="46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Z157" s="998"/>
      <c r="AS157" s="1354"/>
      <c r="BK157" s="291"/>
      <c r="BO157" s="1361"/>
      <c r="BX157" s="319">
        <f>SUM(BK156+BX156)</f>
        <v>1166400</v>
      </c>
      <c r="BY157" s="284">
        <f>AR156-BK156-BX156</f>
        <v>0</v>
      </c>
      <c r="BZ157" s="320">
        <f>SUM(CA156+BK156+BX156)</f>
        <v>1166400</v>
      </c>
      <c r="CA157" s="285">
        <f>SUM(BY156)</f>
        <v>0</v>
      </c>
      <c r="CB157" s="280" t="s">
        <v>38</v>
      </c>
      <c r="CC157" s="1011"/>
      <c r="CD157" s="1012"/>
      <c r="CE157" s="260"/>
      <c r="CF157" s="409"/>
      <c r="CG157" s="417"/>
      <c r="CH157" s="409"/>
      <c r="CI157" s="409"/>
      <c r="CJ157" s="409"/>
      <c r="CK157" s="417"/>
      <c r="CL157" s="409"/>
      <c r="CM157" s="409"/>
      <c r="CN157" s="409"/>
      <c r="CO157" s="417"/>
      <c r="CP157" s="409"/>
      <c r="CQ157" s="409"/>
      <c r="CR157" s="409"/>
      <c r="CS157" s="409"/>
      <c r="CT157" s="409"/>
      <c r="CU157" s="409"/>
      <c r="CV157" s="409"/>
      <c r="CW157" s="409"/>
      <c r="CX157" s="409"/>
      <c r="CY157" s="417"/>
      <c r="CZ157" s="409"/>
      <c r="DA157" s="409"/>
      <c r="DB157" s="409"/>
      <c r="DC157" s="417"/>
      <c r="DD157" s="409"/>
      <c r="DE157" s="409"/>
      <c r="DF157" s="409"/>
      <c r="DG157" s="417"/>
      <c r="DH157" s="409"/>
      <c r="DI157" s="409"/>
      <c r="DJ157" s="409"/>
      <c r="DK157" s="409"/>
      <c r="DL157" s="409"/>
      <c r="DM157" s="409"/>
      <c r="DN157" s="409"/>
      <c r="DO157" s="409"/>
      <c r="DP157" s="409"/>
      <c r="DQ157" s="409"/>
      <c r="DR157" s="409"/>
      <c r="DS157" s="409"/>
      <c r="DT157" s="409"/>
      <c r="DU157" s="417"/>
      <c r="DV157" s="409"/>
      <c r="DW157" s="409"/>
      <c r="DX157" s="409"/>
      <c r="DY157" s="260"/>
      <c r="DZ157" s="260"/>
      <c r="EA157" s="260"/>
      <c r="EB157" s="260"/>
      <c r="EC157" s="260"/>
      <c r="ED157" s="260"/>
      <c r="EE157" s="260"/>
      <c r="EF157" s="260"/>
      <c r="EG157" s="260"/>
      <c r="EH157" s="260"/>
      <c r="EI157" s="260"/>
      <c r="EJ157" s="260"/>
    </row>
    <row r="158" spans="1:157" s="262" customFormat="1" ht="24.75" customHeight="1" x14ac:dyDescent="0.2">
      <c r="A158" s="283"/>
      <c r="D158" s="283"/>
      <c r="E158" s="463"/>
      <c r="F158" s="283"/>
      <c r="G158" s="397"/>
      <c r="H158" s="283"/>
      <c r="I158" s="46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Z158" s="998"/>
      <c r="AS158" s="1354"/>
      <c r="BK158" s="280"/>
      <c r="BL158" s="388">
        <f>SUM(AS156+BL156)</f>
        <v>97200</v>
      </c>
      <c r="BM158" s="388">
        <f t="shared" ref="BM158" si="405">SUM(AT156+BM156)</f>
        <v>97200</v>
      </c>
      <c r="BN158" s="388">
        <f t="shared" ref="BN158" si="406">SUM(AU156+BN156)</f>
        <v>97200</v>
      </c>
      <c r="BO158" s="1362">
        <f t="shared" ref="BO158" si="407">SUM(AV156+BO156)</f>
        <v>97200</v>
      </c>
      <c r="BP158" s="388">
        <f t="shared" ref="BP158" si="408">SUM(AW156+BP156)</f>
        <v>97200</v>
      </c>
      <c r="BQ158" s="1032">
        <f t="shared" ref="BQ158" si="409">SUM(AX156+BQ156)</f>
        <v>97200</v>
      </c>
      <c r="BR158" s="1032">
        <f t="shared" ref="BR158" si="410">SUM(AY156+BR156)</f>
        <v>97200</v>
      </c>
      <c r="BS158" s="1032">
        <f t="shared" ref="BS158" si="411">SUM(AZ156+BS156)</f>
        <v>97200</v>
      </c>
      <c r="BT158" s="388">
        <f t="shared" ref="BT158" si="412">SUM(BA156+BT156)</f>
        <v>388800</v>
      </c>
      <c r="BU158" s="388">
        <f t="shared" ref="BU158" si="413">SUM(BB156+BU156)</f>
        <v>0</v>
      </c>
      <c r="BV158" s="388">
        <f t="shared" ref="BV158" si="414">SUM(BC156+BV156)</f>
        <v>0</v>
      </c>
      <c r="BW158" s="388">
        <f t="shared" ref="BW158" si="415">SUM(BD156+BW156)</f>
        <v>0</v>
      </c>
      <c r="BX158" s="388">
        <f>SUM(BL158:BW158)</f>
        <v>1166400</v>
      </c>
      <c r="BY158" s="280"/>
      <c r="BZ158" s="286"/>
      <c r="CA158" s="287">
        <f>SUM(CA156-CA157)</f>
        <v>0</v>
      </c>
      <c r="CB158" s="280" t="s">
        <v>37</v>
      </c>
      <c r="CC158" s="1011"/>
      <c r="CD158" s="1012"/>
      <c r="CE158" s="260"/>
      <c r="CF158" s="409"/>
      <c r="CG158" s="417"/>
      <c r="CH158" s="409"/>
      <c r="CI158" s="409"/>
      <c r="CJ158" s="409"/>
      <c r="CK158" s="417"/>
      <c r="CL158" s="409"/>
      <c r="CM158" s="409"/>
      <c r="CN158" s="409"/>
      <c r="CO158" s="417"/>
      <c r="CP158" s="409"/>
      <c r="CQ158" s="409"/>
      <c r="CR158" s="409"/>
      <c r="CS158" s="409"/>
      <c r="CT158" s="409"/>
      <c r="CU158" s="409"/>
      <c r="CV158" s="409"/>
      <c r="CW158" s="409"/>
      <c r="CX158" s="409"/>
      <c r="CY158" s="417"/>
      <c r="CZ158" s="409"/>
      <c r="DA158" s="409"/>
      <c r="DB158" s="409"/>
      <c r="DC158" s="417"/>
      <c r="DD158" s="409"/>
      <c r="DE158" s="409"/>
      <c r="DF158" s="409"/>
      <c r="DG158" s="417"/>
      <c r="DH158" s="409"/>
      <c r="DI158" s="409"/>
      <c r="DJ158" s="409"/>
      <c r="DK158" s="409"/>
      <c r="DL158" s="409"/>
      <c r="DM158" s="409"/>
      <c r="DN158" s="409"/>
      <c r="DO158" s="409"/>
      <c r="DP158" s="409"/>
      <c r="DQ158" s="409"/>
      <c r="DR158" s="409"/>
      <c r="DS158" s="409"/>
      <c r="DT158" s="409"/>
      <c r="DU158" s="417"/>
      <c r="DV158" s="409"/>
      <c r="DW158" s="409"/>
      <c r="DX158" s="409"/>
      <c r="DY158" s="260"/>
      <c r="DZ158" s="260"/>
      <c r="EA158" s="260"/>
      <c r="EB158" s="260"/>
      <c r="EC158" s="260"/>
      <c r="ED158" s="260"/>
      <c r="EE158" s="260"/>
      <c r="EF158" s="260"/>
      <c r="EG158" s="260"/>
      <c r="EH158" s="260"/>
      <c r="EI158" s="260"/>
      <c r="EJ158" s="260"/>
    </row>
    <row r="159" spans="1:157" s="262" customFormat="1" ht="24.75" customHeight="1" x14ac:dyDescent="0.2">
      <c r="A159" s="1754" t="s">
        <v>8</v>
      </c>
      <c r="B159" s="1755"/>
      <c r="C159" s="244" t="s">
        <v>151</v>
      </c>
      <c r="D159" s="245"/>
      <c r="E159" s="462"/>
      <c r="F159" s="245"/>
      <c r="G159" s="292"/>
      <c r="H159" s="245"/>
      <c r="I159" s="462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994"/>
      <c r="AA159" s="246"/>
      <c r="AB159" s="246"/>
      <c r="AC159" s="246"/>
      <c r="AD159" s="246"/>
      <c r="AE159" s="246"/>
      <c r="AF159" s="246"/>
      <c r="AG159" s="246"/>
      <c r="AH159" s="246"/>
      <c r="AI159" s="246"/>
      <c r="AJ159" s="246"/>
      <c r="AK159" s="246"/>
      <c r="AL159" s="246"/>
      <c r="AM159" s="246"/>
      <c r="AN159" s="246"/>
      <c r="AO159" s="246"/>
      <c r="AP159" s="246"/>
      <c r="AQ159" s="246"/>
      <c r="AR159" s="245"/>
      <c r="AS159" s="1350"/>
      <c r="AT159" s="246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7"/>
      <c r="BL159" s="246"/>
      <c r="BM159" s="246"/>
      <c r="BN159" s="246"/>
      <c r="BO159" s="1359"/>
      <c r="BP159" s="246"/>
      <c r="BQ159" s="246"/>
      <c r="BR159" s="246"/>
      <c r="BS159" s="246"/>
      <c r="BT159" s="246"/>
      <c r="BU159" s="246"/>
      <c r="BV159" s="246"/>
      <c r="BW159" s="246"/>
      <c r="BX159" s="247"/>
      <c r="BY159" s="247"/>
      <c r="BZ159" s="243"/>
      <c r="CA159" s="248"/>
      <c r="CB159" s="245"/>
      <c r="CC159" s="1008"/>
      <c r="CD159" s="1008"/>
      <c r="CE159" s="246"/>
      <c r="CF159" s="292"/>
      <c r="CG159" s="418"/>
      <c r="CH159" s="292"/>
      <c r="CI159" s="249"/>
      <c r="CJ159" s="292"/>
      <c r="CK159" s="418"/>
      <c r="CL159" s="292"/>
      <c r="CM159" s="249"/>
      <c r="CN159" s="292"/>
      <c r="CO159" s="418"/>
      <c r="CP159" s="292"/>
      <c r="CQ159" s="249"/>
      <c r="CR159" s="249"/>
      <c r="CS159" s="249"/>
      <c r="CT159" s="249"/>
      <c r="CU159" s="249"/>
      <c r="CV159" s="249"/>
      <c r="CW159" s="249"/>
      <c r="CX159" s="249"/>
      <c r="CY159" s="418"/>
      <c r="CZ159" s="292"/>
      <c r="DA159" s="249"/>
      <c r="DB159" s="292"/>
      <c r="DC159" s="418"/>
      <c r="DD159" s="292"/>
      <c r="DE159" s="249"/>
      <c r="DF159" s="292"/>
      <c r="DG159" s="418"/>
      <c r="DH159" s="292"/>
      <c r="DI159" s="249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49"/>
      <c r="DT159" s="292"/>
      <c r="DU159" s="418"/>
      <c r="DV159" s="292"/>
      <c r="DW159" s="249"/>
      <c r="DX159" s="292"/>
      <c r="DY159" s="246"/>
      <c r="DZ159" s="246"/>
      <c r="EA159" s="246"/>
      <c r="EB159" s="246"/>
      <c r="EC159" s="247"/>
      <c r="ED159" s="247"/>
      <c r="EE159" s="247"/>
      <c r="EF159" s="243"/>
      <c r="EG159" s="248"/>
      <c r="EH159" s="247"/>
      <c r="EI159" s="247"/>
      <c r="EJ159" s="260"/>
      <c r="EK159" s="260"/>
      <c r="EL159" s="260"/>
      <c r="EM159" s="260"/>
      <c r="EN159" s="260"/>
      <c r="EO159" s="261"/>
      <c r="EP159" s="260"/>
      <c r="EQ159" s="260"/>
      <c r="ER159" s="260"/>
      <c r="ES159" s="260"/>
      <c r="ET159" s="260"/>
      <c r="EU159" s="260"/>
      <c r="EV159" s="260"/>
      <c r="EW159" s="260"/>
      <c r="EX159" s="260"/>
      <c r="EY159" s="260"/>
      <c r="EZ159" s="260"/>
      <c r="FA159" s="260"/>
    </row>
    <row r="160" spans="1:157" s="264" customFormat="1" ht="48.75" customHeight="1" x14ac:dyDescent="0.2">
      <c r="A160" s="1756" t="s">
        <v>10</v>
      </c>
      <c r="B160" s="1759" t="s">
        <v>11</v>
      </c>
      <c r="C160" s="1759" t="s">
        <v>22</v>
      </c>
      <c r="D160" s="1762" t="s">
        <v>12</v>
      </c>
      <c r="E160" s="1762"/>
      <c r="F160" s="1762"/>
      <c r="G160" s="1762"/>
      <c r="H160" s="1762"/>
      <c r="I160" s="1762"/>
      <c r="J160" s="1762"/>
      <c r="K160" s="1762"/>
      <c r="L160" s="1762"/>
      <c r="M160" s="1762"/>
      <c r="N160" s="1762"/>
      <c r="O160" s="1762"/>
      <c r="P160" s="1762"/>
      <c r="Q160" s="1762"/>
      <c r="R160" s="1762"/>
      <c r="S160" s="1762"/>
      <c r="T160" s="1762"/>
      <c r="U160" s="1762"/>
      <c r="V160" s="1762"/>
      <c r="W160" s="1762"/>
      <c r="X160" s="1759" t="s">
        <v>20</v>
      </c>
      <c r="Y160" s="1763" t="s">
        <v>17</v>
      </c>
      <c r="Z160" s="1764"/>
      <c r="AA160" s="1764"/>
      <c r="AB160" s="1764"/>
      <c r="AC160" s="1764"/>
      <c r="AD160" s="1764"/>
      <c r="AE160" s="1764"/>
      <c r="AF160" s="1764"/>
      <c r="AG160" s="1764"/>
      <c r="AH160" s="1764"/>
      <c r="AI160" s="1764"/>
      <c r="AJ160" s="1764"/>
      <c r="AK160" s="1764"/>
      <c r="AL160" s="1178"/>
      <c r="AM160" s="1178"/>
      <c r="AN160" s="1178"/>
      <c r="AO160" s="1178"/>
      <c r="AP160" s="1178"/>
      <c r="AQ160" s="1178"/>
      <c r="AR160" s="1766" t="s">
        <v>6</v>
      </c>
      <c r="AS160" s="1766"/>
      <c r="AT160" s="1766"/>
      <c r="AU160" s="1766"/>
      <c r="AV160" s="1766"/>
      <c r="AW160" s="1766"/>
      <c r="AX160" s="1766"/>
      <c r="AY160" s="1766"/>
      <c r="AZ160" s="1766"/>
      <c r="BA160" s="1766"/>
      <c r="BB160" s="1766"/>
      <c r="BC160" s="1766"/>
      <c r="BD160" s="1766"/>
      <c r="BE160" s="1766"/>
      <c r="BF160" s="1766"/>
      <c r="BG160" s="1766"/>
      <c r="BH160" s="1766"/>
      <c r="BI160" s="1766"/>
      <c r="BJ160" s="1766"/>
      <c r="BK160" s="1766"/>
      <c r="BL160" s="1767" t="s">
        <v>41</v>
      </c>
      <c r="BM160" s="1768"/>
      <c r="BN160" s="1768"/>
      <c r="BO160" s="1768"/>
      <c r="BP160" s="1768"/>
      <c r="BQ160" s="1768"/>
      <c r="BR160" s="1768"/>
      <c r="BS160" s="1768"/>
      <c r="BT160" s="1768"/>
      <c r="BU160" s="1768"/>
      <c r="BV160" s="1768"/>
      <c r="BW160" s="1768"/>
      <c r="BX160" s="1769"/>
      <c r="BY160" s="1759" t="s">
        <v>38</v>
      </c>
      <c r="BZ160" s="1759" t="s">
        <v>256</v>
      </c>
      <c r="CA160" s="1746" t="s">
        <v>39</v>
      </c>
      <c r="CB160" s="243"/>
      <c r="CC160" s="135"/>
      <c r="CD160" s="135"/>
      <c r="CE160" s="135"/>
      <c r="CF160" s="135"/>
      <c r="CG160" s="1733" t="s">
        <v>41</v>
      </c>
      <c r="CH160" s="1734"/>
      <c r="CI160" s="1734"/>
      <c r="CJ160" s="1734"/>
      <c r="CK160" s="1734"/>
      <c r="CL160" s="1734"/>
      <c r="CM160" s="1734"/>
      <c r="CN160" s="1734"/>
      <c r="CO160" s="1734"/>
      <c r="CP160" s="1734"/>
      <c r="CQ160" s="1734"/>
      <c r="CR160" s="1734"/>
      <c r="CS160" s="1734"/>
      <c r="CT160" s="1734"/>
      <c r="CU160" s="1734"/>
      <c r="CV160" s="1734"/>
      <c r="CW160" s="1734"/>
      <c r="CX160" s="1734"/>
      <c r="CY160" s="1734"/>
      <c r="CZ160" s="1734"/>
      <c r="DA160" s="1734"/>
      <c r="DB160" s="1734"/>
      <c r="DC160" s="1734"/>
      <c r="DD160" s="1734"/>
      <c r="DE160" s="1734"/>
      <c r="DF160" s="1734"/>
      <c r="DG160" s="1734"/>
      <c r="DH160" s="1734"/>
      <c r="DI160" s="1734"/>
      <c r="DJ160" s="1734"/>
      <c r="DK160" s="1734"/>
      <c r="DL160" s="1734"/>
      <c r="DM160" s="1734"/>
      <c r="DN160" s="1734"/>
      <c r="DO160" s="1734"/>
      <c r="DP160" s="1734"/>
      <c r="DQ160" s="1734"/>
      <c r="DR160" s="1735"/>
      <c r="DS160" s="292"/>
      <c r="DT160" s="292"/>
      <c r="DU160" s="418"/>
      <c r="DV160" s="292"/>
      <c r="DW160" s="292"/>
      <c r="DX160" s="292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63"/>
      <c r="EI160" s="263"/>
    </row>
    <row r="161" spans="1:157" s="264" customFormat="1" ht="48.75" customHeight="1" x14ac:dyDescent="0.2">
      <c r="A161" s="1757"/>
      <c r="B161" s="1760"/>
      <c r="C161" s="1760"/>
      <c r="D161" s="1749" t="s">
        <v>18</v>
      </c>
      <c r="E161" s="1751" t="s">
        <v>19</v>
      </c>
      <c r="F161" s="1752"/>
      <c r="G161" s="1752"/>
      <c r="H161" s="1752"/>
      <c r="I161" s="1752"/>
      <c r="J161" s="1752"/>
      <c r="K161" s="1752"/>
      <c r="L161" s="1752"/>
      <c r="M161" s="1752"/>
      <c r="N161" s="1752"/>
      <c r="O161" s="1752"/>
      <c r="P161" s="1752"/>
      <c r="Q161" s="1752"/>
      <c r="R161" s="1752"/>
      <c r="S161" s="1752"/>
      <c r="T161" s="1752"/>
      <c r="U161" s="1752"/>
      <c r="V161" s="1752"/>
      <c r="W161" s="1752"/>
      <c r="X161" s="1760"/>
      <c r="Y161" s="1749" t="s">
        <v>18</v>
      </c>
      <c r="Z161" s="1751" t="s">
        <v>19</v>
      </c>
      <c r="AA161" s="1752"/>
      <c r="AB161" s="1752"/>
      <c r="AC161" s="1752"/>
      <c r="AD161" s="1752"/>
      <c r="AE161" s="1752"/>
      <c r="AF161" s="1752"/>
      <c r="AG161" s="1752"/>
      <c r="AH161" s="1752"/>
      <c r="AI161" s="1752"/>
      <c r="AJ161" s="1752"/>
      <c r="AK161" s="1752"/>
      <c r="AL161" s="1179"/>
      <c r="AM161" s="1179"/>
      <c r="AN161" s="1179"/>
      <c r="AO161" s="1179"/>
      <c r="AP161" s="1179"/>
      <c r="AQ161" s="1179"/>
      <c r="AR161" s="1749" t="s">
        <v>18</v>
      </c>
      <c r="AS161" s="1751" t="s">
        <v>19</v>
      </c>
      <c r="AT161" s="1752"/>
      <c r="AU161" s="1752"/>
      <c r="AV161" s="1752"/>
      <c r="AW161" s="1752"/>
      <c r="AX161" s="1752"/>
      <c r="AY161" s="1752"/>
      <c r="AZ161" s="1752"/>
      <c r="BA161" s="1752"/>
      <c r="BB161" s="1752"/>
      <c r="BC161" s="1752"/>
      <c r="BD161" s="1752"/>
      <c r="BE161" s="1752"/>
      <c r="BF161" s="1752"/>
      <c r="BG161" s="1752"/>
      <c r="BH161" s="1752"/>
      <c r="BI161" s="1752"/>
      <c r="BJ161" s="1752"/>
      <c r="BK161" s="1753"/>
      <c r="BL161" s="1770"/>
      <c r="BM161" s="1771"/>
      <c r="BN161" s="1771"/>
      <c r="BO161" s="1771"/>
      <c r="BP161" s="1771"/>
      <c r="BQ161" s="1771"/>
      <c r="BR161" s="1771"/>
      <c r="BS161" s="1771"/>
      <c r="BT161" s="1771"/>
      <c r="BU161" s="1771"/>
      <c r="BV161" s="1771"/>
      <c r="BW161" s="1771"/>
      <c r="BX161" s="1772"/>
      <c r="BY161" s="1760"/>
      <c r="BZ161" s="1760"/>
      <c r="CA161" s="1747"/>
      <c r="CB161" s="243"/>
      <c r="CC161" s="1736">
        <f>SUM(CC163/60)</f>
        <v>0</v>
      </c>
      <c r="CD161" s="1736"/>
      <c r="CE161" s="1736"/>
      <c r="CF161" s="23"/>
      <c r="CG161" s="1737" t="s">
        <v>686</v>
      </c>
      <c r="CH161" s="1738"/>
      <c r="CI161" s="1738"/>
      <c r="CJ161" s="1738"/>
      <c r="CK161" s="1738"/>
      <c r="CL161" s="1738"/>
      <c r="CM161" s="1738"/>
      <c r="CN161" s="1738"/>
      <c r="CO161" s="1738"/>
      <c r="CP161" s="1738"/>
      <c r="CQ161" s="1738"/>
      <c r="CR161" s="1738"/>
      <c r="CS161" s="1738"/>
      <c r="CT161" s="1738"/>
      <c r="CU161" s="1738"/>
      <c r="CV161" s="1738"/>
      <c r="CW161" s="1738"/>
      <c r="CX161" s="1738"/>
      <c r="CY161" s="1739"/>
      <c r="CZ161" s="1740" t="s">
        <v>687</v>
      </c>
      <c r="DA161" s="1741"/>
      <c r="DB161" s="1741"/>
      <c r="DC161" s="1741"/>
      <c r="DD161" s="1741"/>
      <c r="DE161" s="1741"/>
      <c r="DF161" s="1741"/>
      <c r="DG161" s="1741"/>
      <c r="DH161" s="1741"/>
      <c r="DI161" s="1741"/>
      <c r="DJ161" s="1741"/>
      <c r="DK161" s="1741"/>
      <c r="DL161" s="1741"/>
      <c r="DM161" s="1741"/>
      <c r="DN161" s="1741"/>
      <c r="DO161" s="1741"/>
      <c r="DP161" s="1741"/>
      <c r="DQ161" s="1741"/>
      <c r="DR161" s="1742"/>
      <c r="DS161" s="292"/>
      <c r="DT161" s="292"/>
      <c r="DU161" s="418"/>
      <c r="DV161" s="292"/>
      <c r="DW161" s="292"/>
      <c r="DX161" s="292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63"/>
      <c r="EI161" s="263"/>
    </row>
    <row r="162" spans="1:157" s="267" customFormat="1" ht="28.5" customHeight="1" x14ac:dyDescent="0.2">
      <c r="A162" s="1758"/>
      <c r="B162" s="1761"/>
      <c r="C162" s="1761"/>
      <c r="D162" s="1750"/>
      <c r="E162" s="265">
        <v>1</v>
      </c>
      <c r="F162" s="265">
        <v>2</v>
      </c>
      <c r="G162" s="396">
        <v>3</v>
      </c>
      <c r="H162" s="265">
        <v>4</v>
      </c>
      <c r="I162" s="265">
        <v>5</v>
      </c>
      <c r="J162" s="265">
        <v>6</v>
      </c>
      <c r="K162" s="265">
        <v>7</v>
      </c>
      <c r="L162" s="265">
        <v>8</v>
      </c>
      <c r="M162" s="265">
        <v>9</v>
      </c>
      <c r="N162" s="265">
        <v>10</v>
      </c>
      <c r="O162" s="265">
        <v>11</v>
      </c>
      <c r="P162" s="265">
        <v>12</v>
      </c>
      <c r="Q162" s="265"/>
      <c r="R162" s="265"/>
      <c r="S162" s="265"/>
      <c r="T162" s="265"/>
      <c r="U162" s="265"/>
      <c r="V162" s="265"/>
      <c r="W162" s="265" t="s">
        <v>21</v>
      </c>
      <c r="X162" s="1761"/>
      <c r="Y162" s="1750"/>
      <c r="Z162" s="265">
        <v>1</v>
      </c>
      <c r="AA162" s="265">
        <v>2</v>
      </c>
      <c r="AB162" s="265">
        <v>3</v>
      </c>
      <c r="AC162" s="265">
        <v>4</v>
      </c>
      <c r="AD162" s="265">
        <v>5</v>
      </c>
      <c r="AE162" s="265">
        <v>6</v>
      </c>
      <c r="AF162" s="265">
        <v>7</v>
      </c>
      <c r="AG162" s="265">
        <v>8</v>
      </c>
      <c r="AH162" s="265">
        <v>9</v>
      </c>
      <c r="AI162" s="265">
        <v>10</v>
      </c>
      <c r="AJ162" s="265">
        <v>11</v>
      </c>
      <c r="AK162" s="265">
        <v>12</v>
      </c>
      <c r="AL162" s="265">
        <v>13</v>
      </c>
      <c r="AM162" s="265">
        <v>14</v>
      </c>
      <c r="AN162" s="265">
        <v>15</v>
      </c>
      <c r="AO162" s="265">
        <v>16</v>
      </c>
      <c r="AP162" s="265">
        <v>17</v>
      </c>
      <c r="AQ162" s="265">
        <v>18</v>
      </c>
      <c r="AR162" s="1750"/>
      <c r="AS162" s="1351">
        <v>1</v>
      </c>
      <c r="AT162" s="265">
        <v>2</v>
      </c>
      <c r="AU162" s="265">
        <v>3</v>
      </c>
      <c r="AV162" s="265">
        <v>4</v>
      </c>
      <c r="AW162" s="265">
        <v>5</v>
      </c>
      <c r="AX162" s="265">
        <v>6</v>
      </c>
      <c r="AY162" s="265">
        <v>7</v>
      </c>
      <c r="AZ162" s="265">
        <v>8</v>
      </c>
      <c r="BA162" s="265">
        <v>9</v>
      </c>
      <c r="BB162" s="265">
        <v>10</v>
      </c>
      <c r="BC162" s="265">
        <v>11</v>
      </c>
      <c r="BD162" s="265">
        <v>12</v>
      </c>
      <c r="BE162" s="265">
        <v>13</v>
      </c>
      <c r="BF162" s="265">
        <v>14</v>
      </c>
      <c r="BG162" s="265">
        <v>15</v>
      </c>
      <c r="BH162" s="265">
        <v>16</v>
      </c>
      <c r="BI162" s="265">
        <v>17</v>
      </c>
      <c r="BJ162" s="265">
        <v>18</v>
      </c>
      <c r="BK162" s="265" t="s">
        <v>13</v>
      </c>
      <c r="BL162" s="266">
        <v>1</v>
      </c>
      <c r="BM162" s="266">
        <v>2</v>
      </c>
      <c r="BN162" s="266">
        <v>3</v>
      </c>
      <c r="BO162" s="1360">
        <v>4</v>
      </c>
      <c r="BP162" s="266">
        <v>5</v>
      </c>
      <c r="BQ162" s="266">
        <v>6</v>
      </c>
      <c r="BR162" s="266">
        <v>7</v>
      </c>
      <c r="BS162" s="266">
        <v>8</v>
      </c>
      <c r="BT162" s="266">
        <v>9</v>
      </c>
      <c r="BU162" s="266">
        <v>10</v>
      </c>
      <c r="BV162" s="266">
        <v>11</v>
      </c>
      <c r="BW162" s="266">
        <v>12</v>
      </c>
      <c r="BX162" s="265" t="s">
        <v>13</v>
      </c>
      <c r="BY162" s="1761"/>
      <c r="BZ162" s="1761"/>
      <c r="CA162" s="1748"/>
      <c r="CC162" s="1743" t="s">
        <v>19</v>
      </c>
      <c r="CD162" s="1744"/>
      <c r="CE162" s="1745"/>
      <c r="CF162" s="621"/>
      <c r="CG162" s="173">
        <v>1</v>
      </c>
      <c r="CH162" s="173">
        <v>2</v>
      </c>
      <c r="CI162" s="173">
        <v>3</v>
      </c>
      <c r="CJ162" s="173">
        <v>4</v>
      </c>
      <c r="CK162" s="173">
        <v>5</v>
      </c>
      <c r="CL162" s="173">
        <v>6</v>
      </c>
      <c r="CM162" s="173">
        <v>7</v>
      </c>
      <c r="CN162" s="173">
        <v>8</v>
      </c>
      <c r="CO162" s="173">
        <v>9</v>
      </c>
      <c r="CP162" s="173">
        <v>10</v>
      </c>
      <c r="CQ162" s="173">
        <v>11</v>
      </c>
      <c r="CR162" s="173"/>
      <c r="CS162" s="173"/>
      <c r="CT162" s="173"/>
      <c r="CU162" s="173"/>
      <c r="CV162" s="173"/>
      <c r="CW162" s="173"/>
      <c r="CX162" s="173"/>
      <c r="CY162" s="26" t="s">
        <v>13</v>
      </c>
      <c r="CZ162" s="173">
        <v>1</v>
      </c>
      <c r="DA162" s="173">
        <v>2</v>
      </c>
      <c r="DB162" s="173">
        <v>3</v>
      </c>
      <c r="DC162" s="173">
        <v>4</v>
      </c>
      <c r="DD162" s="173">
        <v>5</v>
      </c>
      <c r="DE162" s="173">
        <v>6</v>
      </c>
      <c r="DF162" s="173">
        <v>7</v>
      </c>
      <c r="DG162" s="173">
        <v>8</v>
      </c>
      <c r="DH162" s="173">
        <v>9</v>
      </c>
      <c r="DI162" s="173">
        <v>10</v>
      </c>
      <c r="DJ162" s="173">
        <v>11</v>
      </c>
      <c r="DK162" s="173"/>
      <c r="DL162" s="173"/>
      <c r="DM162" s="173"/>
      <c r="DN162" s="173"/>
      <c r="DO162" s="173"/>
      <c r="DP162" s="173"/>
      <c r="DQ162" s="173"/>
      <c r="DR162" s="26" t="s">
        <v>13</v>
      </c>
      <c r="DS162" s="413"/>
      <c r="DT162" s="413"/>
      <c r="DU162" s="422"/>
      <c r="DV162" s="413"/>
      <c r="DW162" s="413"/>
      <c r="DX162" s="413"/>
      <c r="DY162" s="395"/>
      <c r="DZ162" s="395"/>
      <c r="EA162" s="395"/>
      <c r="EB162" s="395"/>
      <c r="EC162" s="395"/>
      <c r="ED162" s="395"/>
      <c r="EE162" s="395"/>
      <c r="EF162" s="395"/>
      <c r="EG162" s="395"/>
      <c r="EH162" s="395"/>
      <c r="EI162" s="395"/>
    </row>
    <row r="163" spans="1:157" s="305" customFormat="1" ht="24.75" customHeight="1" x14ac:dyDescent="0.2">
      <c r="A163" s="294">
        <v>1</v>
      </c>
      <c r="B163" s="157" t="s">
        <v>232</v>
      </c>
      <c r="C163" s="295" t="s">
        <v>25</v>
      </c>
      <c r="D163" s="251">
        <v>144</v>
      </c>
      <c r="E163" s="251">
        <v>36</v>
      </c>
      <c r="F163" s="251">
        <v>12</v>
      </c>
      <c r="G163" s="398">
        <v>12</v>
      </c>
      <c r="H163" s="297">
        <v>12</v>
      </c>
      <c r="I163" s="297">
        <v>12</v>
      </c>
      <c r="J163" s="297">
        <v>12</v>
      </c>
      <c r="K163" s="1207">
        <v>11</v>
      </c>
      <c r="L163" s="464">
        <v>12</v>
      </c>
      <c r="M163" s="464">
        <v>12</v>
      </c>
      <c r="N163" s="1297">
        <v>12</v>
      </c>
      <c r="O163" s="297"/>
      <c r="P163" s="297"/>
      <c r="Q163" s="297"/>
      <c r="R163" s="297"/>
      <c r="S163" s="297"/>
      <c r="T163" s="297"/>
      <c r="U163" s="297"/>
      <c r="V163" s="297"/>
      <c r="W163" s="298">
        <f>SUM(E163:P163)</f>
        <v>143</v>
      </c>
      <c r="X163" s="146" t="s">
        <v>115</v>
      </c>
      <c r="Y163" s="324">
        <v>500000</v>
      </c>
      <c r="Z163" s="324">
        <v>500000</v>
      </c>
      <c r="AA163" s="324">
        <v>500000</v>
      </c>
      <c r="AB163" s="324">
        <v>500000</v>
      </c>
      <c r="AC163" s="324">
        <v>500000</v>
      </c>
      <c r="AD163" s="324">
        <v>500000</v>
      </c>
      <c r="AE163" s="990">
        <v>500000</v>
      </c>
      <c r="AF163" s="1340">
        <v>500000</v>
      </c>
      <c r="AG163" s="1341">
        <v>500000</v>
      </c>
      <c r="AH163" s="1341">
        <v>500000</v>
      </c>
      <c r="AI163" s="1479">
        <v>500000</v>
      </c>
      <c r="AJ163" s="990"/>
      <c r="AK163" s="990"/>
      <c r="AL163" s="990"/>
      <c r="AM163" s="990"/>
      <c r="AN163" s="990"/>
      <c r="AO163" s="990"/>
      <c r="AP163" s="990"/>
      <c r="AQ163" s="990"/>
      <c r="AR163" s="271">
        <f>SUM(W163*Y163)</f>
        <v>71500000</v>
      </c>
      <c r="AS163" s="1199">
        <f t="shared" ref="AS163:BD164" si="416">Z163*E163</f>
        <v>18000000</v>
      </c>
      <c r="AT163" s="402">
        <f t="shared" si="416"/>
        <v>6000000</v>
      </c>
      <c r="AU163" s="402">
        <f t="shared" si="416"/>
        <v>6000000</v>
      </c>
      <c r="AV163" s="402">
        <f t="shared" si="416"/>
        <v>6000000</v>
      </c>
      <c r="AW163" s="402">
        <f t="shared" si="416"/>
        <v>6000000</v>
      </c>
      <c r="AX163" s="402">
        <f t="shared" si="416"/>
        <v>6000000</v>
      </c>
      <c r="AY163" s="1342">
        <f t="shared" si="416"/>
        <v>5500000</v>
      </c>
      <c r="AZ163" s="1343">
        <f t="shared" si="416"/>
        <v>6000000</v>
      </c>
      <c r="BA163" s="1199">
        <f t="shared" si="416"/>
        <v>6000000</v>
      </c>
      <c r="BB163" s="1298">
        <f t="shared" si="416"/>
        <v>6000000</v>
      </c>
      <c r="BC163" s="402">
        <f t="shared" si="416"/>
        <v>0</v>
      </c>
      <c r="BD163" s="402">
        <f t="shared" si="416"/>
        <v>0</v>
      </c>
      <c r="BE163" s="402"/>
      <c r="BF163" s="402"/>
      <c r="BG163" s="402"/>
      <c r="BH163" s="402"/>
      <c r="BI163" s="402"/>
      <c r="BJ163" s="402"/>
      <c r="BK163" s="403">
        <f>SUM(AS163:BD163)</f>
        <v>71500000</v>
      </c>
      <c r="BL163" s="402"/>
      <c r="BM163" s="402"/>
      <c r="BN163" s="402"/>
      <c r="BO163" s="1331"/>
      <c r="BP163" s="402"/>
      <c r="BQ163" s="402"/>
      <c r="BR163" s="402"/>
      <c r="BS163" s="402"/>
      <c r="BT163" s="402"/>
      <c r="BU163" s="402"/>
      <c r="BV163" s="402"/>
      <c r="BW163" s="402"/>
      <c r="BX163" s="344">
        <f>SUM(BL163:BW163)</f>
        <v>0</v>
      </c>
      <c r="BY163" s="300">
        <f>AR163-BK163-BX163</f>
        <v>0</v>
      </c>
      <c r="BZ163" s="301">
        <f>Y163*D163</f>
        <v>72000000</v>
      </c>
      <c r="CA163" s="302">
        <f>BZ163-BK163-BX163</f>
        <v>500000</v>
      </c>
      <c r="CB163" s="276">
        <f>SUM(W163/D163)</f>
        <v>0.99305555555555558</v>
      </c>
      <c r="CC163" s="1081"/>
      <c r="CD163" s="1081"/>
      <c r="CE163" s="1083"/>
      <c r="CF163" s="1084"/>
      <c r="CG163" s="862"/>
      <c r="CH163" s="862"/>
      <c r="CI163" s="862"/>
      <c r="CJ163" s="862"/>
      <c r="CK163" s="862"/>
      <c r="CL163" s="862"/>
      <c r="CM163" s="862"/>
      <c r="CN163" s="862"/>
      <c r="CO163" s="1081">
        <f t="shared" ref="CO163:CO164" si="417">SUM(AZ163*12.5%)</f>
        <v>750000</v>
      </c>
      <c r="CP163" s="862"/>
      <c r="CQ163" s="862"/>
      <c r="CR163" s="862"/>
      <c r="CS163" s="862"/>
      <c r="CT163" s="862"/>
      <c r="CU163" s="862"/>
      <c r="CV163" s="862"/>
      <c r="CW163" s="862"/>
      <c r="CX163" s="862"/>
      <c r="CY163" s="73">
        <f>SUM(CG163:CX163)</f>
        <v>750000</v>
      </c>
      <c r="CZ163" s="862"/>
      <c r="DA163" s="862"/>
      <c r="DB163" s="862"/>
      <c r="DC163" s="862"/>
      <c r="DD163" s="862"/>
      <c r="DE163" s="862"/>
      <c r="DF163" s="862"/>
      <c r="DG163" s="862"/>
      <c r="DH163" s="1081"/>
      <c r="DI163" s="862"/>
      <c r="DJ163" s="862"/>
      <c r="DK163" s="862"/>
      <c r="DL163" s="862"/>
      <c r="DM163" s="862"/>
      <c r="DN163" s="862"/>
      <c r="DO163" s="862"/>
      <c r="DP163" s="862"/>
      <c r="DQ163" s="862"/>
      <c r="DR163" s="73">
        <f>SUM(CZ163:DQ163)</f>
        <v>0</v>
      </c>
      <c r="DS163" s="303"/>
      <c r="DT163" s="303"/>
      <c r="DU163" s="423"/>
      <c r="DV163" s="303"/>
      <c r="DW163" s="303"/>
      <c r="DX163" s="303"/>
      <c r="DY163" s="304"/>
      <c r="DZ163" s="304"/>
      <c r="EA163" s="304"/>
      <c r="EB163" s="304"/>
      <c r="EC163" s="304"/>
      <c r="ED163" s="304"/>
      <c r="EE163" s="304"/>
      <c r="EF163" s="304"/>
      <c r="EG163" s="304"/>
      <c r="EH163" s="304"/>
      <c r="EI163" s="304"/>
    </row>
    <row r="164" spans="1:157" s="305" customFormat="1" ht="24.75" customHeight="1" thickBot="1" x14ac:dyDescent="0.25">
      <c r="A164" s="294">
        <v>2</v>
      </c>
      <c r="B164" s="157" t="s">
        <v>283</v>
      </c>
      <c r="C164" s="295" t="s">
        <v>25</v>
      </c>
      <c r="D164" s="251">
        <v>7</v>
      </c>
      <c r="E164" s="836"/>
      <c r="F164" s="251"/>
      <c r="G164" s="398"/>
      <c r="H164" s="297"/>
      <c r="I164" s="464"/>
      <c r="J164" s="297"/>
      <c r="K164" s="1207">
        <v>1</v>
      </c>
      <c r="L164" s="464"/>
      <c r="M164" s="297"/>
      <c r="N164" s="297"/>
      <c r="O164" s="297"/>
      <c r="P164" s="297"/>
      <c r="Q164" s="297"/>
      <c r="R164" s="297"/>
      <c r="S164" s="297"/>
      <c r="T164" s="297"/>
      <c r="U164" s="297"/>
      <c r="V164" s="297"/>
      <c r="W164" s="298">
        <f>SUM(E164:P164)</f>
        <v>1</v>
      </c>
      <c r="X164" s="146" t="s">
        <v>115</v>
      </c>
      <c r="Y164" s="324">
        <v>100000</v>
      </c>
      <c r="Z164" s="1001"/>
      <c r="AA164" s="324"/>
      <c r="AB164" s="324"/>
      <c r="AC164" s="324"/>
      <c r="AD164" s="324"/>
      <c r="AE164" s="990"/>
      <c r="AF164" s="1340">
        <v>100000</v>
      </c>
      <c r="AG164" s="1341"/>
      <c r="AH164" s="587"/>
      <c r="AI164" s="587"/>
      <c r="AJ164" s="587"/>
      <c r="AK164" s="587"/>
      <c r="AL164" s="587"/>
      <c r="AM164" s="587"/>
      <c r="AN164" s="587"/>
      <c r="AO164" s="587"/>
      <c r="AP164" s="587"/>
      <c r="AQ164" s="587"/>
      <c r="AR164" s="271">
        <f>SUM(W164*Y164)</f>
        <v>100000</v>
      </c>
      <c r="AS164" s="1199">
        <f t="shared" si="416"/>
        <v>0</v>
      </c>
      <c r="AT164" s="272">
        <f t="shared" si="416"/>
        <v>0</v>
      </c>
      <c r="AU164" s="272">
        <f t="shared" si="416"/>
        <v>0</v>
      </c>
      <c r="AV164" s="272">
        <f t="shared" si="416"/>
        <v>0</v>
      </c>
      <c r="AW164" s="402">
        <f t="shared" si="416"/>
        <v>0</v>
      </c>
      <c r="AX164" s="272">
        <f t="shared" si="416"/>
        <v>0</v>
      </c>
      <c r="AY164" s="1342">
        <f t="shared" si="416"/>
        <v>100000</v>
      </c>
      <c r="AZ164" s="1343">
        <f t="shared" si="416"/>
        <v>0</v>
      </c>
      <c r="BA164" s="272">
        <f t="shared" si="416"/>
        <v>0</v>
      </c>
      <c r="BB164" s="1298">
        <f t="shared" si="416"/>
        <v>0</v>
      </c>
      <c r="BC164" s="272">
        <f t="shared" si="416"/>
        <v>0</v>
      </c>
      <c r="BD164" s="272">
        <f t="shared" si="416"/>
        <v>0</v>
      </c>
      <c r="BE164" s="272"/>
      <c r="BF164" s="272"/>
      <c r="BG164" s="272"/>
      <c r="BH164" s="272"/>
      <c r="BI164" s="272"/>
      <c r="BJ164" s="272"/>
      <c r="BK164" s="273">
        <f>SUM(AS164:BD164)</f>
        <v>100000</v>
      </c>
      <c r="BL164" s="272"/>
      <c r="BM164" s="272"/>
      <c r="BN164" s="272"/>
      <c r="BO164" s="1331"/>
      <c r="BP164" s="272"/>
      <c r="BQ164" s="272"/>
      <c r="BR164" s="272"/>
      <c r="BS164" s="272"/>
      <c r="BT164" s="272"/>
      <c r="BU164" s="272"/>
      <c r="BV164" s="272"/>
      <c r="BW164" s="272"/>
      <c r="BX164" s="299">
        <f>SUM(BL164:BW164)</f>
        <v>0</v>
      </c>
      <c r="BY164" s="300">
        <f>AR164-BK164-BX164</f>
        <v>0</v>
      </c>
      <c r="BZ164" s="301">
        <f>Y164*D164</f>
        <v>700000</v>
      </c>
      <c r="CA164" s="302">
        <f>BZ164-BK164-BX164</f>
        <v>600000</v>
      </c>
      <c r="CB164" s="276">
        <f>SUM(W164/D164)</f>
        <v>0.14285714285714285</v>
      </c>
      <c r="CC164" s="1081"/>
      <c r="CD164" s="1081"/>
      <c r="CE164" s="1083"/>
      <c r="CF164" s="1084"/>
      <c r="CG164" s="862"/>
      <c r="CH164" s="862"/>
      <c r="CI164" s="862"/>
      <c r="CJ164" s="862"/>
      <c r="CK164" s="862"/>
      <c r="CL164" s="862"/>
      <c r="CM164" s="862"/>
      <c r="CN164" s="862"/>
      <c r="CO164" s="1081">
        <f t="shared" si="417"/>
        <v>0</v>
      </c>
      <c r="CP164" s="862"/>
      <c r="CQ164" s="862"/>
      <c r="CR164" s="862"/>
      <c r="CS164" s="862"/>
      <c r="CT164" s="862"/>
      <c r="CU164" s="862"/>
      <c r="CV164" s="862"/>
      <c r="CW164" s="862"/>
      <c r="CX164" s="862"/>
      <c r="CY164" s="73">
        <f>SUM(CG164:CX164)</f>
        <v>0</v>
      </c>
      <c r="CZ164" s="862"/>
      <c r="DA164" s="862"/>
      <c r="DB164" s="862"/>
      <c r="DC164" s="862"/>
      <c r="DD164" s="862"/>
      <c r="DE164" s="862"/>
      <c r="DF164" s="862"/>
      <c r="DG164" s="862"/>
      <c r="DH164" s="1081"/>
      <c r="DI164" s="862"/>
      <c r="DJ164" s="862"/>
      <c r="DK164" s="862"/>
      <c r="DL164" s="862"/>
      <c r="DM164" s="862"/>
      <c r="DN164" s="862"/>
      <c r="DO164" s="862"/>
      <c r="DP164" s="862"/>
      <c r="DQ164" s="862"/>
      <c r="DR164" s="73">
        <f>SUM(CZ164:DQ164)</f>
        <v>0</v>
      </c>
      <c r="DS164" s="303"/>
      <c r="DT164" s="303"/>
      <c r="DU164" s="423"/>
      <c r="DV164" s="303"/>
      <c r="DW164" s="303"/>
      <c r="DX164" s="303"/>
      <c r="DY164" s="304"/>
      <c r="DZ164" s="304"/>
      <c r="EA164" s="304"/>
      <c r="EB164" s="304"/>
      <c r="EC164" s="304"/>
      <c r="ED164" s="304"/>
      <c r="EE164" s="304"/>
      <c r="EF164" s="304"/>
      <c r="EG164" s="304"/>
      <c r="EH164" s="304"/>
      <c r="EI164" s="304"/>
    </row>
    <row r="165" spans="1:157" s="282" customFormat="1" ht="24.75" customHeight="1" thickBot="1" x14ac:dyDescent="0.25">
      <c r="A165" s="577">
        <v>7</v>
      </c>
      <c r="B165" s="308" t="s">
        <v>4</v>
      </c>
      <c r="C165" s="308"/>
      <c r="D165" s="309"/>
      <c r="E165" s="465"/>
      <c r="F165" s="310"/>
      <c r="G165" s="399"/>
      <c r="H165" s="310"/>
      <c r="I165" s="465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1"/>
      <c r="X165" s="312"/>
      <c r="Y165" s="313"/>
      <c r="Z165" s="997"/>
      <c r="AA165" s="314"/>
      <c r="AB165" s="314"/>
      <c r="AC165" s="314"/>
      <c r="AD165" s="314"/>
      <c r="AE165" s="989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/>
      <c r="AP165" s="314"/>
      <c r="AQ165" s="314"/>
      <c r="AR165" s="315">
        <f>SUM(AR163:AR163)</f>
        <v>71500000</v>
      </c>
      <c r="AS165" s="1232">
        <f>SUM(AS163:AS163)</f>
        <v>18000000</v>
      </c>
      <c r="AT165" s="315">
        <f>SUM(AT163:AT163)</f>
        <v>6000000</v>
      </c>
      <c r="AU165" s="315">
        <f>SUM(AU163:AU163)</f>
        <v>6000000</v>
      </c>
      <c r="AV165" s="315">
        <f t="shared" ref="AV165:AW165" si="418">SUM(AV163:AV163)</f>
        <v>6000000</v>
      </c>
      <c r="AW165" s="430">
        <f t="shared" si="418"/>
        <v>6000000</v>
      </c>
      <c r="AX165" s="315">
        <f>SUM(AX163:AX164)</f>
        <v>6000000</v>
      </c>
      <c r="AY165" s="315">
        <f>SUM(AY163:AY164)</f>
        <v>5600000</v>
      </c>
      <c r="AZ165" s="315">
        <f t="shared" ref="AZ165:BD165" si="419">SUM(AZ163:AZ164)</f>
        <v>6000000</v>
      </c>
      <c r="BA165" s="315">
        <f t="shared" si="419"/>
        <v>6000000</v>
      </c>
      <c r="BB165" s="1478">
        <f t="shared" si="419"/>
        <v>6000000</v>
      </c>
      <c r="BC165" s="315">
        <f t="shared" si="419"/>
        <v>0</v>
      </c>
      <c r="BD165" s="315">
        <f t="shared" si="419"/>
        <v>0</v>
      </c>
      <c r="BE165" s="315"/>
      <c r="BF165" s="315"/>
      <c r="BG165" s="315"/>
      <c r="BH165" s="315"/>
      <c r="BI165" s="315"/>
      <c r="BJ165" s="315"/>
      <c r="BK165" s="315">
        <f>SUM(BK163:BK163)</f>
        <v>71500000</v>
      </c>
      <c r="BL165" s="315">
        <f>SUM(BL163:BL163)</f>
        <v>0</v>
      </c>
      <c r="BM165" s="315">
        <f>SUM(BM163:BM163)</f>
        <v>0</v>
      </c>
      <c r="BN165" s="315">
        <f>SUM(BN163:BN163)</f>
        <v>0</v>
      </c>
      <c r="BO165" s="1337">
        <f t="shared" ref="BO165:BW165" si="420">SUM(BO163:BO163)</f>
        <v>0</v>
      </c>
      <c r="BP165" s="315">
        <f t="shared" si="420"/>
        <v>0</v>
      </c>
      <c r="BQ165" s="315">
        <f t="shared" si="420"/>
        <v>0</v>
      </c>
      <c r="BR165" s="315">
        <f t="shared" si="420"/>
        <v>0</v>
      </c>
      <c r="BS165" s="315">
        <f t="shared" si="420"/>
        <v>0</v>
      </c>
      <c r="BT165" s="315">
        <f t="shared" si="420"/>
        <v>0</v>
      </c>
      <c r="BU165" s="315">
        <f t="shared" si="420"/>
        <v>0</v>
      </c>
      <c r="BV165" s="315">
        <f t="shared" si="420"/>
        <v>0</v>
      </c>
      <c r="BW165" s="315">
        <f t="shared" si="420"/>
        <v>0</v>
      </c>
      <c r="BX165" s="315">
        <f>SUM(BX163:BX163)</f>
        <v>0</v>
      </c>
      <c r="BY165" s="316">
        <f>AR165-BK165-BX165</f>
        <v>0</v>
      </c>
      <c r="BZ165" s="315">
        <f>SUM(BZ163:BZ164)</f>
        <v>72700000</v>
      </c>
      <c r="CA165" s="315">
        <f>SUM(CA163:CA164)</f>
        <v>1100000</v>
      </c>
      <c r="CB165" s="279">
        <v>1</v>
      </c>
      <c r="CC165" s="1009"/>
      <c r="CD165" s="1010"/>
      <c r="CE165" s="318"/>
      <c r="CF165" s="317"/>
      <c r="CG165" s="425"/>
      <c r="CH165" s="317"/>
      <c r="CI165" s="317"/>
      <c r="CJ165" s="317"/>
      <c r="CK165" s="425"/>
      <c r="CL165" s="317"/>
      <c r="CM165" s="317"/>
      <c r="CN165" s="317"/>
      <c r="CO165" s="425"/>
      <c r="CP165" s="317"/>
      <c r="CQ165" s="317"/>
      <c r="CR165" s="317"/>
      <c r="CS165" s="317"/>
      <c r="CT165" s="317"/>
      <c r="CU165" s="317"/>
      <c r="CV165" s="317"/>
      <c r="CW165" s="317"/>
      <c r="CX165" s="317"/>
      <c r="CY165" s="425"/>
      <c r="CZ165" s="317"/>
      <c r="DA165" s="317"/>
      <c r="DB165" s="317"/>
      <c r="DC165" s="425"/>
      <c r="DD165" s="317"/>
      <c r="DE165" s="317"/>
      <c r="DF165" s="317"/>
      <c r="DG165" s="425"/>
      <c r="DH165" s="317"/>
      <c r="DI165" s="317"/>
      <c r="DJ165" s="317"/>
      <c r="DK165" s="317"/>
      <c r="DL165" s="317"/>
      <c r="DM165" s="317"/>
      <c r="DN165" s="317"/>
      <c r="DO165" s="317"/>
      <c r="DP165" s="317"/>
      <c r="DQ165" s="317"/>
      <c r="DR165" s="317"/>
      <c r="DS165" s="317"/>
      <c r="DT165" s="317"/>
      <c r="DU165" s="425"/>
      <c r="DV165" s="317"/>
      <c r="DW165" s="317"/>
      <c r="DX165" s="317"/>
      <c r="DY165" s="318"/>
      <c r="DZ165" s="318"/>
      <c r="EA165" s="318"/>
      <c r="EB165" s="318"/>
      <c r="EC165" s="318"/>
      <c r="ED165" s="318"/>
      <c r="EE165" s="318"/>
      <c r="EF165" s="318"/>
      <c r="EG165" s="318"/>
      <c r="EH165" s="318"/>
      <c r="EI165" s="318"/>
    </row>
    <row r="166" spans="1:157" s="262" customFormat="1" ht="24.75" customHeight="1" x14ac:dyDescent="0.2">
      <c r="A166" s="283"/>
      <c r="D166" s="283"/>
      <c r="E166" s="463"/>
      <c r="F166" s="283"/>
      <c r="G166" s="397"/>
      <c r="H166" s="283"/>
      <c r="I166" s="46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Z166" s="998"/>
      <c r="AS166" s="998"/>
      <c r="BK166" s="291"/>
      <c r="BO166" s="1361"/>
      <c r="BX166" s="319">
        <f>SUM(BK165+BX165)</f>
        <v>71500000</v>
      </c>
      <c r="BY166" s="284">
        <f>AR165-BK165-BX165</f>
        <v>0</v>
      </c>
      <c r="BZ166" s="320">
        <f>SUM(CA165+BK165+BX165)</f>
        <v>72600000</v>
      </c>
      <c r="CA166" s="285">
        <f>SUM(BY165)</f>
        <v>0</v>
      </c>
      <c r="CB166" s="280" t="s">
        <v>38</v>
      </c>
      <c r="CC166" s="1011"/>
      <c r="CD166" s="1012"/>
      <c r="CE166" s="260"/>
      <c r="CF166" s="409"/>
      <c r="CG166" s="417"/>
      <c r="CH166" s="409"/>
      <c r="CI166" s="409"/>
      <c r="CJ166" s="409"/>
      <c r="CK166" s="417"/>
      <c r="CL166" s="409"/>
      <c r="CM166" s="409"/>
      <c r="CN166" s="409"/>
      <c r="CO166" s="417"/>
      <c r="CP166" s="409"/>
      <c r="CQ166" s="409"/>
      <c r="CR166" s="409"/>
      <c r="CS166" s="409"/>
      <c r="CT166" s="409"/>
      <c r="CU166" s="409"/>
      <c r="CV166" s="409"/>
      <c r="CW166" s="409"/>
      <c r="CX166" s="409"/>
      <c r="CY166" s="417"/>
      <c r="CZ166" s="409"/>
      <c r="DA166" s="409"/>
      <c r="DB166" s="409"/>
      <c r="DC166" s="417"/>
      <c r="DD166" s="409"/>
      <c r="DE166" s="409"/>
      <c r="DF166" s="409"/>
      <c r="DG166" s="417"/>
      <c r="DH166" s="409"/>
      <c r="DI166" s="409"/>
      <c r="DJ166" s="409"/>
      <c r="DK166" s="409"/>
      <c r="DL166" s="409"/>
      <c r="DM166" s="409"/>
      <c r="DN166" s="409"/>
      <c r="DO166" s="409"/>
      <c r="DP166" s="409"/>
      <c r="DQ166" s="409"/>
      <c r="DR166" s="409"/>
      <c r="DS166" s="409"/>
      <c r="DT166" s="409"/>
      <c r="DU166" s="417"/>
      <c r="DV166" s="409"/>
      <c r="DW166" s="409"/>
      <c r="DX166" s="409"/>
      <c r="DY166" s="260"/>
      <c r="DZ166" s="260"/>
      <c r="EA166" s="260"/>
      <c r="EB166" s="260"/>
      <c r="EC166" s="260"/>
      <c r="ED166" s="260"/>
      <c r="EE166" s="260"/>
      <c r="EF166" s="260"/>
      <c r="EG166" s="260"/>
      <c r="EH166" s="260"/>
      <c r="EI166" s="260"/>
      <c r="EJ166" s="260"/>
    </row>
    <row r="167" spans="1:157" s="262" customFormat="1" ht="24.75" customHeight="1" x14ac:dyDescent="0.2">
      <c r="A167" s="283"/>
      <c r="D167" s="283"/>
      <c r="E167" s="463"/>
      <c r="F167" s="283"/>
      <c r="G167" s="397"/>
      <c r="H167" s="283"/>
      <c r="I167" s="46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Z167" s="998"/>
      <c r="AS167" s="998"/>
      <c r="BK167" s="280"/>
      <c r="BL167" s="388">
        <f>SUM(AS165+BL165)</f>
        <v>18000000</v>
      </c>
      <c r="BM167" s="388">
        <f t="shared" ref="BM167" si="421">SUM(AT165+BM165)</f>
        <v>6000000</v>
      </c>
      <c r="BN167" s="388">
        <f t="shared" ref="BN167" si="422">SUM(AU165+BN165)</f>
        <v>6000000</v>
      </c>
      <c r="BO167" s="1362">
        <f t="shared" ref="BO167" si="423">SUM(AV165+BO165)</f>
        <v>6000000</v>
      </c>
      <c r="BP167" s="388">
        <f t="shared" ref="BP167" si="424">SUM(AW165+BP165)</f>
        <v>6000000</v>
      </c>
      <c r="BQ167" s="1030">
        <f t="shared" ref="BQ167" si="425">SUM(AX165+BQ165)</f>
        <v>6000000</v>
      </c>
      <c r="BR167" s="388">
        <f t="shared" ref="BR167" si="426">SUM(AY165+BR165)</f>
        <v>5600000</v>
      </c>
      <c r="BS167" s="388">
        <f t="shared" ref="BS167" si="427">SUM(AZ165+BS165)</f>
        <v>6000000</v>
      </c>
      <c r="BT167" s="388">
        <f t="shared" ref="BT167" si="428">SUM(BA165+BT165)</f>
        <v>6000000</v>
      </c>
      <c r="BU167" s="388">
        <f t="shared" ref="BU167" si="429">SUM(BB165+BU165)</f>
        <v>6000000</v>
      </c>
      <c r="BV167" s="388">
        <f t="shared" ref="BV167" si="430">SUM(BC165+BV165)</f>
        <v>0</v>
      </c>
      <c r="BW167" s="388">
        <f t="shared" ref="BW167" si="431">SUM(BD165+BW165)</f>
        <v>0</v>
      </c>
      <c r="BX167" s="388">
        <f>SUM(BL167:BW167)</f>
        <v>71600000</v>
      </c>
      <c r="BY167" s="280"/>
      <c r="BZ167" s="286"/>
      <c r="CA167" s="287">
        <f>SUM(CA165-CA166)</f>
        <v>1100000</v>
      </c>
      <c r="CB167" s="280" t="s">
        <v>37</v>
      </c>
      <c r="CC167" s="1011"/>
      <c r="CD167" s="1012"/>
      <c r="CE167" s="260"/>
      <c r="CF167" s="409"/>
      <c r="CG167" s="417"/>
      <c r="CH167" s="409"/>
      <c r="CI167" s="409"/>
      <c r="CJ167" s="409"/>
      <c r="CK167" s="417"/>
      <c r="CL167" s="409"/>
      <c r="CM167" s="409"/>
      <c r="CN167" s="409"/>
      <c r="CO167" s="417"/>
      <c r="CP167" s="409"/>
      <c r="CQ167" s="409"/>
      <c r="CR167" s="409"/>
      <c r="CS167" s="409"/>
      <c r="CT167" s="409"/>
      <c r="CU167" s="409"/>
      <c r="CV167" s="409"/>
      <c r="CW167" s="409"/>
      <c r="CX167" s="409"/>
      <c r="CY167" s="417"/>
      <c r="CZ167" s="409"/>
      <c r="DA167" s="409"/>
      <c r="DB167" s="409"/>
      <c r="DC167" s="417"/>
      <c r="DD167" s="409"/>
      <c r="DE167" s="409"/>
      <c r="DF167" s="409"/>
      <c r="DG167" s="417"/>
      <c r="DH167" s="409"/>
      <c r="DI167" s="409"/>
      <c r="DJ167" s="409"/>
      <c r="DK167" s="409"/>
      <c r="DL167" s="409"/>
      <c r="DM167" s="409"/>
      <c r="DN167" s="409"/>
      <c r="DO167" s="409"/>
      <c r="DP167" s="409"/>
      <c r="DQ167" s="409"/>
      <c r="DR167" s="409"/>
      <c r="DS167" s="409"/>
      <c r="DT167" s="409"/>
      <c r="DU167" s="417"/>
      <c r="DV167" s="409"/>
      <c r="DW167" s="409"/>
      <c r="DX167" s="409"/>
      <c r="DY167" s="260"/>
      <c r="DZ167" s="260"/>
      <c r="EA167" s="260"/>
      <c r="EB167" s="260"/>
      <c r="EC167" s="260"/>
      <c r="ED167" s="260"/>
      <c r="EE167" s="260"/>
      <c r="EF167" s="260"/>
      <c r="EG167" s="260"/>
      <c r="EH167" s="260"/>
      <c r="EI167" s="260"/>
      <c r="EJ167" s="260"/>
    </row>
    <row r="168" spans="1:157" s="262" customFormat="1" ht="24.75" customHeight="1" x14ac:dyDescent="0.2">
      <c r="A168" s="1754" t="s">
        <v>8</v>
      </c>
      <c r="B168" s="1755"/>
      <c r="C168" s="244" t="s">
        <v>370</v>
      </c>
      <c r="D168" s="245"/>
      <c r="E168" s="462"/>
      <c r="F168" s="245"/>
      <c r="G168" s="292"/>
      <c r="H168" s="245"/>
      <c r="I168" s="462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994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5"/>
      <c r="AS168" s="994"/>
      <c r="AT168" s="246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7"/>
      <c r="BL168" s="246"/>
      <c r="BM168" s="246"/>
      <c r="BN168" s="246"/>
      <c r="BO168" s="1359"/>
      <c r="BP168" s="246"/>
      <c r="BQ168" s="246"/>
      <c r="BR168" s="246"/>
      <c r="BS168" s="246"/>
      <c r="BT168" s="246"/>
      <c r="BU168" s="246"/>
      <c r="BV168" s="246"/>
      <c r="BW168" s="246"/>
      <c r="BX168" s="247"/>
      <c r="BY168" s="247"/>
      <c r="BZ168" s="243"/>
      <c r="CA168" s="248"/>
      <c r="CB168" s="245"/>
      <c r="CC168" s="1008"/>
      <c r="CD168" s="1008"/>
      <c r="CE168" s="246"/>
      <c r="CF168" s="292"/>
      <c r="CG168" s="418"/>
      <c r="CH168" s="292"/>
      <c r="CI168" s="249"/>
      <c r="CJ168" s="292"/>
      <c r="CK168" s="418"/>
      <c r="CL168" s="292"/>
      <c r="CM168" s="249"/>
      <c r="CN168" s="292"/>
      <c r="CO168" s="418"/>
      <c r="CP168" s="292"/>
      <c r="CQ168" s="249"/>
      <c r="CR168" s="249"/>
      <c r="CS168" s="249"/>
      <c r="CT168" s="249"/>
      <c r="CU168" s="249"/>
      <c r="CV168" s="249"/>
      <c r="CW168" s="249"/>
      <c r="CX168" s="249"/>
      <c r="CY168" s="418"/>
      <c r="CZ168" s="292"/>
      <c r="DA168" s="249"/>
      <c r="DB168" s="292"/>
      <c r="DC168" s="418"/>
      <c r="DD168" s="292"/>
      <c r="DE168" s="249"/>
      <c r="DF168" s="292"/>
      <c r="DG168" s="418"/>
      <c r="DH168" s="292"/>
      <c r="DI168" s="249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49"/>
      <c r="DT168" s="292"/>
      <c r="DU168" s="418"/>
      <c r="DV168" s="292"/>
      <c r="DW168" s="249"/>
      <c r="DX168" s="292"/>
      <c r="DY168" s="246"/>
      <c r="DZ168" s="246"/>
      <c r="EA168" s="246"/>
      <c r="EB168" s="246"/>
      <c r="EC168" s="247"/>
      <c r="ED168" s="247"/>
      <c r="EE168" s="247"/>
      <c r="EF168" s="243"/>
      <c r="EG168" s="248"/>
      <c r="EH168" s="247"/>
      <c r="EI168" s="247"/>
      <c r="EJ168" s="260"/>
      <c r="EK168" s="260"/>
      <c r="EL168" s="260"/>
      <c r="EM168" s="260"/>
      <c r="EN168" s="260"/>
      <c r="EO168" s="261"/>
      <c r="EP168" s="260"/>
      <c r="EQ168" s="260"/>
      <c r="ER168" s="260"/>
      <c r="ES168" s="260"/>
      <c r="ET168" s="260"/>
      <c r="EU168" s="260"/>
      <c r="EV168" s="260"/>
      <c r="EW168" s="260"/>
      <c r="EX168" s="260"/>
      <c r="EY168" s="260"/>
      <c r="EZ168" s="260"/>
      <c r="FA168" s="260"/>
    </row>
    <row r="169" spans="1:157" s="264" customFormat="1" ht="48.75" customHeight="1" x14ac:dyDescent="0.2">
      <c r="A169" s="1756" t="s">
        <v>10</v>
      </c>
      <c r="B169" s="1759" t="s">
        <v>11</v>
      </c>
      <c r="C169" s="1759" t="s">
        <v>22</v>
      </c>
      <c r="D169" s="1762" t="s">
        <v>12</v>
      </c>
      <c r="E169" s="1762"/>
      <c r="F169" s="1762"/>
      <c r="G169" s="1762"/>
      <c r="H169" s="1762"/>
      <c r="I169" s="1762"/>
      <c r="J169" s="1762"/>
      <c r="K169" s="1762"/>
      <c r="L169" s="1762"/>
      <c r="M169" s="1762"/>
      <c r="N169" s="1762"/>
      <c r="O169" s="1762"/>
      <c r="P169" s="1762"/>
      <c r="Q169" s="1762"/>
      <c r="R169" s="1762"/>
      <c r="S169" s="1762"/>
      <c r="T169" s="1762"/>
      <c r="U169" s="1762"/>
      <c r="V169" s="1762"/>
      <c r="W169" s="1762"/>
      <c r="X169" s="1759" t="s">
        <v>20</v>
      </c>
      <c r="Y169" s="1763" t="s">
        <v>17</v>
      </c>
      <c r="Z169" s="1764"/>
      <c r="AA169" s="1764"/>
      <c r="AB169" s="1764"/>
      <c r="AC169" s="1764"/>
      <c r="AD169" s="1764"/>
      <c r="AE169" s="1764"/>
      <c r="AF169" s="1764"/>
      <c r="AG169" s="1764"/>
      <c r="AH169" s="1764"/>
      <c r="AI169" s="1764"/>
      <c r="AJ169" s="1764"/>
      <c r="AK169" s="1764"/>
      <c r="AL169" s="1178"/>
      <c r="AM169" s="1178"/>
      <c r="AN169" s="1178"/>
      <c r="AO169" s="1178"/>
      <c r="AP169" s="1178"/>
      <c r="AQ169" s="1178"/>
      <c r="AR169" s="1766" t="s">
        <v>6</v>
      </c>
      <c r="AS169" s="1766"/>
      <c r="AT169" s="1766"/>
      <c r="AU169" s="1766"/>
      <c r="AV169" s="1766"/>
      <c r="AW169" s="1766"/>
      <c r="AX169" s="1766"/>
      <c r="AY169" s="1766"/>
      <c r="AZ169" s="1766"/>
      <c r="BA169" s="1766"/>
      <c r="BB169" s="1766"/>
      <c r="BC169" s="1766"/>
      <c r="BD169" s="1766"/>
      <c r="BE169" s="1766"/>
      <c r="BF169" s="1766"/>
      <c r="BG169" s="1766"/>
      <c r="BH169" s="1766"/>
      <c r="BI169" s="1766"/>
      <c r="BJ169" s="1766"/>
      <c r="BK169" s="1766"/>
      <c r="BL169" s="1767" t="s">
        <v>41</v>
      </c>
      <c r="BM169" s="1768"/>
      <c r="BN169" s="1768"/>
      <c r="BO169" s="1768"/>
      <c r="BP169" s="1768"/>
      <c r="BQ169" s="1768"/>
      <c r="BR169" s="1768"/>
      <c r="BS169" s="1768"/>
      <c r="BT169" s="1768"/>
      <c r="BU169" s="1768"/>
      <c r="BV169" s="1768"/>
      <c r="BW169" s="1768"/>
      <c r="BX169" s="1769"/>
      <c r="BY169" s="1759" t="s">
        <v>38</v>
      </c>
      <c r="BZ169" s="1759" t="s">
        <v>256</v>
      </c>
      <c r="CA169" s="1746" t="s">
        <v>39</v>
      </c>
      <c r="CB169" s="243"/>
      <c r="CC169" s="135"/>
      <c r="CD169" s="135"/>
      <c r="CE169" s="135"/>
      <c r="CF169" s="135"/>
      <c r="CG169" s="1733" t="s">
        <v>41</v>
      </c>
      <c r="CH169" s="1734"/>
      <c r="CI169" s="1734"/>
      <c r="CJ169" s="1734"/>
      <c r="CK169" s="1734"/>
      <c r="CL169" s="1734"/>
      <c r="CM169" s="1734"/>
      <c r="CN169" s="1734"/>
      <c r="CO169" s="1734"/>
      <c r="CP169" s="1734"/>
      <c r="CQ169" s="1734"/>
      <c r="CR169" s="1734"/>
      <c r="CS169" s="1734"/>
      <c r="CT169" s="1734"/>
      <c r="CU169" s="1734"/>
      <c r="CV169" s="1734"/>
      <c r="CW169" s="1734"/>
      <c r="CX169" s="1734"/>
      <c r="CY169" s="1734"/>
      <c r="CZ169" s="1734"/>
      <c r="DA169" s="1734"/>
      <c r="DB169" s="1734"/>
      <c r="DC169" s="1734"/>
      <c r="DD169" s="1734"/>
      <c r="DE169" s="1734"/>
      <c r="DF169" s="1734"/>
      <c r="DG169" s="1734"/>
      <c r="DH169" s="1734"/>
      <c r="DI169" s="1734"/>
      <c r="DJ169" s="1734"/>
      <c r="DK169" s="1734"/>
      <c r="DL169" s="1734"/>
      <c r="DM169" s="1734"/>
      <c r="DN169" s="1734"/>
      <c r="DO169" s="1734"/>
      <c r="DP169" s="1734"/>
      <c r="DQ169" s="1734"/>
      <c r="DR169" s="1735"/>
      <c r="DS169" s="292"/>
      <c r="DT169" s="292"/>
      <c r="DU169" s="418"/>
      <c r="DV169" s="292"/>
      <c r="DW169" s="292"/>
      <c r="DX169" s="292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63"/>
      <c r="EI169" s="263"/>
    </row>
    <row r="170" spans="1:157" s="264" customFormat="1" ht="48.75" customHeight="1" x14ac:dyDescent="0.2">
      <c r="A170" s="1757"/>
      <c r="B170" s="1760"/>
      <c r="C170" s="1760"/>
      <c r="D170" s="1749" t="s">
        <v>18</v>
      </c>
      <c r="E170" s="1751" t="s">
        <v>19</v>
      </c>
      <c r="F170" s="1752"/>
      <c r="G170" s="1752"/>
      <c r="H170" s="1752"/>
      <c r="I170" s="1752"/>
      <c r="J170" s="1752"/>
      <c r="K170" s="1752"/>
      <c r="L170" s="1752"/>
      <c r="M170" s="1752"/>
      <c r="N170" s="1752"/>
      <c r="O170" s="1752"/>
      <c r="P170" s="1752"/>
      <c r="Q170" s="1752"/>
      <c r="R170" s="1752"/>
      <c r="S170" s="1752"/>
      <c r="T170" s="1752"/>
      <c r="U170" s="1752"/>
      <c r="V170" s="1752"/>
      <c r="W170" s="1752"/>
      <c r="X170" s="1760"/>
      <c r="Y170" s="1749" t="s">
        <v>18</v>
      </c>
      <c r="Z170" s="1751" t="s">
        <v>19</v>
      </c>
      <c r="AA170" s="1752"/>
      <c r="AB170" s="1752"/>
      <c r="AC170" s="1752"/>
      <c r="AD170" s="1752"/>
      <c r="AE170" s="1752"/>
      <c r="AF170" s="1752"/>
      <c r="AG170" s="1752"/>
      <c r="AH170" s="1752"/>
      <c r="AI170" s="1752"/>
      <c r="AJ170" s="1752"/>
      <c r="AK170" s="1752"/>
      <c r="AL170" s="1179"/>
      <c r="AM170" s="1179"/>
      <c r="AN170" s="1179"/>
      <c r="AO170" s="1179"/>
      <c r="AP170" s="1179"/>
      <c r="AQ170" s="1179"/>
      <c r="AR170" s="1749" t="s">
        <v>18</v>
      </c>
      <c r="AS170" s="1751" t="s">
        <v>19</v>
      </c>
      <c r="AT170" s="1752"/>
      <c r="AU170" s="1752"/>
      <c r="AV170" s="1752"/>
      <c r="AW170" s="1752"/>
      <c r="AX170" s="1752"/>
      <c r="AY170" s="1752"/>
      <c r="AZ170" s="1752"/>
      <c r="BA170" s="1752"/>
      <c r="BB170" s="1752"/>
      <c r="BC170" s="1752"/>
      <c r="BD170" s="1752"/>
      <c r="BE170" s="1752"/>
      <c r="BF170" s="1752"/>
      <c r="BG170" s="1752"/>
      <c r="BH170" s="1752"/>
      <c r="BI170" s="1752"/>
      <c r="BJ170" s="1752"/>
      <c r="BK170" s="1753"/>
      <c r="BL170" s="1770"/>
      <c r="BM170" s="1771"/>
      <c r="BN170" s="1771"/>
      <c r="BO170" s="1771"/>
      <c r="BP170" s="1771"/>
      <c r="BQ170" s="1771"/>
      <c r="BR170" s="1771"/>
      <c r="BS170" s="1771"/>
      <c r="BT170" s="1771"/>
      <c r="BU170" s="1771"/>
      <c r="BV170" s="1771"/>
      <c r="BW170" s="1771"/>
      <c r="BX170" s="1772"/>
      <c r="BY170" s="1760"/>
      <c r="BZ170" s="1760"/>
      <c r="CA170" s="1747"/>
      <c r="CB170" s="243"/>
      <c r="CC170" s="1736">
        <f>SUM(CC172/60)</f>
        <v>0</v>
      </c>
      <c r="CD170" s="1736"/>
      <c r="CE170" s="1736"/>
      <c r="CF170" s="23"/>
      <c r="CG170" s="1737" t="s">
        <v>686</v>
      </c>
      <c r="CH170" s="1738"/>
      <c r="CI170" s="1738"/>
      <c r="CJ170" s="1738"/>
      <c r="CK170" s="1738"/>
      <c r="CL170" s="1738"/>
      <c r="CM170" s="1738"/>
      <c r="CN170" s="1738"/>
      <c r="CO170" s="1738"/>
      <c r="CP170" s="1738"/>
      <c r="CQ170" s="1738"/>
      <c r="CR170" s="1738"/>
      <c r="CS170" s="1738"/>
      <c r="CT170" s="1738"/>
      <c r="CU170" s="1738"/>
      <c r="CV170" s="1738"/>
      <c r="CW170" s="1738"/>
      <c r="CX170" s="1738"/>
      <c r="CY170" s="1739"/>
      <c r="CZ170" s="1740" t="s">
        <v>687</v>
      </c>
      <c r="DA170" s="1741"/>
      <c r="DB170" s="1741"/>
      <c r="DC170" s="1741"/>
      <c r="DD170" s="1741"/>
      <c r="DE170" s="1741"/>
      <c r="DF170" s="1741"/>
      <c r="DG170" s="1741"/>
      <c r="DH170" s="1741"/>
      <c r="DI170" s="1741"/>
      <c r="DJ170" s="1741"/>
      <c r="DK170" s="1741"/>
      <c r="DL170" s="1741"/>
      <c r="DM170" s="1741"/>
      <c r="DN170" s="1741"/>
      <c r="DO170" s="1741"/>
      <c r="DP170" s="1741"/>
      <c r="DQ170" s="1741"/>
      <c r="DR170" s="1742"/>
      <c r="DS170" s="292"/>
      <c r="DT170" s="292"/>
      <c r="DU170" s="418"/>
      <c r="DV170" s="292"/>
      <c r="DW170" s="292"/>
      <c r="DX170" s="292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63"/>
      <c r="EI170" s="263"/>
    </row>
    <row r="171" spans="1:157" s="267" customFormat="1" ht="28.5" customHeight="1" x14ac:dyDescent="0.2">
      <c r="A171" s="1758"/>
      <c r="B171" s="1761"/>
      <c r="C171" s="1761"/>
      <c r="D171" s="1750"/>
      <c r="E171" s="265">
        <v>1</v>
      </c>
      <c r="F171" s="265">
        <v>2</v>
      </c>
      <c r="G171" s="396">
        <v>3</v>
      </c>
      <c r="H171" s="265">
        <v>4</v>
      </c>
      <c r="I171" s="396">
        <v>5</v>
      </c>
      <c r="J171" s="265">
        <v>6</v>
      </c>
      <c r="K171" s="396">
        <v>7</v>
      </c>
      <c r="L171" s="265">
        <v>8</v>
      </c>
      <c r="M171" s="265">
        <v>9</v>
      </c>
      <c r="N171" s="265">
        <v>10</v>
      </c>
      <c r="O171" s="265">
        <v>11</v>
      </c>
      <c r="P171" s="265">
        <v>12</v>
      </c>
      <c r="Q171" s="265"/>
      <c r="R171" s="265"/>
      <c r="S171" s="265"/>
      <c r="T171" s="265"/>
      <c r="U171" s="265"/>
      <c r="V171" s="265"/>
      <c r="W171" s="265" t="s">
        <v>21</v>
      </c>
      <c r="X171" s="1761"/>
      <c r="Y171" s="1750"/>
      <c r="Z171" s="265">
        <v>1</v>
      </c>
      <c r="AA171" s="265">
        <v>2</v>
      </c>
      <c r="AB171" s="265">
        <v>3</v>
      </c>
      <c r="AC171" s="265">
        <v>4</v>
      </c>
      <c r="AD171" s="265">
        <v>5</v>
      </c>
      <c r="AE171" s="265">
        <v>6</v>
      </c>
      <c r="AF171" s="265">
        <v>7</v>
      </c>
      <c r="AG171" s="265">
        <v>8</v>
      </c>
      <c r="AH171" s="265">
        <v>9</v>
      </c>
      <c r="AI171" s="265">
        <v>10</v>
      </c>
      <c r="AJ171" s="265">
        <v>11</v>
      </c>
      <c r="AK171" s="265">
        <v>12</v>
      </c>
      <c r="AL171" s="265">
        <v>13</v>
      </c>
      <c r="AM171" s="265">
        <v>14</v>
      </c>
      <c r="AN171" s="265">
        <v>15</v>
      </c>
      <c r="AO171" s="265">
        <v>16</v>
      </c>
      <c r="AP171" s="265">
        <v>17</v>
      </c>
      <c r="AQ171" s="265">
        <v>18</v>
      </c>
      <c r="AR171" s="1750"/>
      <c r="AS171" s="1351">
        <v>1</v>
      </c>
      <c r="AT171" s="265">
        <v>2</v>
      </c>
      <c r="AU171" s="265">
        <v>3</v>
      </c>
      <c r="AV171" s="265">
        <v>4</v>
      </c>
      <c r="AW171" s="265">
        <v>5</v>
      </c>
      <c r="AX171" s="265">
        <v>6</v>
      </c>
      <c r="AY171" s="265">
        <v>7</v>
      </c>
      <c r="AZ171" s="265">
        <v>8</v>
      </c>
      <c r="BA171" s="265">
        <v>9</v>
      </c>
      <c r="BB171" s="265">
        <v>10</v>
      </c>
      <c r="BC171" s="265">
        <v>11</v>
      </c>
      <c r="BD171" s="265">
        <v>12</v>
      </c>
      <c r="BE171" s="265">
        <v>13</v>
      </c>
      <c r="BF171" s="265">
        <v>14</v>
      </c>
      <c r="BG171" s="265">
        <v>15</v>
      </c>
      <c r="BH171" s="265">
        <v>16</v>
      </c>
      <c r="BI171" s="265">
        <v>17</v>
      </c>
      <c r="BJ171" s="265">
        <v>18</v>
      </c>
      <c r="BK171" s="265" t="s">
        <v>13</v>
      </c>
      <c r="BL171" s="266">
        <v>1</v>
      </c>
      <c r="BM171" s="266">
        <v>2</v>
      </c>
      <c r="BN171" s="266">
        <v>3</v>
      </c>
      <c r="BO171" s="1360"/>
      <c r="BP171" s="266"/>
      <c r="BQ171" s="266"/>
      <c r="BR171" s="266"/>
      <c r="BS171" s="266"/>
      <c r="BT171" s="266"/>
      <c r="BU171" s="266"/>
      <c r="BV171" s="266"/>
      <c r="BW171" s="266"/>
      <c r="BX171" s="265" t="s">
        <v>13</v>
      </c>
      <c r="BY171" s="1761"/>
      <c r="BZ171" s="1761"/>
      <c r="CA171" s="1748"/>
      <c r="CC171" s="1743" t="s">
        <v>19</v>
      </c>
      <c r="CD171" s="1744"/>
      <c r="CE171" s="1745"/>
      <c r="CF171" s="621"/>
      <c r="CG171" s="173">
        <v>1</v>
      </c>
      <c r="CH171" s="173">
        <v>2</v>
      </c>
      <c r="CI171" s="173">
        <v>3</v>
      </c>
      <c r="CJ171" s="173">
        <v>4</v>
      </c>
      <c r="CK171" s="173">
        <v>5</v>
      </c>
      <c r="CL171" s="173">
        <v>6</v>
      </c>
      <c r="CM171" s="173">
        <v>7</v>
      </c>
      <c r="CN171" s="173">
        <v>8</v>
      </c>
      <c r="CO171" s="173">
        <v>9</v>
      </c>
      <c r="CP171" s="173">
        <v>10</v>
      </c>
      <c r="CQ171" s="173">
        <v>11</v>
      </c>
      <c r="CR171" s="173"/>
      <c r="CS171" s="173"/>
      <c r="CT171" s="173"/>
      <c r="CU171" s="173"/>
      <c r="CV171" s="173"/>
      <c r="CW171" s="173"/>
      <c r="CX171" s="173"/>
      <c r="CY171" s="26" t="s">
        <v>13</v>
      </c>
      <c r="CZ171" s="173">
        <v>1</v>
      </c>
      <c r="DA171" s="173">
        <v>2</v>
      </c>
      <c r="DB171" s="173">
        <v>3</v>
      </c>
      <c r="DC171" s="173">
        <v>4</v>
      </c>
      <c r="DD171" s="173">
        <v>5</v>
      </c>
      <c r="DE171" s="173">
        <v>6</v>
      </c>
      <c r="DF171" s="173">
        <v>7</v>
      </c>
      <c r="DG171" s="173">
        <v>8</v>
      </c>
      <c r="DH171" s="173">
        <v>9</v>
      </c>
      <c r="DI171" s="173">
        <v>10</v>
      </c>
      <c r="DJ171" s="173">
        <v>11</v>
      </c>
      <c r="DK171" s="173"/>
      <c r="DL171" s="173"/>
      <c r="DM171" s="173"/>
      <c r="DN171" s="173"/>
      <c r="DO171" s="173"/>
      <c r="DP171" s="173"/>
      <c r="DQ171" s="173"/>
      <c r="DR171" s="26" t="s">
        <v>13</v>
      </c>
      <c r="DS171" s="413"/>
      <c r="DT171" s="413"/>
      <c r="DU171" s="422"/>
      <c r="DV171" s="413"/>
      <c r="DW171" s="413"/>
      <c r="DX171" s="413"/>
      <c r="DY171" s="395"/>
      <c r="DZ171" s="395"/>
      <c r="EA171" s="395"/>
      <c r="EB171" s="395"/>
      <c r="EC171" s="395"/>
      <c r="ED171" s="395"/>
      <c r="EE171" s="395"/>
      <c r="EF171" s="395"/>
      <c r="EG171" s="395"/>
      <c r="EH171" s="395"/>
      <c r="EI171" s="395"/>
    </row>
    <row r="172" spans="1:157" s="305" customFormat="1" ht="24.75" customHeight="1" thickBot="1" x14ac:dyDescent="0.25">
      <c r="A172" s="294"/>
      <c r="B172" s="157" t="s">
        <v>369</v>
      </c>
      <c r="C172" s="295" t="s">
        <v>290</v>
      </c>
      <c r="D172" s="551">
        <f>50*12</f>
        <v>600</v>
      </c>
      <c r="E172" s="993">
        <v>150</v>
      </c>
      <c r="F172" s="1207">
        <v>200</v>
      </c>
      <c r="G172" s="398"/>
      <c r="H172" s="297"/>
      <c r="I172" s="464"/>
      <c r="J172" s="297"/>
      <c r="K172" s="297"/>
      <c r="L172" s="297"/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8">
        <f>SUM(E172:P172)</f>
        <v>350</v>
      </c>
      <c r="X172" s="146" t="s">
        <v>115</v>
      </c>
      <c r="Y172" s="324">
        <v>16800</v>
      </c>
      <c r="Z172" s="1000">
        <v>16800</v>
      </c>
      <c r="AA172" s="1214">
        <v>16800</v>
      </c>
      <c r="AB172" s="254"/>
      <c r="AC172" s="254"/>
      <c r="AD172" s="254"/>
      <c r="AE172" s="441"/>
      <c r="AF172" s="254"/>
      <c r="AG172" s="254"/>
      <c r="AH172" s="254"/>
      <c r="AI172" s="254"/>
      <c r="AJ172" s="254"/>
      <c r="AK172" s="254"/>
      <c r="AL172" s="1182"/>
      <c r="AM172" s="1182"/>
      <c r="AN172" s="1182"/>
      <c r="AO172" s="1182"/>
      <c r="AP172" s="1182"/>
      <c r="AQ172" s="1182"/>
      <c r="AR172" s="271">
        <f>SUM(W172*Y172)</f>
        <v>5880000</v>
      </c>
      <c r="AS172" s="1352">
        <f t="shared" ref="AS172:BD172" si="432">Z172*E172</f>
        <v>2520000</v>
      </c>
      <c r="AT172" s="1213">
        <f t="shared" si="432"/>
        <v>3360000</v>
      </c>
      <c r="AU172" s="272">
        <f t="shared" si="432"/>
        <v>0</v>
      </c>
      <c r="AV172" s="272">
        <f t="shared" si="432"/>
        <v>0</v>
      </c>
      <c r="AW172" s="402">
        <f t="shared" si="432"/>
        <v>0</v>
      </c>
      <c r="AX172" s="272">
        <f t="shared" si="432"/>
        <v>0</v>
      </c>
      <c r="AY172" s="272">
        <f t="shared" si="432"/>
        <v>0</v>
      </c>
      <c r="AZ172" s="272">
        <f t="shared" si="432"/>
        <v>0</v>
      </c>
      <c r="BA172" s="272">
        <f t="shared" si="432"/>
        <v>0</v>
      </c>
      <c r="BB172" s="272">
        <f t="shared" si="432"/>
        <v>0</v>
      </c>
      <c r="BC172" s="272">
        <f t="shared" si="432"/>
        <v>0</v>
      </c>
      <c r="BD172" s="272">
        <f t="shared" si="432"/>
        <v>0</v>
      </c>
      <c r="BE172" s="272"/>
      <c r="BF172" s="272"/>
      <c r="BG172" s="272"/>
      <c r="BH172" s="272"/>
      <c r="BI172" s="272"/>
      <c r="BJ172" s="272"/>
      <c r="BK172" s="273">
        <f>SUM(AS172:BD172)</f>
        <v>5880000</v>
      </c>
      <c r="BL172" s="272"/>
      <c r="BM172" s="272"/>
      <c r="BN172" s="272"/>
      <c r="BO172" s="1331"/>
      <c r="BP172" s="272"/>
      <c r="BQ172" s="272"/>
      <c r="BR172" s="272"/>
      <c r="BS172" s="272"/>
      <c r="BT172" s="272"/>
      <c r="BU172" s="272"/>
      <c r="BV172" s="272"/>
      <c r="BW172" s="272"/>
      <c r="BX172" s="299">
        <f>SUM(BL172:BW172)</f>
        <v>0</v>
      </c>
      <c r="BY172" s="300">
        <f>AR172-BK172-BX172</f>
        <v>0</v>
      </c>
      <c r="BZ172" s="301">
        <f>Y172*D172</f>
        <v>10080000</v>
      </c>
      <c r="CA172" s="302">
        <f>BZ172-BK172-BX172</f>
        <v>4200000</v>
      </c>
      <c r="CB172" s="276">
        <f>SUM(W172/D172)</f>
        <v>0.58333333333333337</v>
      </c>
      <c r="CC172" s="1081"/>
      <c r="CD172" s="1081"/>
      <c r="CE172" s="1083"/>
      <c r="CF172" s="1084"/>
      <c r="CG172" s="862"/>
      <c r="CH172" s="862"/>
      <c r="CI172" s="862"/>
      <c r="CJ172" s="862"/>
      <c r="CK172" s="862"/>
      <c r="CL172" s="862"/>
      <c r="CM172" s="862"/>
      <c r="CN172" s="862"/>
      <c r="CO172" s="1081">
        <f t="shared" ref="CO172:CO173" si="433">SUM(AZ172*12.5%)</f>
        <v>0</v>
      </c>
      <c r="CP172" s="862"/>
      <c r="CQ172" s="862"/>
      <c r="CR172" s="862"/>
      <c r="CS172" s="862"/>
      <c r="CT172" s="862"/>
      <c r="CU172" s="862"/>
      <c r="CV172" s="862"/>
      <c r="CW172" s="862"/>
      <c r="CX172" s="862"/>
      <c r="CY172" s="73">
        <f>SUM(CG172:CX172)</f>
        <v>0</v>
      </c>
      <c r="CZ172" s="862"/>
      <c r="DA172" s="862"/>
      <c r="DB172" s="862"/>
      <c r="DC172" s="862"/>
      <c r="DD172" s="862"/>
      <c r="DE172" s="862"/>
      <c r="DF172" s="862"/>
      <c r="DG172" s="862"/>
      <c r="DH172" s="1081"/>
      <c r="DI172" s="862"/>
      <c r="DJ172" s="862"/>
      <c r="DK172" s="862"/>
      <c r="DL172" s="862"/>
      <c r="DM172" s="862"/>
      <c r="DN172" s="862"/>
      <c r="DO172" s="862"/>
      <c r="DP172" s="862"/>
      <c r="DQ172" s="862"/>
      <c r="DR172" s="73">
        <f>SUM(CZ172:DQ172)</f>
        <v>0</v>
      </c>
      <c r="DS172" s="303"/>
      <c r="DT172" s="303"/>
      <c r="DU172" s="423"/>
      <c r="DV172" s="303"/>
      <c r="DW172" s="303"/>
      <c r="DX172" s="303"/>
      <c r="DY172" s="304"/>
      <c r="DZ172" s="304"/>
      <c r="EA172" s="304"/>
      <c r="EB172" s="304"/>
      <c r="EC172" s="304"/>
      <c r="ED172" s="304"/>
      <c r="EE172" s="304"/>
      <c r="EF172" s="304"/>
      <c r="EG172" s="304"/>
      <c r="EH172" s="304"/>
      <c r="EI172" s="304"/>
    </row>
    <row r="173" spans="1:157" s="282" customFormat="1" ht="24.75" customHeight="1" thickBot="1" x14ac:dyDescent="0.25">
      <c r="A173" s="577">
        <v>8</v>
      </c>
      <c r="B173" s="308" t="s">
        <v>4</v>
      </c>
      <c r="C173" s="308"/>
      <c r="D173" s="309"/>
      <c r="E173" s="465"/>
      <c r="F173" s="310"/>
      <c r="G173" s="399"/>
      <c r="H173" s="310"/>
      <c r="I173" s="465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1"/>
      <c r="X173" s="312"/>
      <c r="Y173" s="313"/>
      <c r="Z173" s="997"/>
      <c r="AA173" s="314"/>
      <c r="AB173" s="314"/>
      <c r="AC173" s="314"/>
      <c r="AD173" s="314"/>
      <c r="AE173" s="989"/>
      <c r="AF173" s="314"/>
      <c r="AG173" s="314"/>
      <c r="AH173" s="314"/>
      <c r="AI173" s="314"/>
      <c r="AJ173" s="314"/>
      <c r="AK173" s="314"/>
      <c r="AL173" s="314"/>
      <c r="AM173" s="314"/>
      <c r="AN173" s="314"/>
      <c r="AO173" s="314"/>
      <c r="AP173" s="314"/>
      <c r="AQ173" s="314"/>
      <c r="AR173" s="315">
        <f>SUM(AR172:AR172)</f>
        <v>5880000</v>
      </c>
      <c r="AS173" s="1353">
        <f>SUM(AS172:AS172)</f>
        <v>2520000</v>
      </c>
      <c r="AT173" s="315">
        <f>SUM(AT172:AT172)</f>
        <v>3360000</v>
      </c>
      <c r="AU173" s="315">
        <f>SUM(AU172:AU172)</f>
        <v>0</v>
      </c>
      <c r="AV173" s="315">
        <f t="shared" ref="AV173:BD173" si="434">SUM(AV172:AV172)</f>
        <v>0</v>
      </c>
      <c r="AW173" s="430">
        <f t="shared" si="434"/>
        <v>0</v>
      </c>
      <c r="AX173" s="315">
        <f t="shared" si="434"/>
        <v>0</v>
      </c>
      <c r="AY173" s="315">
        <f t="shared" si="434"/>
        <v>0</v>
      </c>
      <c r="AZ173" s="315">
        <f t="shared" si="434"/>
        <v>0</v>
      </c>
      <c r="BA173" s="315">
        <f t="shared" si="434"/>
        <v>0</v>
      </c>
      <c r="BB173" s="315">
        <f t="shared" si="434"/>
        <v>0</v>
      </c>
      <c r="BC173" s="315">
        <f t="shared" si="434"/>
        <v>0</v>
      </c>
      <c r="BD173" s="315">
        <f t="shared" si="434"/>
        <v>0</v>
      </c>
      <c r="BE173" s="315"/>
      <c r="BF173" s="315"/>
      <c r="BG173" s="315"/>
      <c r="BH173" s="315"/>
      <c r="BI173" s="315"/>
      <c r="BJ173" s="315"/>
      <c r="BK173" s="315">
        <f>SUM(BK172:BK172)</f>
        <v>5880000</v>
      </c>
      <c r="BL173" s="315">
        <f>SUM(BL172:BL172)</f>
        <v>0</v>
      </c>
      <c r="BM173" s="315">
        <f>SUM(BM172:BM172)</f>
        <v>0</v>
      </c>
      <c r="BN173" s="315">
        <f>SUM(BN172:BN172)</f>
        <v>0</v>
      </c>
      <c r="BO173" s="1337">
        <f t="shared" ref="BO173:BW173" si="435">SUM(BO172:BO172)</f>
        <v>0</v>
      </c>
      <c r="BP173" s="315">
        <f t="shared" si="435"/>
        <v>0</v>
      </c>
      <c r="BQ173" s="315">
        <f t="shared" si="435"/>
        <v>0</v>
      </c>
      <c r="BR173" s="315">
        <f t="shared" si="435"/>
        <v>0</v>
      </c>
      <c r="BS173" s="315">
        <f t="shared" si="435"/>
        <v>0</v>
      </c>
      <c r="BT173" s="315">
        <f t="shared" si="435"/>
        <v>0</v>
      </c>
      <c r="BU173" s="315">
        <f t="shared" si="435"/>
        <v>0</v>
      </c>
      <c r="BV173" s="315">
        <f t="shared" si="435"/>
        <v>0</v>
      </c>
      <c r="BW173" s="315">
        <f t="shared" si="435"/>
        <v>0</v>
      </c>
      <c r="BX173" s="315">
        <f>SUM(BX172:BX172)</f>
        <v>0</v>
      </c>
      <c r="BY173" s="316">
        <f>AR173-BK173-BX173</f>
        <v>0</v>
      </c>
      <c r="BZ173" s="315">
        <f>SUM(BZ172:BZ172)</f>
        <v>10080000</v>
      </c>
      <c r="CA173" s="315">
        <f>SUM(CA172:CA172)</f>
        <v>4200000</v>
      </c>
      <c r="CB173" s="279">
        <v>1</v>
      </c>
      <c r="CC173" s="1081"/>
      <c r="CD173" s="1081"/>
      <c r="CE173" s="1083"/>
      <c r="CF173" s="1084"/>
      <c r="CG173" s="862"/>
      <c r="CH173" s="862"/>
      <c r="CI173" s="862"/>
      <c r="CJ173" s="862"/>
      <c r="CK173" s="862"/>
      <c r="CL173" s="862"/>
      <c r="CM173" s="862"/>
      <c r="CN173" s="862"/>
      <c r="CO173" s="1081">
        <f t="shared" si="433"/>
        <v>0</v>
      </c>
      <c r="CP173" s="862"/>
      <c r="CQ173" s="862"/>
      <c r="CR173" s="862"/>
      <c r="CS173" s="862"/>
      <c r="CT173" s="862"/>
      <c r="CU173" s="862"/>
      <c r="CV173" s="862"/>
      <c r="CW173" s="862"/>
      <c r="CX173" s="862"/>
      <c r="CY173" s="73">
        <f>SUM(CG173:CX173)</f>
        <v>0</v>
      </c>
      <c r="CZ173" s="862"/>
      <c r="DA173" s="862"/>
      <c r="DB173" s="862"/>
      <c r="DC173" s="862"/>
      <c r="DD173" s="862"/>
      <c r="DE173" s="862"/>
      <c r="DF173" s="862"/>
      <c r="DG173" s="862"/>
      <c r="DH173" s="1081"/>
      <c r="DI173" s="862"/>
      <c r="DJ173" s="862"/>
      <c r="DK173" s="862"/>
      <c r="DL173" s="862"/>
      <c r="DM173" s="862"/>
      <c r="DN173" s="862"/>
      <c r="DO173" s="862"/>
      <c r="DP173" s="862"/>
      <c r="DQ173" s="862"/>
      <c r="DR173" s="73">
        <f>SUM(CZ173:DQ173)</f>
        <v>0</v>
      </c>
      <c r="DS173" s="317"/>
      <c r="DT173" s="317"/>
      <c r="DU173" s="425"/>
      <c r="DV173" s="317"/>
      <c r="DW173" s="317"/>
      <c r="DX173" s="317"/>
      <c r="DY173" s="318"/>
      <c r="DZ173" s="318"/>
      <c r="EA173" s="318"/>
      <c r="EB173" s="318"/>
      <c r="EC173" s="318"/>
      <c r="ED173" s="318"/>
      <c r="EE173" s="318"/>
      <c r="EF173" s="318"/>
      <c r="EG173" s="318"/>
      <c r="EH173" s="318"/>
      <c r="EI173" s="318"/>
    </row>
    <row r="174" spans="1:157" s="262" customFormat="1" ht="24.75" customHeight="1" x14ac:dyDescent="0.2">
      <c r="A174" s="283"/>
      <c r="D174" s="283"/>
      <c r="E174" s="463"/>
      <c r="F174" s="283"/>
      <c r="G174" s="397"/>
      <c r="H174" s="283"/>
      <c r="I174" s="46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Z174" s="998"/>
      <c r="AS174" s="1354"/>
      <c r="BK174" s="291"/>
      <c r="BO174" s="1361"/>
      <c r="BX174" s="319">
        <f>SUM(BK173+BX173)</f>
        <v>5880000</v>
      </c>
      <c r="BY174" s="284">
        <f>AR173-BK173-BX173</f>
        <v>0</v>
      </c>
      <c r="BZ174" s="320">
        <f>SUM(CA173+BK173+BX173)</f>
        <v>10080000</v>
      </c>
      <c r="CA174" s="285">
        <f>SUM(BY173)</f>
        <v>0</v>
      </c>
      <c r="CB174" s="280" t="s">
        <v>38</v>
      </c>
      <c r="CC174" s="1011"/>
      <c r="CD174" s="1012"/>
      <c r="CE174" s="260"/>
      <c r="CF174" s="409"/>
      <c r="CG174" s="417"/>
      <c r="CH174" s="409"/>
      <c r="CI174" s="409"/>
      <c r="CJ174" s="409"/>
      <c r="CK174" s="417"/>
      <c r="CL174" s="409"/>
      <c r="CM174" s="409"/>
      <c r="CN174" s="409"/>
      <c r="CO174" s="417"/>
      <c r="CP174" s="409"/>
      <c r="CQ174" s="409"/>
      <c r="CR174" s="409"/>
      <c r="CS174" s="409"/>
      <c r="CT174" s="409"/>
      <c r="CU174" s="409"/>
      <c r="CV174" s="409"/>
      <c r="CW174" s="409"/>
      <c r="CX174" s="409"/>
      <c r="CY174" s="417"/>
      <c r="CZ174" s="409"/>
      <c r="DA174" s="409"/>
      <c r="DB174" s="409"/>
      <c r="DC174" s="417"/>
      <c r="DD174" s="409"/>
      <c r="DE174" s="409"/>
      <c r="DF174" s="409"/>
      <c r="DG174" s="417"/>
      <c r="DH174" s="409"/>
      <c r="DI174" s="409"/>
      <c r="DJ174" s="409"/>
      <c r="DK174" s="409"/>
      <c r="DL174" s="409"/>
      <c r="DM174" s="409"/>
      <c r="DN174" s="409"/>
      <c r="DO174" s="409"/>
      <c r="DP174" s="409"/>
      <c r="DQ174" s="409"/>
      <c r="DR174" s="409"/>
      <c r="DS174" s="409"/>
      <c r="DT174" s="409"/>
      <c r="DU174" s="417"/>
      <c r="DV174" s="409"/>
      <c r="DW174" s="409"/>
      <c r="DX174" s="409"/>
      <c r="DY174" s="260"/>
      <c r="DZ174" s="260"/>
      <c r="EA174" s="260"/>
      <c r="EB174" s="260"/>
      <c r="EC174" s="260"/>
      <c r="ED174" s="260"/>
      <c r="EE174" s="260"/>
      <c r="EF174" s="260"/>
      <c r="EG174" s="260"/>
      <c r="EH174" s="260"/>
      <c r="EI174" s="260"/>
      <c r="EJ174" s="260"/>
    </row>
    <row r="175" spans="1:157" s="262" customFormat="1" ht="24.75" customHeight="1" x14ac:dyDescent="0.2">
      <c r="A175" s="283"/>
      <c r="D175" s="283"/>
      <c r="E175" s="463"/>
      <c r="F175" s="283"/>
      <c r="G175" s="397"/>
      <c r="H175" s="283"/>
      <c r="I175" s="46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Z175" s="998"/>
      <c r="AS175" s="1354"/>
      <c r="BK175" s="280"/>
      <c r="BL175" s="388">
        <f>SUM(AS173+BL173)</f>
        <v>2520000</v>
      </c>
      <c r="BM175" s="388">
        <f t="shared" ref="BM175" si="436">SUM(AT173+BM173)</f>
        <v>3360000</v>
      </c>
      <c r="BN175" s="388">
        <f t="shared" ref="BN175" si="437">SUM(AU173+BN173)</f>
        <v>0</v>
      </c>
      <c r="BO175" s="1362">
        <f t="shared" ref="BO175" si="438">SUM(AV173+BO173)</f>
        <v>0</v>
      </c>
      <c r="BP175" s="388">
        <f t="shared" ref="BP175" si="439">SUM(AW173+BP173)</f>
        <v>0</v>
      </c>
      <c r="BQ175" s="388">
        <f t="shared" ref="BQ175" si="440">SUM(AX173+BQ173)</f>
        <v>0</v>
      </c>
      <c r="BR175" s="388">
        <f t="shared" ref="BR175" si="441">SUM(AY173+BR173)</f>
        <v>0</v>
      </c>
      <c r="BS175" s="388">
        <f t="shared" ref="BS175" si="442">SUM(AZ173+BS173)</f>
        <v>0</v>
      </c>
      <c r="BT175" s="388">
        <f t="shared" ref="BT175" si="443">SUM(BA173+BT173)</f>
        <v>0</v>
      </c>
      <c r="BU175" s="388">
        <f t="shared" ref="BU175" si="444">SUM(BB173+BU173)</f>
        <v>0</v>
      </c>
      <c r="BV175" s="388">
        <f t="shared" ref="BV175" si="445">SUM(BC173+BV173)</f>
        <v>0</v>
      </c>
      <c r="BW175" s="388">
        <f t="shared" ref="BW175" si="446">SUM(BD173+BW173)</f>
        <v>0</v>
      </c>
      <c r="BX175" s="388">
        <f>SUM(BL175:BW175)</f>
        <v>5880000</v>
      </c>
      <c r="BY175" s="280"/>
      <c r="BZ175" s="286"/>
      <c r="CA175" s="287">
        <f>SUM(CA173-CA174)</f>
        <v>4200000</v>
      </c>
      <c r="CB175" s="280" t="s">
        <v>37</v>
      </c>
      <c r="CC175" s="1011"/>
      <c r="CD175" s="1012"/>
      <c r="CE175" s="260"/>
      <c r="CF175" s="409"/>
      <c r="CG175" s="417"/>
      <c r="CH175" s="409"/>
      <c r="CI175" s="409"/>
      <c r="CJ175" s="409"/>
      <c r="CK175" s="417"/>
      <c r="CL175" s="409"/>
      <c r="CM175" s="409"/>
      <c r="CN175" s="409"/>
      <c r="CO175" s="417"/>
      <c r="CP175" s="409"/>
      <c r="CQ175" s="409"/>
      <c r="CR175" s="409"/>
      <c r="CS175" s="409"/>
      <c r="CT175" s="409"/>
      <c r="CU175" s="409"/>
      <c r="CV175" s="409"/>
      <c r="CW175" s="409"/>
      <c r="CX175" s="409"/>
      <c r="CY175" s="417"/>
      <c r="CZ175" s="409"/>
      <c r="DA175" s="409"/>
      <c r="DB175" s="409"/>
      <c r="DC175" s="417"/>
      <c r="DD175" s="409"/>
      <c r="DE175" s="409"/>
      <c r="DF175" s="409"/>
      <c r="DG175" s="417"/>
      <c r="DH175" s="409"/>
      <c r="DI175" s="409"/>
      <c r="DJ175" s="409"/>
      <c r="DK175" s="409"/>
      <c r="DL175" s="409"/>
      <c r="DM175" s="409"/>
      <c r="DN175" s="409"/>
      <c r="DO175" s="409"/>
      <c r="DP175" s="409"/>
      <c r="DQ175" s="409"/>
      <c r="DR175" s="409"/>
      <c r="DS175" s="409"/>
      <c r="DT175" s="409"/>
      <c r="DU175" s="417"/>
      <c r="DV175" s="409"/>
      <c r="DW175" s="409"/>
      <c r="DX175" s="409"/>
      <c r="DY175" s="260"/>
      <c r="DZ175" s="260"/>
      <c r="EA175" s="260"/>
      <c r="EB175" s="260"/>
      <c r="EC175" s="260"/>
      <c r="ED175" s="260"/>
      <c r="EE175" s="260"/>
      <c r="EF175" s="260"/>
      <c r="EG175" s="260"/>
      <c r="EH175" s="260"/>
      <c r="EI175" s="260"/>
      <c r="EJ175" s="260"/>
    </row>
    <row r="176" spans="1:157" s="262" customFormat="1" ht="24.75" customHeight="1" x14ac:dyDescent="0.2">
      <c r="A176" s="1754" t="s">
        <v>8</v>
      </c>
      <c r="B176" s="1755"/>
      <c r="C176" s="244" t="s">
        <v>152</v>
      </c>
      <c r="D176" s="245"/>
      <c r="E176" s="462"/>
      <c r="F176" s="245"/>
      <c r="G176" s="292"/>
      <c r="H176" s="245"/>
      <c r="I176" s="462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994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245"/>
      <c r="AS176" s="1350"/>
      <c r="AT176" s="246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7"/>
      <c r="BL176" s="246"/>
      <c r="BM176" s="246"/>
      <c r="BN176" s="246"/>
      <c r="BO176" s="1359"/>
      <c r="BP176" s="246"/>
      <c r="BQ176" s="246"/>
      <c r="BR176" s="246"/>
      <c r="BS176" s="246"/>
      <c r="BT176" s="246"/>
      <c r="BU176" s="246"/>
      <c r="BV176" s="246"/>
      <c r="BW176" s="246"/>
      <c r="BX176" s="247"/>
      <c r="BY176" s="247"/>
      <c r="BZ176" s="243"/>
      <c r="CA176" s="248"/>
      <c r="CB176" s="245"/>
      <c r="CC176" s="1008"/>
      <c r="CD176" s="1008"/>
      <c r="CE176" s="246"/>
      <c r="CF176" s="292"/>
      <c r="CG176" s="418"/>
      <c r="CH176" s="292"/>
      <c r="CI176" s="249"/>
      <c r="CJ176" s="292"/>
      <c r="CK176" s="418"/>
      <c r="CL176" s="292"/>
      <c r="CM176" s="249"/>
      <c r="CN176" s="292"/>
      <c r="CO176" s="418"/>
      <c r="CP176" s="292"/>
      <c r="CQ176" s="249"/>
      <c r="CR176" s="249"/>
      <c r="CS176" s="249"/>
      <c r="CT176" s="249"/>
      <c r="CU176" s="249"/>
      <c r="CV176" s="249"/>
      <c r="CW176" s="249"/>
      <c r="CX176" s="249"/>
      <c r="CY176" s="418"/>
      <c r="CZ176" s="292"/>
      <c r="DA176" s="249"/>
      <c r="DB176" s="292"/>
      <c r="DC176" s="418"/>
      <c r="DD176" s="292"/>
      <c r="DE176" s="249"/>
      <c r="DF176" s="292"/>
      <c r="DG176" s="418"/>
      <c r="DH176" s="292"/>
      <c r="DI176" s="249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49"/>
      <c r="DT176" s="292"/>
      <c r="DU176" s="418"/>
      <c r="DV176" s="292"/>
      <c r="DW176" s="249"/>
      <c r="DX176" s="292"/>
      <c r="DY176" s="246"/>
      <c r="DZ176" s="246"/>
      <c r="EA176" s="246"/>
      <c r="EB176" s="246"/>
      <c r="EC176" s="247"/>
      <c r="ED176" s="247"/>
      <c r="EE176" s="247"/>
      <c r="EF176" s="243"/>
      <c r="EG176" s="248"/>
      <c r="EH176" s="247"/>
      <c r="EI176" s="247"/>
      <c r="EJ176" s="260"/>
      <c r="EK176" s="260"/>
      <c r="EL176" s="260"/>
      <c r="EM176" s="260"/>
      <c r="EN176" s="260"/>
      <c r="EO176" s="261"/>
      <c r="EP176" s="260"/>
      <c r="EQ176" s="260"/>
      <c r="ER176" s="260"/>
      <c r="ES176" s="260"/>
      <c r="ET176" s="260"/>
      <c r="EU176" s="260"/>
      <c r="EV176" s="260"/>
      <c r="EW176" s="260"/>
      <c r="EX176" s="260"/>
      <c r="EY176" s="260"/>
      <c r="EZ176" s="260"/>
      <c r="FA176" s="260"/>
    </row>
    <row r="177" spans="1:139" s="264" customFormat="1" ht="48.75" customHeight="1" x14ac:dyDescent="0.2">
      <c r="A177" s="1756" t="s">
        <v>10</v>
      </c>
      <c r="B177" s="1759" t="s">
        <v>11</v>
      </c>
      <c r="C177" s="1759" t="s">
        <v>22</v>
      </c>
      <c r="D177" s="1762" t="s">
        <v>12</v>
      </c>
      <c r="E177" s="1762"/>
      <c r="F177" s="1762"/>
      <c r="G177" s="1762"/>
      <c r="H177" s="1762"/>
      <c r="I177" s="1762"/>
      <c r="J177" s="1762"/>
      <c r="K177" s="1762"/>
      <c r="L177" s="1762"/>
      <c r="M177" s="1762"/>
      <c r="N177" s="1762"/>
      <c r="O177" s="1762"/>
      <c r="P177" s="1762"/>
      <c r="Q177" s="1762"/>
      <c r="R177" s="1762"/>
      <c r="S177" s="1762"/>
      <c r="T177" s="1762"/>
      <c r="U177" s="1762"/>
      <c r="V177" s="1762"/>
      <c r="W177" s="1762"/>
      <c r="X177" s="1759" t="s">
        <v>20</v>
      </c>
      <c r="Y177" s="1763" t="s">
        <v>17</v>
      </c>
      <c r="Z177" s="1764"/>
      <c r="AA177" s="1764"/>
      <c r="AB177" s="1764"/>
      <c r="AC177" s="1764"/>
      <c r="AD177" s="1764"/>
      <c r="AE177" s="1764"/>
      <c r="AF177" s="1764"/>
      <c r="AG177" s="1764"/>
      <c r="AH177" s="1764"/>
      <c r="AI177" s="1764"/>
      <c r="AJ177" s="1764"/>
      <c r="AK177" s="1764"/>
      <c r="AL177" s="1178"/>
      <c r="AM177" s="1178"/>
      <c r="AN177" s="1178"/>
      <c r="AO177" s="1178"/>
      <c r="AP177" s="1178"/>
      <c r="AQ177" s="1178"/>
      <c r="AR177" s="1766" t="s">
        <v>6</v>
      </c>
      <c r="AS177" s="1766"/>
      <c r="AT177" s="1766"/>
      <c r="AU177" s="1766"/>
      <c r="AV177" s="1766"/>
      <c r="AW177" s="1766"/>
      <c r="AX177" s="1766"/>
      <c r="AY177" s="1766"/>
      <c r="AZ177" s="1766"/>
      <c r="BA177" s="1766"/>
      <c r="BB177" s="1766"/>
      <c r="BC177" s="1766"/>
      <c r="BD177" s="1766"/>
      <c r="BE177" s="1766"/>
      <c r="BF177" s="1766"/>
      <c r="BG177" s="1766"/>
      <c r="BH177" s="1766"/>
      <c r="BI177" s="1766"/>
      <c r="BJ177" s="1766"/>
      <c r="BK177" s="1766"/>
      <c r="BL177" s="1767" t="s">
        <v>41</v>
      </c>
      <c r="BM177" s="1768"/>
      <c r="BN177" s="1768"/>
      <c r="BO177" s="1768"/>
      <c r="BP177" s="1768"/>
      <c r="BQ177" s="1768"/>
      <c r="BR177" s="1768"/>
      <c r="BS177" s="1768"/>
      <c r="BT177" s="1768"/>
      <c r="BU177" s="1768"/>
      <c r="BV177" s="1768"/>
      <c r="BW177" s="1768"/>
      <c r="BX177" s="1769"/>
      <c r="BY177" s="1759" t="s">
        <v>38</v>
      </c>
      <c r="BZ177" s="1759" t="s">
        <v>256</v>
      </c>
      <c r="CA177" s="1746" t="s">
        <v>39</v>
      </c>
      <c r="CB177" s="243"/>
      <c r="CC177" s="135"/>
      <c r="CD177" s="135"/>
      <c r="CE177" s="135"/>
      <c r="CF177" s="135"/>
      <c r="CG177" s="1733" t="s">
        <v>41</v>
      </c>
      <c r="CH177" s="1734"/>
      <c r="CI177" s="1734"/>
      <c r="CJ177" s="1734"/>
      <c r="CK177" s="1734"/>
      <c r="CL177" s="1734"/>
      <c r="CM177" s="1734"/>
      <c r="CN177" s="1734"/>
      <c r="CO177" s="1734"/>
      <c r="CP177" s="1734"/>
      <c r="CQ177" s="1734"/>
      <c r="CR177" s="1734"/>
      <c r="CS177" s="1734"/>
      <c r="CT177" s="1734"/>
      <c r="CU177" s="1734"/>
      <c r="CV177" s="1734"/>
      <c r="CW177" s="1734"/>
      <c r="CX177" s="1734"/>
      <c r="CY177" s="1734"/>
      <c r="CZ177" s="1734"/>
      <c r="DA177" s="1734"/>
      <c r="DB177" s="1734"/>
      <c r="DC177" s="1734"/>
      <c r="DD177" s="1734"/>
      <c r="DE177" s="1734"/>
      <c r="DF177" s="1734"/>
      <c r="DG177" s="1734"/>
      <c r="DH177" s="1734"/>
      <c r="DI177" s="1734"/>
      <c r="DJ177" s="1734"/>
      <c r="DK177" s="1734"/>
      <c r="DL177" s="1734"/>
      <c r="DM177" s="1734"/>
      <c r="DN177" s="1734"/>
      <c r="DO177" s="1734"/>
      <c r="DP177" s="1734"/>
      <c r="DQ177" s="1734"/>
      <c r="DR177" s="1735"/>
      <c r="DS177" s="292"/>
      <c r="DT177" s="292"/>
      <c r="DU177" s="418"/>
      <c r="DV177" s="292"/>
      <c r="DW177" s="292"/>
      <c r="DX177" s="292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63"/>
      <c r="EI177" s="263"/>
    </row>
    <row r="178" spans="1:139" s="264" customFormat="1" ht="48.75" customHeight="1" x14ac:dyDescent="0.2">
      <c r="A178" s="1757"/>
      <c r="B178" s="1760"/>
      <c r="C178" s="1760"/>
      <c r="D178" s="1749" t="s">
        <v>18</v>
      </c>
      <c r="E178" s="1751" t="s">
        <v>19</v>
      </c>
      <c r="F178" s="1752"/>
      <c r="G178" s="1752"/>
      <c r="H178" s="1752"/>
      <c r="I178" s="1752"/>
      <c r="J178" s="1752"/>
      <c r="K178" s="1752"/>
      <c r="L178" s="1752"/>
      <c r="M178" s="1752"/>
      <c r="N178" s="1752"/>
      <c r="O178" s="1752"/>
      <c r="P178" s="1752"/>
      <c r="Q178" s="1752"/>
      <c r="R178" s="1752"/>
      <c r="S178" s="1752"/>
      <c r="T178" s="1752"/>
      <c r="U178" s="1752"/>
      <c r="V178" s="1752"/>
      <c r="W178" s="1752"/>
      <c r="X178" s="1760"/>
      <c r="Y178" s="1749" t="s">
        <v>18</v>
      </c>
      <c r="Z178" s="1751" t="s">
        <v>19</v>
      </c>
      <c r="AA178" s="1752"/>
      <c r="AB178" s="1752"/>
      <c r="AC178" s="1752"/>
      <c r="AD178" s="1752"/>
      <c r="AE178" s="1752"/>
      <c r="AF178" s="1752"/>
      <c r="AG178" s="1752"/>
      <c r="AH178" s="1752"/>
      <c r="AI178" s="1752"/>
      <c r="AJ178" s="1752"/>
      <c r="AK178" s="1752"/>
      <c r="AL178" s="1179"/>
      <c r="AM178" s="1179"/>
      <c r="AN178" s="1179"/>
      <c r="AO178" s="1179"/>
      <c r="AP178" s="1179"/>
      <c r="AQ178" s="1179"/>
      <c r="AR178" s="1749" t="s">
        <v>18</v>
      </c>
      <c r="AS178" s="1751" t="s">
        <v>19</v>
      </c>
      <c r="AT178" s="1752"/>
      <c r="AU178" s="1752"/>
      <c r="AV178" s="1752"/>
      <c r="AW178" s="1752"/>
      <c r="AX178" s="1752"/>
      <c r="AY178" s="1752"/>
      <c r="AZ178" s="1752"/>
      <c r="BA178" s="1752"/>
      <c r="BB178" s="1752"/>
      <c r="BC178" s="1752"/>
      <c r="BD178" s="1752"/>
      <c r="BE178" s="1752"/>
      <c r="BF178" s="1752"/>
      <c r="BG178" s="1752"/>
      <c r="BH178" s="1752"/>
      <c r="BI178" s="1752"/>
      <c r="BJ178" s="1752"/>
      <c r="BK178" s="1753"/>
      <c r="BL178" s="1770"/>
      <c r="BM178" s="1771"/>
      <c r="BN178" s="1771"/>
      <c r="BO178" s="1771"/>
      <c r="BP178" s="1771"/>
      <c r="BQ178" s="1771"/>
      <c r="BR178" s="1771"/>
      <c r="BS178" s="1771"/>
      <c r="BT178" s="1771"/>
      <c r="BU178" s="1771"/>
      <c r="BV178" s="1771"/>
      <c r="BW178" s="1771"/>
      <c r="BX178" s="1772"/>
      <c r="BY178" s="1760"/>
      <c r="BZ178" s="1760"/>
      <c r="CA178" s="1747"/>
      <c r="CB178" s="243"/>
      <c r="CC178" s="1736">
        <f>SUM(CC180/60)</f>
        <v>0</v>
      </c>
      <c r="CD178" s="1736"/>
      <c r="CE178" s="1736"/>
      <c r="CF178" s="23"/>
      <c r="CG178" s="1737" t="s">
        <v>686</v>
      </c>
      <c r="CH178" s="1738"/>
      <c r="CI178" s="1738"/>
      <c r="CJ178" s="1738"/>
      <c r="CK178" s="1738"/>
      <c r="CL178" s="1738"/>
      <c r="CM178" s="1738"/>
      <c r="CN178" s="1738"/>
      <c r="CO178" s="1738"/>
      <c r="CP178" s="1738"/>
      <c r="CQ178" s="1738"/>
      <c r="CR178" s="1738"/>
      <c r="CS178" s="1738"/>
      <c r="CT178" s="1738"/>
      <c r="CU178" s="1738"/>
      <c r="CV178" s="1738"/>
      <c r="CW178" s="1738"/>
      <c r="CX178" s="1738"/>
      <c r="CY178" s="1739"/>
      <c r="CZ178" s="1740" t="s">
        <v>687</v>
      </c>
      <c r="DA178" s="1741"/>
      <c r="DB178" s="1741"/>
      <c r="DC178" s="1741"/>
      <c r="DD178" s="1741"/>
      <c r="DE178" s="1741"/>
      <c r="DF178" s="1741"/>
      <c r="DG178" s="1741"/>
      <c r="DH178" s="1741"/>
      <c r="DI178" s="1741"/>
      <c r="DJ178" s="1741"/>
      <c r="DK178" s="1741"/>
      <c r="DL178" s="1741"/>
      <c r="DM178" s="1741"/>
      <c r="DN178" s="1741"/>
      <c r="DO178" s="1741"/>
      <c r="DP178" s="1741"/>
      <c r="DQ178" s="1741"/>
      <c r="DR178" s="1742"/>
      <c r="DS178" s="292"/>
      <c r="DT178" s="292"/>
      <c r="DU178" s="418"/>
      <c r="DV178" s="292"/>
      <c r="DW178" s="292"/>
      <c r="DX178" s="292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63"/>
      <c r="EI178" s="263"/>
    </row>
    <row r="179" spans="1:139" s="267" customFormat="1" ht="28.5" customHeight="1" x14ac:dyDescent="0.2">
      <c r="A179" s="1758"/>
      <c r="B179" s="1761"/>
      <c r="C179" s="1761"/>
      <c r="D179" s="1750"/>
      <c r="E179" s="265">
        <v>1</v>
      </c>
      <c r="F179" s="265">
        <v>2</v>
      </c>
      <c r="G179" s="396">
        <v>3</v>
      </c>
      <c r="H179" s="265">
        <v>4</v>
      </c>
      <c r="I179" s="265">
        <v>5</v>
      </c>
      <c r="J179" s="265">
        <v>6</v>
      </c>
      <c r="K179" s="265">
        <v>7</v>
      </c>
      <c r="L179" s="265">
        <v>8</v>
      </c>
      <c r="M179" s="265">
        <v>9</v>
      </c>
      <c r="N179" s="265">
        <v>10</v>
      </c>
      <c r="O179" s="265">
        <v>11</v>
      </c>
      <c r="P179" s="265">
        <v>12</v>
      </c>
      <c r="Q179" s="265"/>
      <c r="R179" s="265"/>
      <c r="S179" s="265"/>
      <c r="T179" s="265"/>
      <c r="U179" s="265"/>
      <c r="V179" s="265"/>
      <c r="W179" s="265" t="s">
        <v>21</v>
      </c>
      <c r="X179" s="1761"/>
      <c r="Y179" s="1750"/>
      <c r="Z179" s="265">
        <v>1</v>
      </c>
      <c r="AA179" s="265">
        <v>2</v>
      </c>
      <c r="AB179" s="265">
        <v>3</v>
      </c>
      <c r="AC179" s="265">
        <v>4</v>
      </c>
      <c r="AD179" s="265">
        <v>5</v>
      </c>
      <c r="AE179" s="265">
        <v>6</v>
      </c>
      <c r="AF179" s="265">
        <v>7</v>
      </c>
      <c r="AG179" s="265">
        <v>8</v>
      </c>
      <c r="AH179" s="265">
        <v>9</v>
      </c>
      <c r="AI179" s="265">
        <v>10</v>
      </c>
      <c r="AJ179" s="265">
        <v>11</v>
      </c>
      <c r="AK179" s="265">
        <v>12</v>
      </c>
      <c r="AL179" s="266"/>
      <c r="AM179" s="266"/>
      <c r="AN179" s="266"/>
      <c r="AO179" s="266"/>
      <c r="AP179" s="266"/>
      <c r="AQ179" s="266"/>
      <c r="AR179" s="1750"/>
      <c r="AS179" s="1351">
        <v>1</v>
      </c>
      <c r="AT179" s="265">
        <v>2</v>
      </c>
      <c r="AU179" s="265">
        <v>3</v>
      </c>
      <c r="AV179" s="265">
        <v>4</v>
      </c>
      <c r="AW179" s="265">
        <v>5</v>
      </c>
      <c r="AX179" s="265">
        <v>6</v>
      </c>
      <c r="AY179" s="265">
        <v>7</v>
      </c>
      <c r="AZ179" s="265">
        <v>8</v>
      </c>
      <c r="BA179" s="265">
        <v>9</v>
      </c>
      <c r="BB179" s="265">
        <v>10</v>
      </c>
      <c r="BC179" s="265">
        <v>11</v>
      </c>
      <c r="BD179" s="265">
        <v>12</v>
      </c>
      <c r="BE179" s="265"/>
      <c r="BF179" s="265"/>
      <c r="BG179" s="265"/>
      <c r="BH179" s="265"/>
      <c r="BI179" s="265"/>
      <c r="BJ179" s="265"/>
      <c r="BK179" s="265" t="s">
        <v>13</v>
      </c>
      <c r="BL179" s="266">
        <v>1</v>
      </c>
      <c r="BM179" s="266">
        <v>2</v>
      </c>
      <c r="BN179" s="266">
        <v>3</v>
      </c>
      <c r="BO179" s="1360">
        <v>4</v>
      </c>
      <c r="BP179" s="266">
        <v>5</v>
      </c>
      <c r="BQ179" s="266">
        <v>6</v>
      </c>
      <c r="BR179" s="266">
        <v>7</v>
      </c>
      <c r="BS179" s="266">
        <v>8</v>
      </c>
      <c r="BT179" s="266">
        <v>9</v>
      </c>
      <c r="BU179" s="266">
        <v>10</v>
      </c>
      <c r="BV179" s="266">
        <v>11</v>
      </c>
      <c r="BW179" s="266">
        <v>12</v>
      </c>
      <c r="BX179" s="265" t="s">
        <v>13</v>
      </c>
      <c r="BY179" s="1761"/>
      <c r="BZ179" s="1761"/>
      <c r="CA179" s="1748"/>
      <c r="CC179" s="1743" t="s">
        <v>19</v>
      </c>
      <c r="CD179" s="1744"/>
      <c r="CE179" s="1745"/>
      <c r="CF179" s="621"/>
      <c r="CG179" s="173">
        <v>1</v>
      </c>
      <c r="CH179" s="173">
        <v>2</v>
      </c>
      <c r="CI179" s="173">
        <v>3</v>
      </c>
      <c r="CJ179" s="173">
        <v>4</v>
      </c>
      <c r="CK179" s="173">
        <v>5</v>
      </c>
      <c r="CL179" s="173">
        <v>6</v>
      </c>
      <c r="CM179" s="173">
        <v>7</v>
      </c>
      <c r="CN179" s="173">
        <v>8</v>
      </c>
      <c r="CO179" s="173">
        <v>9</v>
      </c>
      <c r="CP179" s="173">
        <v>10</v>
      </c>
      <c r="CQ179" s="173">
        <v>11</v>
      </c>
      <c r="CR179" s="173"/>
      <c r="CS179" s="173"/>
      <c r="CT179" s="173"/>
      <c r="CU179" s="173"/>
      <c r="CV179" s="173"/>
      <c r="CW179" s="173"/>
      <c r="CX179" s="173"/>
      <c r="CY179" s="26" t="s">
        <v>13</v>
      </c>
      <c r="CZ179" s="173">
        <v>1</v>
      </c>
      <c r="DA179" s="173">
        <v>2</v>
      </c>
      <c r="DB179" s="173">
        <v>3</v>
      </c>
      <c r="DC179" s="173">
        <v>4</v>
      </c>
      <c r="DD179" s="173">
        <v>5</v>
      </c>
      <c r="DE179" s="173">
        <v>6</v>
      </c>
      <c r="DF179" s="173">
        <v>7</v>
      </c>
      <c r="DG179" s="173">
        <v>8</v>
      </c>
      <c r="DH179" s="173">
        <v>9</v>
      </c>
      <c r="DI179" s="173">
        <v>10</v>
      </c>
      <c r="DJ179" s="173">
        <v>11</v>
      </c>
      <c r="DK179" s="173"/>
      <c r="DL179" s="173"/>
      <c r="DM179" s="173"/>
      <c r="DN179" s="173"/>
      <c r="DO179" s="173"/>
      <c r="DP179" s="173"/>
      <c r="DQ179" s="173"/>
      <c r="DR179" s="26" t="s">
        <v>13</v>
      </c>
      <c r="DS179" s="413"/>
      <c r="DT179" s="413"/>
      <c r="DU179" s="422"/>
      <c r="DV179" s="413"/>
      <c r="DW179" s="413"/>
      <c r="DX179" s="413"/>
      <c r="DY179" s="395"/>
      <c r="DZ179" s="395"/>
      <c r="EA179" s="395"/>
      <c r="EB179" s="395"/>
      <c r="EC179" s="395"/>
      <c r="ED179" s="395"/>
      <c r="EE179" s="395"/>
      <c r="EF179" s="395"/>
      <c r="EG179" s="395"/>
      <c r="EH179" s="395"/>
      <c r="EI179" s="395"/>
    </row>
    <row r="180" spans="1:139" s="278" customFormat="1" ht="24.75" customHeight="1" x14ac:dyDescent="0.2">
      <c r="A180" s="786">
        <v>1</v>
      </c>
      <c r="B180" s="899" t="s">
        <v>259</v>
      </c>
      <c r="C180" s="281" t="s">
        <v>128</v>
      </c>
      <c r="D180" s="573">
        <v>1</v>
      </c>
      <c r="E180" s="896"/>
      <c r="F180" s="342"/>
      <c r="G180" s="270"/>
      <c r="H180" s="342"/>
      <c r="I180" s="576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3">
        <f t="shared" ref="W180:W213" si="447">SUM(E180:P180)</f>
        <v>0</v>
      </c>
      <c r="X180" s="574" t="s">
        <v>14</v>
      </c>
      <c r="Y180" s="828">
        <v>37410360</v>
      </c>
      <c r="Z180" s="995"/>
      <c r="AA180" s="789"/>
      <c r="AB180" s="789"/>
      <c r="AC180" s="789"/>
      <c r="AD180" s="789"/>
      <c r="AE180" s="569"/>
      <c r="AF180" s="789"/>
      <c r="AG180" s="789"/>
      <c r="AH180" s="789"/>
      <c r="AI180" s="789"/>
      <c r="AJ180" s="789"/>
      <c r="AK180" s="789"/>
      <c r="AL180" s="789"/>
      <c r="AM180" s="789"/>
      <c r="AN180" s="789"/>
      <c r="AO180" s="789"/>
      <c r="AP180" s="789"/>
      <c r="AQ180" s="789"/>
      <c r="AR180" s="828">
        <v>37410360</v>
      </c>
      <c r="AS180" s="1352">
        <f t="shared" ref="AS180:BD184" si="448">Z180*E180</f>
        <v>0</v>
      </c>
      <c r="AT180" s="272">
        <f t="shared" si="448"/>
        <v>0</v>
      </c>
      <c r="AU180" s="272">
        <f t="shared" si="448"/>
        <v>0</v>
      </c>
      <c r="AV180" s="272">
        <f t="shared" si="448"/>
        <v>0</v>
      </c>
      <c r="AW180" s="272">
        <f t="shared" si="448"/>
        <v>0</v>
      </c>
      <c r="AX180" s="272">
        <f t="shared" si="448"/>
        <v>0</v>
      </c>
      <c r="AY180" s="272">
        <f t="shared" si="448"/>
        <v>0</v>
      </c>
      <c r="AZ180" s="272">
        <f t="shared" si="448"/>
        <v>0</v>
      </c>
      <c r="BA180" s="272">
        <f t="shared" si="448"/>
        <v>0</v>
      </c>
      <c r="BB180" s="272">
        <f t="shared" si="448"/>
        <v>0</v>
      </c>
      <c r="BC180" s="272">
        <f t="shared" si="448"/>
        <v>0</v>
      </c>
      <c r="BD180" s="272">
        <f t="shared" si="448"/>
        <v>0</v>
      </c>
      <c r="BE180" s="272"/>
      <c r="BF180" s="272"/>
      <c r="BG180" s="272"/>
      <c r="BH180" s="272"/>
      <c r="BI180" s="272"/>
      <c r="BJ180" s="272"/>
      <c r="BK180" s="273">
        <f t="shared" ref="BK180:BK189" si="449">SUM(AS180:BD180)</f>
        <v>0</v>
      </c>
      <c r="BL180" s="272">
        <f t="shared" ref="BL180:BW180" si="450">SUM(AS180*14%)</f>
        <v>0</v>
      </c>
      <c r="BM180" s="272">
        <f t="shared" si="450"/>
        <v>0</v>
      </c>
      <c r="BN180" s="272">
        <f t="shared" si="450"/>
        <v>0</v>
      </c>
      <c r="BO180" s="1331">
        <f t="shared" si="450"/>
        <v>0</v>
      </c>
      <c r="BP180" s="272">
        <f t="shared" si="450"/>
        <v>0</v>
      </c>
      <c r="BQ180" s="272">
        <f t="shared" si="450"/>
        <v>0</v>
      </c>
      <c r="BR180" s="272">
        <f t="shared" si="450"/>
        <v>0</v>
      </c>
      <c r="BS180" s="272">
        <f t="shared" si="450"/>
        <v>0</v>
      </c>
      <c r="BT180" s="272">
        <f t="shared" si="450"/>
        <v>0</v>
      </c>
      <c r="BU180" s="272">
        <f t="shared" si="450"/>
        <v>0</v>
      </c>
      <c r="BV180" s="272">
        <f t="shared" si="450"/>
        <v>0</v>
      </c>
      <c r="BW180" s="272">
        <f t="shared" si="450"/>
        <v>0</v>
      </c>
      <c r="BX180" s="299">
        <f t="shared" ref="BX180:BX219" si="451">SUM(BL180:BW180)</f>
        <v>0</v>
      </c>
      <c r="BY180" s="790"/>
      <c r="BZ180" s="791">
        <f t="shared" ref="BZ180:BZ218" si="452">Y180*D180</f>
        <v>37410360</v>
      </c>
      <c r="CA180" s="792">
        <f>BZ180-BK180-BX180</f>
        <v>37410360</v>
      </c>
      <c r="CB180" s="571">
        <f t="shared" ref="CB180:CB217" si="453">SUM(W180/D180)</f>
        <v>0</v>
      </c>
      <c r="CC180" s="1081"/>
      <c r="CD180" s="1081"/>
      <c r="CE180" s="1083"/>
      <c r="CF180" s="1084"/>
      <c r="CG180" s="862"/>
      <c r="CH180" s="862"/>
      <c r="CI180" s="862"/>
      <c r="CJ180" s="862"/>
      <c r="CK180" s="862"/>
      <c r="CL180" s="862"/>
      <c r="CM180" s="862"/>
      <c r="CN180" s="862"/>
      <c r="CO180" s="1081">
        <f t="shared" ref="CO180:CO181" si="454">SUM(AZ180*12.5%)</f>
        <v>0</v>
      </c>
      <c r="CP180" s="862"/>
      <c r="CQ180" s="862"/>
      <c r="CR180" s="862"/>
      <c r="CS180" s="862"/>
      <c r="CT180" s="862"/>
      <c r="CU180" s="862"/>
      <c r="CV180" s="862"/>
      <c r="CW180" s="862"/>
      <c r="CX180" s="862"/>
      <c r="CY180" s="73">
        <f t="shared" ref="CY180:CY220" si="455">SUM(CG180:CX180)</f>
        <v>0</v>
      </c>
      <c r="CZ180" s="862"/>
      <c r="DA180" s="862"/>
      <c r="DB180" s="862"/>
      <c r="DC180" s="862"/>
      <c r="DD180" s="862"/>
      <c r="DE180" s="862"/>
      <c r="DF180" s="862"/>
      <c r="DG180" s="862"/>
      <c r="DH180" s="1081"/>
      <c r="DI180" s="862"/>
      <c r="DJ180" s="862"/>
      <c r="DK180" s="862"/>
      <c r="DL180" s="862"/>
      <c r="DM180" s="862"/>
      <c r="DN180" s="862"/>
      <c r="DO180" s="862"/>
      <c r="DP180" s="862"/>
      <c r="DQ180" s="862"/>
      <c r="DR180" s="73">
        <f t="shared" ref="DR180:DR220" si="456">SUM(CZ180:DQ180)</f>
        <v>0</v>
      </c>
      <c r="DS180" s="412"/>
      <c r="DT180" s="412"/>
      <c r="DU180" s="420"/>
      <c r="DV180" s="412"/>
      <c r="DW180" s="412"/>
      <c r="DX180" s="412"/>
      <c r="DY180" s="277"/>
      <c r="DZ180" s="277"/>
      <c r="EA180" s="277"/>
      <c r="EB180" s="277"/>
      <c r="EC180" s="277"/>
      <c r="ED180" s="277"/>
      <c r="EE180" s="277"/>
      <c r="EF180" s="277"/>
      <c r="EG180" s="277"/>
      <c r="EH180" s="277"/>
      <c r="EI180" s="277"/>
    </row>
    <row r="181" spans="1:139" s="278" customFormat="1" ht="29.25" customHeight="1" x14ac:dyDescent="0.2">
      <c r="A181" s="786">
        <f>A180+1</f>
        <v>2</v>
      </c>
      <c r="B181" s="900" t="s">
        <v>593</v>
      </c>
      <c r="C181" s="281" t="s">
        <v>128</v>
      </c>
      <c r="D181" s="573">
        <v>1</v>
      </c>
      <c r="E181" s="896">
        <v>1</v>
      </c>
      <c r="F181" s="576"/>
      <c r="G181" s="270"/>
      <c r="H181" s="342"/>
      <c r="I181" s="576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3">
        <f t="shared" si="447"/>
        <v>1</v>
      </c>
      <c r="X181" s="574" t="s">
        <v>14</v>
      </c>
      <c r="Y181" s="828">
        <v>1000000</v>
      </c>
      <c r="Z181" s="995">
        <v>1000000</v>
      </c>
      <c r="AA181" s="789"/>
      <c r="AB181" s="789"/>
      <c r="AC181" s="789"/>
      <c r="AD181" s="789"/>
      <c r="AE181" s="569"/>
      <c r="AF181" s="789"/>
      <c r="AG181" s="789"/>
      <c r="AH181" s="789"/>
      <c r="AI181" s="789"/>
      <c r="AJ181" s="789"/>
      <c r="AK181" s="789"/>
      <c r="AL181" s="789"/>
      <c r="AM181" s="789"/>
      <c r="AN181" s="789"/>
      <c r="AO181" s="789"/>
      <c r="AP181" s="789"/>
      <c r="AQ181" s="789"/>
      <c r="AR181" s="570">
        <f t="shared" ref="AR181:AR189" si="457">SUM(W181*Y181)</f>
        <v>1000000</v>
      </c>
      <c r="AS181" s="1352">
        <f t="shared" si="448"/>
        <v>1000000</v>
      </c>
      <c r="AT181" s="272">
        <f t="shared" si="448"/>
        <v>0</v>
      </c>
      <c r="AU181" s="272">
        <f t="shared" si="448"/>
        <v>0</v>
      </c>
      <c r="AV181" s="272">
        <f t="shared" si="448"/>
        <v>0</v>
      </c>
      <c r="AW181" s="272">
        <f t="shared" si="448"/>
        <v>0</v>
      </c>
      <c r="AX181" s="272">
        <f t="shared" si="448"/>
        <v>0</v>
      </c>
      <c r="AY181" s="272">
        <f t="shared" si="448"/>
        <v>0</v>
      </c>
      <c r="AZ181" s="272">
        <f t="shared" si="448"/>
        <v>0</v>
      </c>
      <c r="BA181" s="272">
        <f t="shared" si="448"/>
        <v>0</v>
      </c>
      <c r="BB181" s="272">
        <f t="shared" si="448"/>
        <v>0</v>
      </c>
      <c r="BC181" s="272">
        <f t="shared" si="448"/>
        <v>0</v>
      </c>
      <c r="BD181" s="272">
        <f t="shared" si="448"/>
        <v>0</v>
      </c>
      <c r="BE181" s="272"/>
      <c r="BF181" s="272"/>
      <c r="BG181" s="272"/>
      <c r="BH181" s="272"/>
      <c r="BI181" s="272"/>
      <c r="BJ181" s="272"/>
      <c r="BK181" s="273">
        <f t="shared" si="449"/>
        <v>1000000</v>
      </c>
      <c r="BL181" s="272"/>
      <c r="BM181" s="272">
        <f t="shared" ref="BM181" si="458">SUM(AT181*14%)</f>
        <v>0</v>
      </c>
      <c r="BN181" s="272">
        <f t="shared" ref="BN181" si="459">SUM(AU181*14%)</f>
        <v>0</v>
      </c>
      <c r="BO181" s="1331">
        <f t="shared" ref="BO181" si="460">SUM(AV181*14%)</f>
        <v>0</v>
      </c>
      <c r="BP181" s="272">
        <f t="shared" ref="BP181" si="461">SUM(AW181*14%)</f>
        <v>0</v>
      </c>
      <c r="BQ181" s="272">
        <f t="shared" ref="BQ181" si="462">SUM(AX181*14%)</f>
        <v>0</v>
      </c>
      <c r="BR181" s="272">
        <f t="shared" ref="BR181" si="463">SUM(AY181*14%)</f>
        <v>0</v>
      </c>
      <c r="BS181" s="272">
        <f t="shared" ref="BS181" si="464">SUM(AZ181*14%)</f>
        <v>0</v>
      </c>
      <c r="BT181" s="272">
        <f t="shared" ref="BT181" si="465">SUM(BA181*14%)</f>
        <v>0</v>
      </c>
      <c r="BU181" s="272">
        <f t="shared" ref="BU181" si="466">SUM(BB181*14%)</f>
        <v>0</v>
      </c>
      <c r="BV181" s="272">
        <f t="shared" ref="BV181" si="467">SUM(BC181*14%)</f>
        <v>0</v>
      </c>
      <c r="BW181" s="272">
        <f t="shared" ref="BW181" si="468">SUM(BD181*14%)</f>
        <v>0</v>
      </c>
      <c r="BX181" s="299">
        <f t="shared" si="451"/>
        <v>0</v>
      </c>
      <c r="BY181" s="790"/>
      <c r="BZ181" s="791">
        <f t="shared" si="452"/>
        <v>1000000</v>
      </c>
      <c r="CA181" s="792">
        <f>SUM(CA180-BZ181)</f>
        <v>36410360</v>
      </c>
      <c r="CB181" s="571">
        <f t="shared" si="453"/>
        <v>1</v>
      </c>
      <c r="CC181" s="1081"/>
      <c r="CD181" s="1081"/>
      <c r="CE181" s="1083"/>
      <c r="CF181" s="1084"/>
      <c r="CG181" s="862"/>
      <c r="CH181" s="862"/>
      <c r="CI181" s="862"/>
      <c r="CJ181" s="862"/>
      <c r="CK181" s="862"/>
      <c r="CL181" s="862"/>
      <c r="CM181" s="862"/>
      <c r="CN181" s="862"/>
      <c r="CO181" s="1081">
        <f t="shared" si="454"/>
        <v>0</v>
      </c>
      <c r="CP181" s="862"/>
      <c r="CQ181" s="862"/>
      <c r="CR181" s="862"/>
      <c r="CS181" s="862"/>
      <c r="CT181" s="862"/>
      <c r="CU181" s="862"/>
      <c r="CV181" s="862"/>
      <c r="CW181" s="862"/>
      <c r="CX181" s="862"/>
      <c r="CY181" s="73">
        <f t="shared" si="455"/>
        <v>0</v>
      </c>
      <c r="CZ181" s="862"/>
      <c r="DA181" s="862"/>
      <c r="DB181" s="862"/>
      <c r="DC181" s="862"/>
      <c r="DD181" s="862"/>
      <c r="DE181" s="862"/>
      <c r="DF181" s="862"/>
      <c r="DG181" s="862"/>
      <c r="DH181" s="1081"/>
      <c r="DI181" s="862"/>
      <c r="DJ181" s="862"/>
      <c r="DK181" s="862"/>
      <c r="DL181" s="862"/>
      <c r="DM181" s="862"/>
      <c r="DN181" s="862"/>
      <c r="DO181" s="862"/>
      <c r="DP181" s="862"/>
      <c r="DQ181" s="862"/>
      <c r="DR181" s="73">
        <f t="shared" si="456"/>
        <v>0</v>
      </c>
      <c r="DS181" s="412"/>
      <c r="DT181" s="412"/>
      <c r="DU181" s="420"/>
      <c r="DV181" s="412"/>
      <c r="DW181" s="412"/>
      <c r="DX181" s="412"/>
      <c r="DY181" s="277"/>
      <c r="DZ181" s="277"/>
      <c r="EA181" s="277"/>
      <c r="EB181" s="277"/>
      <c r="EC181" s="277"/>
      <c r="ED181" s="277"/>
      <c r="EE181" s="277"/>
      <c r="EF181" s="277"/>
      <c r="EG181" s="277"/>
      <c r="EH181" s="277"/>
      <c r="EI181" s="277"/>
    </row>
    <row r="182" spans="1:139" s="278" customFormat="1" ht="29.25" customHeight="1" x14ac:dyDescent="0.2">
      <c r="A182" s="786">
        <f t="shared" ref="A182:A216" si="469">A181+1</f>
        <v>3</v>
      </c>
      <c r="B182" s="900" t="s">
        <v>594</v>
      </c>
      <c r="C182" s="281" t="s">
        <v>128</v>
      </c>
      <c r="D182" s="573">
        <v>1</v>
      </c>
      <c r="E182" s="896">
        <v>1</v>
      </c>
      <c r="F182" s="576"/>
      <c r="G182" s="270"/>
      <c r="H182" s="342"/>
      <c r="I182" s="576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3">
        <f t="shared" si="447"/>
        <v>1</v>
      </c>
      <c r="X182" s="574" t="s">
        <v>14</v>
      </c>
      <c r="Y182" s="828">
        <v>250000</v>
      </c>
      <c r="Z182" s="995">
        <v>250000</v>
      </c>
      <c r="AA182" s="789"/>
      <c r="AB182" s="789"/>
      <c r="AC182" s="789"/>
      <c r="AD182" s="789"/>
      <c r="AE182" s="569"/>
      <c r="AF182" s="789"/>
      <c r="AG182" s="789"/>
      <c r="AH182" s="789"/>
      <c r="AI182" s="789"/>
      <c r="AJ182" s="789"/>
      <c r="AK182" s="789"/>
      <c r="AL182" s="789"/>
      <c r="AM182" s="789"/>
      <c r="AN182" s="789"/>
      <c r="AO182" s="789"/>
      <c r="AP182" s="789"/>
      <c r="AQ182" s="789"/>
      <c r="AR182" s="570">
        <f t="shared" si="457"/>
        <v>250000</v>
      </c>
      <c r="AS182" s="1352">
        <f t="shared" si="448"/>
        <v>250000</v>
      </c>
      <c r="AT182" s="272">
        <f t="shared" si="448"/>
        <v>0</v>
      </c>
      <c r="AU182" s="272">
        <f t="shared" si="448"/>
        <v>0</v>
      </c>
      <c r="AV182" s="272">
        <f t="shared" si="448"/>
        <v>0</v>
      </c>
      <c r="AW182" s="272">
        <f t="shared" si="448"/>
        <v>0</v>
      </c>
      <c r="AX182" s="272">
        <f t="shared" si="448"/>
        <v>0</v>
      </c>
      <c r="AY182" s="272">
        <f t="shared" si="448"/>
        <v>0</v>
      </c>
      <c r="AZ182" s="272">
        <f t="shared" si="448"/>
        <v>0</v>
      </c>
      <c r="BA182" s="272">
        <f t="shared" si="448"/>
        <v>0</v>
      </c>
      <c r="BB182" s="272">
        <f t="shared" si="448"/>
        <v>0</v>
      </c>
      <c r="BC182" s="272">
        <f t="shared" si="448"/>
        <v>0</v>
      </c>
      <c r="BD182" s="272">
        <f t="shared" si="448"/>
        <v>0</v>
      </c>
      <c r="BE182" s="272"/>
      <c r="BF182" s="272"/>
      <c r="BG182" s="272"/>
      <c r="BH182" s="272"/>
      <c r="BI182" s="272"/>
      <c r="BJ182" s="272"/>
      <c r="BK182" s="273">
        <f t="shared" si="449"/>
        <v>250000</v>
      </c>
      <c r="BL182" s="272"/>
      <c r="BM182" s="272">
        <f t="shared" ref="BM182" si="470">SUM(AT182*14%)</f>
        <v>0</v>
      </c>
      <c r="BN182" s="272">
        <f t="shared" ref="BN182:BN183" si="471">SUM(AU182*14%)</f>
        <v>0</v>
      </c>
      <c r="BO182" s="1331">
        <f t="shared" ref="BO182:BO189" si="472">SUM(AV182*14%)</f>
        <v>0</v>
      </c>
      <c r="BP182" s="272">
        <f t="shared" ref="BP182:BP207" si="473">SUM(AW182*14%)</f>
        <v>0</v>
      </c>
      <c r="BQ182" s="272">
        <f t="shared" ref="BQ182:BQ190" si="474">SUM(AX182*14%)</f>
        <v>0</v>
      </c>
      <c r="BR182" s="272">
        <f t="shared" ref="BR182:BR207" si="475">SUM(AY182*14%)</f>
        <v>0</v>
      </c>
      <c r="BS182" s="272">
        <f t="shared" ref="BS182:BS207" si="476">SUM(AZ182*14%)</f>
        <v>0</v>
      </c>
      <c r="BT182" s="272">
        <f t="shared" ref="BT182:BT207" si="477">SUM(BA182*14%)</f>
        <v>0</v>
      </c>
      <c r="BU182" s="272">
        <f t="shared" ref="BU182:BU207" si="478">SUM(BB182*14%)</f>
        <v>0</v>
      </c>
      <c r="BV182" s="272">
        <f t="shared" ref="BV182:BV207" si="479">SUM(BC182*14%)</f>
        <v>0</v>
      </c>
      <c r="BW182" s="272">
        <f t="shared" ref="BW182:BW207" si="480">SUM(BD182*14%)</f>
        <v>0</v>
      </c>
      <c r="BX182" s="299">
        <f t="shared" si="451"/>
        <v>0</v>
      </c>
      <c r="BY182" s="790"/>
      <c r="BZ182" s="791">
        <f t="shared" si="452"/>
        <v>250000</v>
      </c>
      <c r="CA182" s="792">
        <f t="shared" ref="CA182:CA219" si="481">SUM(CA181-BZ182)</f>
        <v>36160360</v>
      </c>
      <c r="CB182" s="571">
        <f t="shared" si="453"/>
        <v>1</v>
      </c>
      <c r="CC182" s="1081"/>
      <c r="CD182" s="1081"/>
      <c r="CE182" s="1083"/>
      <c r="CF182" s="1084"/>
      <c r="CG182" s="862"/>
      <c r="CH182" s="862"/>
      <c r="CI182" s="862"/>
      <c r="CJ182" s="862"/>
      <c r="CK182" s="862"/>
      <c r="CL182" s="862"/>
      <c r="CM182" s="862"/>
      <c r="CN182" s="862"/>
      <c r="CO182" s="1081">
        <f t="shared" ref="CO182:CO220" si="482">SUM(AZ182*12.5%)</f>
        <v>0</v>
      </c>
      <c r="CP182" s="862"/>
      <c r="CQ182" s="862"/>
      <c r="CR182" s="862"/>
      <c r="CS182" s="862"/>
      <c r="CT182" s="862"/>
      <c r="CU182" s="862"/>
      <c r="CV182" s="862"/>
      <c r="CW182" s="862"/>
      <c r="CX182" s="862"/>
      <c r="CY182" s="73">
        <f t="shared" si="455"/>
        <v>0</v>
      </c>
      <c r="CZ182" s="862"/>
      <c r="DA182" s="862"/>
      <c r="DB182" s="862"/>
      <c r="DC182" s="862"/>
      <c r="DD182" s="862"/>
      <c r="DE182" s="862"/>
      <c r="DF182" s="862"/>
      <c r="DG182" s="862"/>
      <c r="DH182" s="1081"/>
      <c r="DI182" s="862"/>
      <c r="DJ182" s="862"/>
      <c r="DK182" s="862"/>
      <c r="DL182" s="862"/>
      <c r="DM182" s="862"/>
      <c r="DN182" s="862"/>
      <c r="DO182" s="862"/>
      <c r="DP182" s="862"/>
      <c r="DQ182" s="862"/>
      <c r="DR182" s="73">
        <f t="shared" si="456"/>
        <v>0</v>
      </c>
      <c r="DS182" s="412"/>
      <c r="DT182" s="412"/>
      <c r="DU182" s="420"/>
      <c r="DV182" s="412"/>
      <c r="DW182" s="412"/>
      <c r="DX182" s="412"/>
      <c r="DY182" s="277"/>
      <c r="DZ182" s="277"/>
      <c r="EA182" s="277"/>
      <c r="EB182" s="277"/>
      <c r="EC182" s="277"/>
      <c r="ED182" s="277"/>
      <c r="EE182" s="277"/>
      <c r="EF182" s="277"/>
      <c r="EG182" s="277"/>
      <c r="EH182" s="277"/>
      <c r="EI182" s="277"/>
    </row>
    <row r="183" spans="1:139" s="278" customFormat="1" ht="29.25" customHeight="1" x14ac:dyDescent="0.2">
      <c r="A183" s="786">
        <f t="shared" si="469"/>
        <v>4</v>
      </c>
      <c r="B183" s="900" t="s">
        <v>595</v>
      </c>
      <c r="C183" s="281" t="s">
        <v>128</v>
      </c>
      <c r="D183" s="573">
        <v>70</v>
      </c>
      <c r="E183" s="896">
        <v>70</v>
      </c>
      <c r="F183" s="576"/>
      <c r="G183" s="270"/>
      <c r="H183" s="342"/>
      <c r="I183" s="576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3">
        <f t="shared" si="447"/>
        <v>70</v>
      </c>
      <c r="X183" s="574" t="s">
        <v>31</v>
      </c>
      <c r="Y183" s="828">
        <v>10300</v>
      </c>
      <c r="Z183" s="995">
        <v>9000</v>
      </c>
      <c r="AA183" s="789"/>
      <c r="AB183" s="789"/>
      <c r="AC183" s="789"/>
      <c r="AD183" s="789"/>
      <c r="AE183" s="569"/>
      <c r="AF183" s="789"/>
      <c r="AG183" s="789"/>
      <c r="AH183" s="789"/>
      <c r="AI183" s="789"/>
      <c r="AJ183" s="789"/>
      <c r="AK183" s="789"/>
      <c r="AL183" s="789"/>
      <c r="AM183" s="789"/>
      <c r="AN183" s="789"/>
      <c r="AO183" s="789"/>
      <c r="AP183" s="789"/>
      <c r="AQ183" s="789"/>
      <c r="AR183" s="570">
        <f t="shared" si="457"/>
        <v>721000</v>
      </c>
      <c r="AS183" s="1352">
        <f t="shared" si="448"/>
        <v>630000</v>
      </c>
      <c r="AT183" s="272">
        <f t="shared" si="448"/>
        <v>0</v>
      </c>
      <c r="AU183" s="272">
        <f t="shared" si="448"/>
        <v>0</v>
      </c>
      <c r="AV183" s="272">
        <f t="shared" si="448"/>
        <v>0</v>
      </c>
      <c r="AW183" s="272">
        <f t="shared" si="448"/>
        <v>0</v>
      </c>
      <c r="AX183" s="272">
        <f t="shared" si="448"/>
        <v>0</v>
      </c>
      <c r="AY183" s="272">
        <f t="shared" si="448"/>
        <v>0</v>
      </c>
      <c r="AZ183" s="272">
        <f t="shared" si="448"/>
        <v>0</v>
      </c>
      <c r="BA183" s="272">
        <f t="shared" si="448"/>
        <v>0</v>
      </c>
      <c r="BB183" s="272">
        <f t="shared" si="448"/>
        <v>0</v>
      </c>
      <c r="BC183" s="272">
        <f t="shared" si="448"/>
        <v>0</v>
      </c>
      <c r="BD183" s="272">
        <f t="shared" si="448"/>
        <v>0</v>
      </c>
      <c r="BE183" s="272"/>
      <c r="BF183" s="272"/>
      <c r="BG183" s="272"/>
      <c r="BH183" s="272"/>
      <c r="BI183" s="272"/>
      <c r="BJ183" s="272"/>
      <c r="BK183" s="273">
        <f t="shared" si="449"/>
        <v>630000</v>
      </c>
      <c r="BL183" s="272">
        <f>SUM(AS183*4%)</f>
        <v>25200</v>
      </c>
      <c r="BM183" s="272">
        <f t="shared" ref="BM183" si="483">SUM(AT183*14%)</f>
        <v>0</v>
      </c>
      <c r="BN183" s="272">
        <f t="shared" si="471"/>
        <v>0</v>
      </c>
      <c r="BO183" s="1331">
        <f t="shared" si="472"/>
        <v>0</v>
      </c>
      <c r="BP183" s="272">
        <f t="shared" si="473"/>
        <v>0</v>
      </c>
      <c r="BQ183" s="272">
        <f t="shared" si="474"/>
        <v>0</v>
      </c>
      <c r="BR183" s="272">
        <f t="shared" si="475"/>
        <v>0</v>
      </c>
      <c r="BS183" s="272">
        <f t="shared" si="476"/>
        <v>0</v>
      </c>
      <c r="BT183" s="272">
        <f t="shared" si="477"/>
        <v>0</v>
      </c>
      <c r="BU183" s="272">
        <f t="shared" si="478"/>
        <v>0</v>
      </c>
      <c r="BV183" s="272">
        <f t="shared" si="479"/>
        <v>0</v>
      </c>
      <c r="BW183" s="272">
        <f t="shared" si="480"/>
        <v>0</v>
      </c>
      <c r="BX183" s="299">
        <f t="shared" si="451"/>
        <v>25200</v>
      </c>
      <c r="BY183" s="790">
        <v>0</v>
      </c>
      <c r="BZ183" s="791">
        <f>BK183+BX183</f>
        <v>655200</v>
      </c>
      <c r="CA183" s="792">
        <f>SUM(CA182-BZ183)+11200</f>
        <v>35516360</v>
      </c>
      <c r="CB183" s="571">
        <f t="shared" si="453"/>
        <v>1</v>
      </c>
      <c r="CC183" s="1081"/>
      <c r="CD183" s="1081"/>
      <c r="CE183" s="1083"/>
      <c r="CF183" s="1084"/>
      <c r="CG183" s="862"/>
      <c r="CH183" s="862"/>
      <c r="CI183" s="862"/>
      <c r="CJ183" s="862"/>
      <c r="CK183" s="862"/>
      <c r="CL183" s="862"/>
      <c r="CM183" s="862"/>
      <c r="CN183" s="862"/>
      <c r="CO183" s="1081">
        <f t="shared" si="482"/>
        <v>0</v>
      </c>
      <c r="CP183" s="862"/>
      <c r="CQ183" s="862"/>
      <c r="CR183" s="862"/>
      <c r="CS183" s="862"/>
      <c r="CT183" s="862"/>
      <c r="CU183" s="862"/>
      <c r="CV183" s="862"/>
      <c r="CW183" s="862"/>
      <c r="CX183" s="862"/>
      <c r="CY183" s="73">
        <f t="shared" si="455"/>
        <v>0</v>
      </c>
      <c r="CZ183" s="862"/>
      <c r="DA183" s="862"/>
      <c r="DB183" s="862"/>
      <c r="DC183" s="862"/>
      <c r="DD183" s="862"/>
      <c r="DE183" s="862"/>
      <c r="DF183" s="862"/>
      <c r="DG183" s="862"/>
      <c r="DH183" s="1081"/>
      <c r="DI183" s="862"/>
      <c r="DJ183" s="862"/>
      <c r="DK183" s="862"/>
      <c r="DL183" s="862"/>
      <c r="DM183" s="862"/>
      <c r="DN183" s="862"/>
      <c r="DO183" s="862"/>
      <c r="DP183" s="862"/>
      <c r="DQ183" s="862"/>
      <c r="DR183" s="73">
        <f t="shared" si="456"/>
        <v>0</v>
      </c>
      <c r="DS183" s="412"/>
      <c r="DT183" s="412"/>
      <c r="DU183" s="420"/>
      <c r="DV183" s="412"/>
      <c r="DW183" s="412"/>
      <c r="DX183" s="412"/>
      <c r="DY183" s="277"/>
      <c r="DZ183" s="277"/>
      <c r="EA183" s="277"/>
      <c r="EB183" s="277"/>
      <c r="EC183" s="277"/>
      <c r="ED183" s="277"/>
      <c r="EE183" s="277"/>
      <c r="EF183" s="277"/>
      <c r="EG183" s="277"/>
      <c r="EH183" s="277"/>
      <c r="EI183" s="277"/>
    </row>
    <row r="184" spans="1:139" s="278" customFormat="1" ht="29.25" customHeight="1" x14ac:dyDescent="0.2">
      <c r="A184" s="786">
        <f t="shared" si="469"/>
        <v>5</v>
      </c>
      <c r="B184" s="900" t="s">
        <v>594</v>
      </c>
      <c r="C184" s="281" t="s">
        <v>128</v>
      </c>
      <c r="D184" s="573">
        <v>2</v>
      </c>
      <c r="E184" s="901"/>
      <c r="F184" s="896">
        <v>2</v>
      </c>
      <c r="G184" s="270"/>
      <c r="H184" s="342"/>
      <c r="I184" s="576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3">
        <f t="shared" si="447"/>
        <v>2</v>
      </c>
      <c r="X184" s="574" t="s">
        <v>14</v>
      </c>
      <c r="Y184" s="828">
        <v>250000</v>
      </c>
      <c r="Z184" s="995"/>
      <c r="AA184" s="788">
        <v>250000</v>
      </c>
      <c r="AB184" s="789"/>
      <c r="AC184" s="789"/>
      <c r="AD184" s="789"/>
      <c r="AE184" s="569"/>
      <c r="AF184" s="789"/>
      <c r="AG184" s="789"/>
      <c r="AH184" s="789"/>
      <c r="AI184" s="789"/>
      <c r="AJ184" s="789"/>
      <c r="AK184" s="789"/>
      <c r="AL184" s="789"/>
      <c r="AM184" s="789"/>
      <c r="AN184" s="789"/>
      <c r="AO184" s="789"/>
      <c r="AP184" s="789"/>
      <c r="AQ184" s="789"/>
      <c r="AR184" s="570">
        <f t="shared" si="457"/>
        <v>500000</v>
      </c>
      <c r="AS184" s="1352">
        <f t="shared" si="448"/>
        <v>0</v>
      </c>
      <c r="AT184" s="272">
        <f t="shared" si="448"/>
        <v>500000</v>
      </c>
      <c r="AU184" s="272">
        <f t="shared" si="448"/>
        <v>0</v>
      </c>
      <c r="AV184" s="272">
        <f t="shared" si="448"/>
        <v>0</v>
      </c>
      <c r="AW184" s="272">
        <f t="shared" si="448"/>
        <v>0</v>
      </c>
      <c r="AX184" s="272">
        <f t="shared" si="448"/>
        <v>0</v>
      </c>
      <c r="AY184" s="272">
        <f t="shared" si="448"/>
        <v>0</v>
      </c>
      <c r="AZ184" s="272">
        <f t="shared" si="448"/>
        <v>0</v>
      </c>
      <c r="BA184" s="272">
        <f t="shared" si="448"/>
        <v>0</v>
      </c>
      <c r="BB184" s="272">
        <f t="shared" si="448"/>
        <v>0</v>
      </c>
      <c r="BC184" s="272">
        <f t="shared" si="448"/>
        <v>0</v>
      </c>
      <c r="BD184" s="272">
        <f t="shared" si="448"/>
        <v>0</v>
      </c>
      <c r="BE184" s="272"/>
      <c r="BF184" s="272"/>
      <c r="BG184" s="272"/>
      <c r="BH184" s="272"/>
      <c r="BI184" s="272"/>
      <c r="BJ184" s="272"/>
      <c r="BK184" s="273">
        <f t="shared" si="449"/>
        <v>500000</v>
      </c>
      <c r="BL184" s="272"/>
      <c r="BM184" s="272"/>
      <c r="BN184" s="272">
        <f t="shared" ref="BN184" si="484">SUM(AU184*14%)</f>
        <v>0</v>
      </c>
      <c r="BO184" s="1331">
        <f t="shared" ref="BO184:BO185" si="485">SUM(AV184*14%)</f>
        <v>0</v>
      </c>
      <c r="BP184" s="272">
        <f t="shared" ref="BP184:BP185" si="486">SUM(AW184*14%)</f>
        <v>0</v>
      </c>
      <c r="BQ184" s="272">
        <f t="shared" ref="BQ184:BQ185" si="487">SUM(AX184*14%)</f>
        <v>0</v>
      </c>
      <c r="BR184" s="272">
        <f t="shared" ref="BR184:BR185" si="488">SUM(AY184*14%)</f>
        <v>0</v>
      </c>
      <c r="BS184" s="272">
        <f t="shared" ref="BS184:BS185" si="489">SUM(AZ184*14%)</f>
        <v>0</v>
      </c>
      <c r="BT184" s="272">
        <f t="shared" ref="BT184:BT185" si="490">SUM(BA184*14%)</f>
        <v>0</v>
      </c>
      <c r="BU184" s="272">
        <f t="shared" ref="BU184:BU185" si="491">SUM(BB184*14%)</f>
        <v>0</v>
      </c>
      <c r="BV184" s="272">
        <f t="shared" ref="BV184:BV185" si="492">SUM(BC184*14%)</f>
        <v>0</v>
      </c>
      <c r="BW184" s="272">
        <f t="shared" ref="BW184:BW185" si="493">SUM(BD184*14%)</f>
        <v>0</v>
      </c>
      <c r="BX184" s="299">
        <f t="shared" si="451"/>
        <v>0</v>
      </c>
      <c r="BY184" s="790">
        <f t="shared" ref="BY184:BY189" si="494">AR184-BK184-BX184</f>
        <v>0</v>
      </c>
      <c r="BZ184" s="791">
        <f t="shared" si="452"/>
        <v>500000</v>
      </c>
      <c r="CA184" s="792">
        <f t="shared" si="481"/>
        <v>35016360</v>
      </c>
      <c r="CB184" s="571">
        <f t="shared" si="453"/>
        <v>1</v>
      </c>
      <c r="CC184" s="1081"/>
      <c r="CD184" s="1081"/>
      <c r="CE184" s="1083"/>
      <c r="CF184" s="1084"/>
      <c r="CG184" s="862"/>
      <c r="CH184" s="862"/>
      <c r="CI184" s="862"/>
      <c r="CJ184" s="862"/>
      <c r="CK184" s="862"/>
      <c r="CL184" s="862"/>
      <c r="CM184" s="862"/>
      <c r="CN184" s="862"/>
      <c r="CO184" s="1081">
        <f t="shared" si="482"/>
        <v>0</v>
      </c>
      <c r="CP184" s="862"/>
      <c r="CQ184" s="862"/>
      <c r="CR184" s="862"/>
      <c r="CS184" s="862"/>
      <c r="CT184" s="862"/>
      <c r="CU184" s="862"/>
      <c r="CV184" s="862"/>
      <c r="CW184" s="862"/>
      <c r="CX184" s="862"/>
      <c r="CY184" s="73">
        <f t="shared" si="455"/>
        <v>0</v>
      </c>
      <c r="CZ184" s="862"/>
      <c r="DA184" s="862"/>
      <c r="DB184" s="862"/>
      <c r="DC184" s="862"/>
      <c r="DD184" s="862"/>
      <c r="DE184" s="862"/>
      <c r="DF184" s="862"/>
      <c r="DG184" s="862"/>
      <c r="DH184" s="1081"/>
      <c r="DI184" s="862"/>
      <c r="DJ184" s="862"/>
      <c r="DK184" s="862"/>
      <c r="DL184" s="862"/>
      <c r="DM184" s="862"/>
      <c r="DN184" s="862"/>
      <c r="DO184" s="862"/>
      <c r="DP184" s="862"/>
      <c r="DQ184" s="862"/>
      <c r="DR184" s="73">
        <f t="shared" si="456"/>
        <v>0</v>
      </c>
      <c r="DS184" s="412"/>
      <c r="DT184" s="412"/>
      <c r="DU184" s="420"/>
      <c r="DV184" s="412"/>
      <c r="DW184" s="412"/>
      <c r="DX184" s="412"/>
      <c r="DY184" s="277"/>
      <c r="DZ184" s="277"/>
      <c r="EA184" s="277"/>
      <c r="EB184" s="277"/>
      <c r="EC184" s="277"/>
      <c r="ED184" s="277"/>
      <c r="EE184" s="277"/>
      <c r="EF184" s="277"/>
      <c r="EG184" s="277"/>
      <c r="EH184" s="277"/>
      <c r="EI184" s="277"/>
    </row>
    <row r="185" spans="1:139" s="278" customFormat="1" ht="29.25" customHeight="1" x14ac:dyDescent="0.2">
      <c r="A185" s="786">
        <f t="shared" si="469"/>
        <v>6</v>
      </c>
      <c r="B185" s="900" t="s">
        <v>601</v>
      </c>
      <c r="C185" s="281" t="s">
        <v>128</v>
      </c>
      <c r="D185" s="573">
        <v>1</v>
      </c>
      <c r="E185" s="901"/>
      <c r="F185" s="270"/>
      <c r="G185" s="270">
        <v>1</v>
      </c>
      <c r="H185" s="342"/>
      <c r="I185" s="576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3">
        <f t="shared" si="447"/>
        <v>1</v>
      </c>
      <c r="X185" s="574" t="s">
        <v>14</v>
      </c>
      <c r="Y185" s="828">
        <v>2500000</v>
      </c>
      <c r="Z185" s="995"/>
      <c r="AA185" s="828"/>
      <c r="AB185" s="828">
        <v>2500000</v>
      </c>
      <c r="AC185" s="789"/>
      <c r="AD185" s="789"/>
      <c r="AE185" s="569"/>
      <c r="AF185" s="789"/>
      <c r="AG185" s="789"/>
      <c r="AH185" s="789"/>
      <c r="AI185" s="789"/>
      <c r="AJ185" s="789"/>
      <c r="AK185" s="789"/>
      <c r="AL185" s="789"/>
      <c r="AM185" s="789"/>
      <c r="AN185" s="789"/>
      <c r="AO185" s="789"/>
      <c r="AP185" s="789"/>
      <c r="AQ185" s="789"/>
      <c r="AR185" s="570">
        <f t="shared" si="457"/>
        <v>2500000</v>
      </c>
      <c r="AS185" s="1352">
        <f t="shared" ref="AS185:AS218" si="495">Z185*E185</f>
        <v>0</v>
      </c>
      <c r="AT185" s="272"/>
      <c r="AU185" s="272">
        <f t="shared" ref="AU185:AU218" si="496">AB185*G185</f>
        <v>2500000</v>
      </c>
      <c r="AV185" s="272">
        <f t="shared" ref="AV185:AV218" si="497">AC185*H185</f>
        <v>0</v>
      </c>
      <c r="AW185" s="272">
        <f t="shared" ref="AW185:AW218" si="498">AD185*I185</f>
        <v>0</v>
      </c>
      <c r="AX185" s="272">
        <f t="shared" ref="AX185:AX218" si="499">AE185*J185</f>
        <v>0</v>
      </c>
      <c r="AY185" s="272">
        <f t="shared" ref="AY185:AY218" si="500">AF185*K185</f>
        <v>0</v>
      </c>
      <c r="AZ185" s="272">
        <f t="shared" ref="AZ185:AZ218" si="501">AG185*L185</f>
        <v>0</v>
      </c>
      <c r="BA185" s="272">
        <f t="shared" ref="BA185:BA218" si="502">AH185*M185</f>
        <v>0</v>
      </c>
      <c r="BB185" s="272">
        <f t="shared" ref="BB185:BB218" si="503">AI185*N185</f>
        <v>0</v>
      </c>
      <c r="BC185" s="272">
        <f t="shared" ref="BC185:BC218" si="504">AJ185*O185</f>
        <v>0</v>
      </c>
      <c r="BD185" s="272">
        <f t="shared" ref="BD185:BD218" si="505">AK185*P185</f>
        <v>0</v>
      </c>
      <c r="BE185" s="272"/>
      <c r="BF185" s="272"/>
      <c r="BG185" s="272"/>
      <c r="BH185" s="272"/>
      <c r="BI185" s="272"/>
      <c r="BJ185" s="272"/>
      <c r="BK185" s="273">
        <f t="shared" si="449"/>
        <v>2500000</v>
      </c>
      <c r="BL185" s="272"/>
      <c r="BM185" s="272"/>
      <c r="BN185" s="272"/>
      <c r="BO185" s="1331">
        <f t="shared" si="485"/>
        <v>0</v>
      </c>
      <c r="BP185" s="272">
        <f t="shared" si="486"/>
        <v>0</v>
      </c>
      <c r="BQ185" s="272">
        <f t="shared" si="487"/>
        <v>0</v>
      </c>
      <c r="BR185" s="272">
        <f t="shared" si="488"/>
        <v>0</v>
      </c>
      <c r="BS185" s="272">
        <f t="shared" si="489"/>
        <v>0</v>
      </c>
      <c r="BT185" s="272">
        <f t="shared" si="490"/>
        <v>0</v>
      </c>
      <c r="BU185" s="272">
        <f t="shared" si="491"/>
        <v>0</v>
      </c>
      <c r="BV185" s="272">
        <f t="shared" si="492"/>
        <v>0</v>
      </c>
      <c r="BW185" s="272">
        <f t="shared" si="493"/>
        <v>0</v>
      </c>
      <c r="BX185" s="299">
        <f t="shared" si="451"/>
        <v>0</v>
      </c>
      <c r="BY185" s="790">
        <f t="shared" si="494"/>
        <v>0</v>
      </c>
      <c r="BZ185" s="791">
        <f t="shared" si="452"/>
        <v>2500000</v>
      </c>
      <c r="CA185" s="792">
        <f t="shared" si="481"/>
        <v>32516360</v>
      </c>
      <c r="CB185" s="571">
        <f t="shared" si="453"/>
        <v>1</v>
      </c>
      <c r="CC185" s="1081"/>
      <c r="CD185" s="1081"/>
      <c r="CE185" s="1083"/>
      <c r="CF185" s="1084"/>
      <c r="CG185" s="862"/>
      <c r="CH185" s="862"/>
      <c r="CI185" s="862"/>
      <c r="CJ185" s="862"/>
      <c r="CK185" s="862"/>
      <c r="CL185" s="862"/>
      <c r="CM185" s="862"/>
      <c r="CN185" s="862"/>
      <c r="CO185" s="1081">
        <f t="shared" si="482"/>
        <v>0</v>
      </c>
      <c r="CP185" s="862"/>
      <c r="CQ185" s="862"/>
      <c r="CR185" s="862"/>
      <c r="CS185" s="862"/>
      <c r="CT185" s="862"/>
      <c r="CU185" s="862"/>
      <c r="CV185" s="862"/>
      <c r="CW185" s="862"/>
      <c r="CX185" s="862"/>
      <c r="CY185" s="73">
        <f t="shared" si="455"/>
        <v>0</v>
      </c>
      <c r="CZ185" s="862"/>
      <c r="DA185" s="862"/>
      <c r="DB185" s="862"/>
      <c r="DC185" s="862"/>
      <c r="DD185" s="862"/>
      <c r="DE185" s="862"/>
      <c r="DF185" s="862"/>
      <c r="DG185" s="862"/>
      <c r="DH185" s="1081"/>
      <c r="DI185" s="862"/>
      <c r="DJ185" s="862"/>
      <c r="DK185" s="862"/>
      <c r="DL185" s="862"/>
      <c r="DM185" s="862"/>
      <c r="DN185" s="862"/>
      <c r="DO185" s="862"/>
      <c r="DP185" s="862"/>
      <c r="DQ185" s="862"/>
      <c r="DR185" s="73">
        <f t="shared" si="456"/>
        <v>0</v>
      </c>
      <c r="DS185" s="412"/>
      <c r="DT185" s="412"/>
      <c r="DU185" s="420"/>
      <c r="DV185" s="412"/>
      <c r="DW185" s="412"/>
      <c r="DX185" s="412"/>
      <c r="DY185" s="277"/>
      <c r="DZ185" s="277"/>
      <c r="EA185" s="277"/>
      <c r="EB185" s="277"/>
      <c r="EC185" s="277"/>
      <c r="ED185" s="277"/>
      <c r="EE185" s="277"/>
      <c r="EF185" s="277"/>
      <c r="EG185" s="277"/>
      <c r="EH185" s="277"/>
      <c r="EI185" s="277"/>
    </row>
    <row r="186" spans="1:139" s="278" customFormat="1" ht="29.25" customHeight="1" x14ac:dyDescent="0.2">
      <c r="A186" s="786">
        <f t="shared" si="469"/>
        <v>7</v>
      </c>
      <c r="B186" s="900" t="s">
        <v>600</v>
      </c>
      <c r="C186" s="281" t="s">
        <v>128</v>
      </c>
      <c r="D186" s="573">
        <v>1</v>
      </c>
      <c r="E186" s="901"/>
      <c r="F186" s="270"/>
      <c r="G186" s="270">
        <v>1</v>
      </c>
      <c r="H186" s="342"/>
      <c r="I186" s="576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3">
        <f t="shared" si="447"/>
        <v>1</v>
      </c>
      <c r="X186" s="574" t="s">
        <v>14</v>
      </c>
      <c r="Y186" s="828">
        <v>500000</v>
      </c>
      <c r="Z186" s="995"/>
      <c r="AA186" s="788"/>
      <c r="AB186" s="788">
        <v>500000</v>
      </c>
      <c r="AC186" s="789"/>
      <c r="AD186" s="789"/>
      <c r="AE186" s="569"/>
      <c r="AF186" s="789"/>
      <c r="AG186" s="789"/>
      <c r="AH186" s="789"/>
      <c r="AI186" s="789"/>
      <c r="AJ186" s="789"/>
      <c r="AK186" s="789"/>
      <c r="AL186" s="789"/>
      <c r="AM186" s="789"/>
      <c r="AN186" s="789"/>
      <c r="AO186" s="789"/>
      <c r="AP186" s="789"/>
      <c r="AQ186" s="789"/>
      <c r="AR186" s="570">
        <f t="shared" si="457"/>
        <v>500000</v>
      </c>
      <c r="AS186" s="1352">
        <f t="shared" si="495"/>
        <v>0</v>
      </c>
      <c r="AT186" s="272"/>
      <c r="AU186" s="272">
        <v>500000</v>
      </c>
      <c r="AV186" s="272">
        <f t="shared" si="497"/>
        <v>0</v>
      </c>
      <c r="AW186" s="272">
        <f t="shared" si="498"/>
        <v>0</v>
      </c>
      <c r="AX186" s="272">
        <f t="shared" si="499"/>
        <v>0</v>
      </c>
      <c r="AY186" s="272">
        <f t="shared" si="500"/>
        <v>0</v>
      </c>
      <c r="AZ186" s="272">
        <f t="shared" si="501"/>
        <v>0</v>
      </c>
      <c r="BA186" s="272">
        <f t="shared" si="502"/>
        <v>0</v>
      </c>
      <c r="BB186" s="272">
        <f t="shared" si="503"/>
        <v>0</v>
      </c>
      <c r="BC186" s="272">
        <f t="shared" si="504"/>
        <v>0</v>
      </c>
      <c r="BD186" s="272">
        <f t="shared" si="505"/>
        <v>0</v>
      </c>
      <c r="BE186" s="272"/>
      <c r="BF186" s="272"/>
      <c r="BG186" s="272"/>
      <c r="BH186" s="272"/>
      <c r="BI186" s="272"/>
      <c r="BJ186" s="272"/>
      <c r="BK186" s="273">
        <v>500000</v>
      </c>
      <c r="BL186" s="272"/>
      <c r="BM186" s="272"/>
      <c r="BN186" s="272">
        <f>SUM(AU186*4%)</f>
        <v>20000</v>
      </c>
      <c r="BO186" s="1331">
        <f t="shared" si="472"/>
        <v>0</v>
      </c>
      <c r="BP186" s="272">
        <f t="shared" si="473"/>
        <v>0</v>
      </c>
      <c r="BQ186" s="272">
        <f t="shared" si="474"/>
        <v>0</v>
      </c>
      <c r="BR186" s="272">
        <f t="shared" si="475"/>
        <v>0</v>
      </c>
      <c r="BS186" s="272">
        <f t="shared" si="476"/>
        <v>0</v>
      </c>
      <c r="BT186" s="272">
        <f t="shared" si="477"/>
        <v>0</v>
      </c>
      <c r="BU186" s="272">
        <f t="shared" si="478"/>
        <v>0</v>
      </c>
      <c r="BV186" s="272">
        <f t="shared" si="479"/>
        <v>0</v>
      </c>
      <c r="BW186" s="272">
        <f t="shared" si="480"/>
        <v>0</v>
      </c>
      <c r="BX186" s="299">
        <f t="shared" si="451"/>
        <v>20000</v>
      </c>
      <c r="BY186" s="790">
        <v>0</v>
      </c>
      <c r="BZ186" s="791">
        <f t="shared" si="452"/>
        <v>500000</v>
      </c>
      <c r="CA186" s="792">
        <f t="shared" si="481"/>
        <v>32016360</v>
      </c>
      <c r="CB186" s="571">
        <f t="shared" si="453"/>
        <v>1</v>
      </c>
      <c r="CC186" s="1081"/>
      <c r="CD186" s="1081"/>
      <c r="CE186" s="1083"/>
      <c r="CF186" s="1084"/>
      <c r="CG186" s="862"/>
      <c r="CH186" s="862"/>
      <c r="CI186" s="862"/>
      <c r="CJ186" s="862"/>
      <c r="CK186" s="862"/>
      <c r="CL186" s="862"/>
      <c r="CM186" s="862"/>
      <c r="CN186" s="862"/>
      <c r="CO186" s="1081">
        <f t="shared" si="482"/>
        <v>0</v>
      </c>
      <c r="CP186" s="862"/>
      <c r="CQ186" s="862"/>
      <c r="CR186" s="862"/>
      <c r="CS186" s="862"/>
      <c r="CT186" s="862"/>
      <c r="CU186" s="862"/>
      <c r="CV186" s="862"/>
      <c r="CW186" s="862"/>
      <c r="CX186" s="862"/>
      <c r="CY186" s="73">
        <f t="shared" si="455"/>
        <v>0</v>
      </c>
      <c r="CZ186" s="862"/>
      <c r="DA186" s="862"/>
      <c r="DB186" s="862"/>
      <c r="DC186" s="862"/>
      <c r="DD186" s="862"/>
      <c r="DE186" s="862"/>
      <c r="DF186" s="862"/>
      <c r="DG186" s="862"/>
      <c r="DH186" s="1081"/>
      <c r="DI186" s="862"/>
      <c r="DJ186" s="862"/>
      <c r="DK186" s="862"/>
      <c r="DL186" s="862"/>
      <c r="DM186" s="862"/>
      <c r="DN186" s="862"/>
      <c r="DO186" s="862"/>
      <c r="DP186" s="862"/>
      <c r="DQ186" s="862"/>
      <c r="DR186" s="73">
        <f t="shared" si="456"/>
        <v>0</v>
      </c>
      <c r="DS186" s="412"/>
      <c r="DT186" s="412"/>
      <c r="DU186" s="420"/>
      <c r="DV186" s="412"/>
      <c r="DW186" s="412"/>
      <c r="DX186" s="412"/>
      <c r="DY186" s="277"/>
      <c r="DZ186" s="277"/>
      <c r="EA186" s="277"/>
      <c r="EB186" s="277"/>
      <c r="EC186" s="277"/>
      <c r="ED186" s="277"/>
      <c r="EE186" s="277"/>
      <c r="EF186" s="277"/>
      <c r="EG186" s="277"/>
      <c r="EH186" s="277"/>
      <c r="EI186" s="277"/>
    </row>
    <row r="187" spans="1:139" s="278" customFormat="1" ht="29.25" customHeight="1" x14ac:dyDescent="0.2">
      <c r="A187" s="786">
        <f t="shared" si="469"/>
        <v>8</v>
      </c>
      <c r="B187" s="900" t="s">
        <v>602</v>
      </c>
      <c r="C187" s="281" t="s">
        <v>128</v>
      </c>
      <c r="D187" s="573">
        <v>1</v>
      </c>
      <c r="E187" s="901"/>
      <c r="F187" s="270"/>
      <c r="G187" s="270">
        <v>1</v>
      </c>
      <c r="H187" s="342"/>
      <c r="I187" s="576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3">
        <f t="shared" si="447"/>
        <v>1</v>
      </c>
      <c r="X187" s="574" t="s">
        <v>14</v>
      </c>
      <c r="Y187" s="828">
        <v>1000000</v>
      </c>
      <c r="Z187" s="995"/>
      <c r="AA187" s="828"/>
      <c r="AB187" s="828">
        <v>1000000</v>
      </c>
      <c r="AC187" s="789"/>
      <c r="AD187" s="789"/>
      <c r="AE187" s="569"/>
      <c r="AF187" s="789"/>
      <c r="AG187" s="789"/>
      <c r="AH187" s="789"/>
      <c r="AI187" s="789"/>
      <c r="AJ187" s="789"/>
      <c r="AK187" s="789"/>
      <c r="AL187" s="789"/>
      <c r="AM187" s="789"/>
      <c r="AN187" s="789"/>
      <c r="AO187" s="789"/>
      <c r="AP187" s="789"/>
      <c r="AQ187" s="789"/>
      <c r="AR187" s="570">
        <f t="shared" si="457"/>
        <v>1000000</v>
      </c>
      <c r="AS187" s="1352">
        <f t="shared" si="495"/>
        <v>0</v>
      </c>
      <c r="AT187" s="272"/>
      <c r="AU187" s="272">
        <f t="shared" si="496"/>
        <v>1000000</v>
      </c>
      <c r="AV187" s="272">
        <f t="shared" si="497"/>
        <v>0</v>
      </c>
      <c r="AW187" s="272">
        <f t="shared" si="498"/>
        <v>0</v>
      </c>
      <c r="AX187" s="272">
        <f t="shared" si="499"/>
        <v>0</v>
      </c>
      <c r="AY187" s="272">
        <f t="shared" si="500"/>
        <v>0</v>
      </c>
      <c r="AZ187" s="272">
        <f t="shared" si="501"/>
        <v>0</v>
      </c>
      <c r="BA187" s="272">
        <f t="shared" si="502"/>
        <v>0</v>
      </c>
      <c r="BB187" s="272">
        <f t="shared" si="503"/>
        <v>0</v>
      </c>
      <c r="BC187" s="272">
        <f t="shared" si="504"/>
        <v>0</v>
      </c>
      <c r="BD187" s="272">
        <f t="shared" si="505"/>
        <v>0</v>
      </c>
      <c r="BE187" s="272"/>
      <c r="BF187" s="272"/>
      <c r="BG187" s="272"/>
      <c r="BH187" s="272"/>
      <c r="BI187" s="272"/>
      <c r="BJ187" s="272"/>
      <c r="BK187" s="273">
        <f t="shared" si="449"/>
        <v>1000000</v>
      </c>
      <c r="BL187" s="272"/>
      <c r="BM187" s="272"/>
      <c r="BN187" s="272"/>
      <c r="BO187" s="1331">
        <f t="shared" ref="BO187" si="506">SUM(AV187*14%)</f>
        <v>0</v>
      </c>
      <c r="BP187" s="272">
        <f t="shared" ref="BP187" si="507">SUM(AW187*14%)</f>
        <v>0</v>
      </c>
      <c r="BQ187" s="272">
        <f t="shared" ref="BQ187" si="508">SUM(AX187*14%)</f>
        <v>0</v>
      </c>
      <c r="BR187" s="272">
        <f t="shared" ref="BR187" si="509">SUM(AY187*14%)</f>
        <v>0</v>
      </c>
      <c r="BS187" s="272">
        <f t="shared" ref="BS187" si="510">SUM(AZ187*14%)</f>
        <v>0</v>
      </c>
      <c r="BT187" s="272">
        <f t="shared" ref="BT187" si="511">SUM(BA187*14%)</f>
        <v>0</v>
      </c>
      <c r="BU187" s="272">
        <f t="shared" ref="BU187" si="512">SUM(BB187*14%)</f>
        <v>0</v>
      </c>
      <c r="BV187" s="272">
        <f t="shared" ref="BV187" si="513">SUM(BC187*14%)</f>
        <v>0</v>
      </c>
      <c r="BW187" s="272">
        <f t="shared" ref="BW187" si="514">SUM(BD187*14%)</f>
        <v>0</v>
      </c>
      <c r="BX187" s="299">
        <f t="shared" si="451"/>
        <v>0</v>
      </c>
      <c r="BY187" s="790">
        <f t="shared" si="494"/>
        <v>0</v>
      </c>
      <c r="BZ187" s="791">
        <f t="shared" si="452"/>
        <v>1000000</v>
      </c>
      <c r="CA187" s="792">
        <f t="shared" si="481"/>
        <v>31016360</v>
      </c>
      <c r="CB187" s="571">
        <f t="shared" si="453"/>
        <v>1</v>
      </c>
      <c r="CC187" s="1081"/>
      <c r="CD187" s="1081"/>
      <c r="CE187" s="1083"/>
      <c r="CF187" s="1084"/>
      <c r="CG187" s="862"/>
      <c r="CH187" s="862"/>
      <c r="CI187" s="862"/>
      <c r="CJ187" s="862"/>
      <c r="CK187" s="862"/>
      <c r="CL187" s="862"/>
      <c r="CM187" s="862"/>
      <c r="CN187" s="862"/>
      <c r="CO187" s="1081">
        <f t="shared" si="482"/>
        <v>0</v>
      </c>
      <c r="CP187" s="862"/>
      <c r="CQ187" s="862"/>
      <c r="CR187" s="862"/>
      <c r="CS187" s="862"/>
      <c r="CT187" s="862"/>
      <c r="CU187" s="862"/>
      <c r="CV187" s="862"/>
      <c r="CW187" s="862"/>
      <c r="CX187" s="862"/>
      <c r="CY187" s="73">
        <f t="shared" si="455"/>
        <v>0</v>
      </c>
      <c r="CZ187" s="862"/>
      <c r="DA187" s="862"/>
      <c r="DB187" s="862"/>
      <c r="DC187" s="862"/>
      <c r="DD187" s="862"/>
      <c r="DE187" s="862"/>
      <c r="DF187" s="862"/>
      <c r="DG187" s="862"/>
      <c r="DH187" s="1081"/>
      <c r="DI187" s="862"/>
      <c r="DJ187" s="862"/>
      <c r="DK187" s="862"/>
      <c r="DL187" s="862"/>
      <c r="DM187" s="862"/>
      <c r="DN187" s="862"/>
      <c r="DO187" s="862"/>
      <c r="DP187" s="862"/>
      <c r="DQ187" s="862"/>
      <c r="DR187" s="73">
        <f t="shared" si="456"/>
        <v>0</v>
      </c>
      <c r="DS187" s="412"/>
      <c r="DT187" s="412"/>
      <c r="DU187" s="420"/>
      <c r="DV187" s="412"/>
      <c r="DW187" s="412"/>
      <c r="DX187" s="412"/>
      <c r="DY187" s="277"/>
      <c r="DZ187" s="277"/>
      <c r="EA187" s="277"/>
      <c r="EB187" s="277"/>
      <c r="EC187" s="277"/>
      <c r="ED187" s="277"/>
      <c r="EE187" s="277"/>
      <c r="EF187" s="277"/>
      <c r="EG187" s="277"/>
      <c r="EH187" s="277"/>
      <c r="EI187" s="277"/>
    </row>
    <row r="188" spans="1:139" s="278" customFormat="1" ht="29.25" customHeight="1" x14ac:dyDescent="0.2">
      <c r="A188" s="786">
        <f t="shared" si="469"/>
        <v>9</v>
      </c>
      <c r="B188" s="900" t="s">
        <v>603</v>
      </c>
      <c r="C188" s="281" t="s">
        <v>128</v>
      </c>
      <c r="D188" s="573">
        <v>1</v>
      </c>
      <c r="E188" s="901"/>
      <c r="F188" s="270"/>
      <c r="G188" s="270">
        <v>1</v>
      </c>
      <c r="H188" s="342"/>
      <c r="I188" s="576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3">
        <f t="shared" si="447"/>
        <v>1</v>
      </c>
      <c r="X188" s="574" t="s">
        <v>14</v>
      </c>
      <c r="Y188" s="828">
        <v>2500000</v>
      </c>
      <c r="Z188" s="995"/>
      <c r="AA188" s="828"/>
      <c r="AB188" s="828">
        <v>2500000</v>
      </c>
      <c r="AC188" s="789"/>
      <c r="AD188" s="789"/>
      <c r="AE188" s="569"/>
      <c r="AF188" s="789"/>
      <c r="AG188" s="789"/>
      <c r="AH188" s="789"/>
      <c r="AI188" s="789"/>
      <c r="AJ188" s="789"/>
      <c r="AK188" s="789"/>
      <c r="AL188" s="789"/>
      <c r="AM188" s="789"/>
      <c r="AN188" s="789"/>
      <c r="AO188" s="789"/>
      <c r="AP188" s="789"/>
      <c r="AQ188" s="789"/>
      <c r="AR188" s="570">
        <f t="shared" si="457"/>
        <v>2500000</v>
      </c>
      <c r="AS188" s="1352">
        <f t="shared" si="495"/>
        <v>0</v>
      </c>
      <c r="AT188" s="272"/>
      <c r="AU188" s="272">
        <f t="shared" si="496"/>
        <v>2500000</v>
      </c>
      <c r="AV188" s="272">
        <f t="shared" si="497"/>
        <v>0</v>
      </c>
      <c r="AW188" s="272">
        <f t="shared" si="498"/>
        <v>0</v>
      </c>
      <c r="AX188" s="272">
        <f t="shared" si="499"/>
        <v>0</v>
      </c>
      <c r="AY188" s="272">
        <f t="shared" si="500"/>
        <v>0</v>
      </c>
      <c r="AZ188" s="272">
        <f t="shared" si="501"/>
        <v>0</v>
      </c>
      <c r="BA188" s="272">
        <f t="shared" si="502"/>
        <v>0</v>
      </c>
      <c r="BB188" s="272">
        <f t="shared" si="503"/>
        <v>0</v>
      </c>
      <c r="BC188" s="272">
        <f t="shared" si="504"/>
        <v>0</v>
      </c>
      <c r="BD188" s="272">
        <f t="shared" si="505"/>
        <v>0</v>
      </c>
      <c r="BE188" s="272"/>
      <c r="BF188" s="272"/>
      <c r="BG188" s="272"/>
      <c r="BH188" s="272"/>
      <c r="BI188" s="272"/>
      <c r="BJ188" s="272"/>
      <c r="BK188" s="273">
        <f t="shared" si="449"/>
        <v>2500000</v>
      </c>
      <c r="BL188" s="272"/>
      <c r="BM188" s="272"/>
      <c r="BN188" s="272"/>
      <c r="BO188" s="1331">
        <f t="shared" si="472"/>
        <v>0</v>
      </c>
      <c r="BP188" s="272">
        <f t="shared" si="473"/>
        <v>0</v>
      </c>
      <c r="BQ188" s="272">
        <f t="shared" si="474"/>
        <v>0</v>
      </c>
      <c r="BR188" s="272">
        <f t="shared" si="475"/>
        <v>0</v>
      </c>
      <c r="BS188" s="272">
        <f t="shared" si="476"/>
        <v>0</v>
      </c>
      <c r="BT188" s="272">
        <f t="shared" si="477"/>
        <v>0</v>
      </c>
      <c r="BU188" s="272">
        <f t="shared" si="478"/>
        <v>0</v>
      </c>
      <c r="BV188" s="272">
        <f t="shared" si="479"/>
        <v>0</v>
      </c>
      <c r="BW188" s="272">
        <f t="shared" si="480"/>
        <v>0</v>
      </c>
      <c r="BX188" s="299">
        <f t="shared" si="451"/>
        <v>0</v>
      </c>
      <c r="BY188" s="790">
        <f t="shared" si="494"/>
        <v>0</v>
      </c>
      <c r="BZ188" s="791">
        <f t="shared" si="452"/>
        <v>2500000</v>
      </c>
      <c r="CA188" s="792">
        <f t="shared" si="481"/>
        <v>28516360</v>
      </c>
      <c r="CB188" s="571">
        <f t="shared" si="453"/>
        <v>1</v>
      </c>
      <c r="CC188" s="1081"/>
      <c r="CD188" s="1081"/>
      <c r="CE188" s="1083"/>
      <c r="CF188" s="1084"/>
      <c r="CG188" s="862"/>
      <c r="CH188" s="862"/>
      <c r="CI188" s="862"/>
      <c r="CJ188" s="862"/>
      <c r="CK188" s="862"/>
      <c r="CL188" s="862"/>
      <c r="CM188" s="862"/>
      <c r="CN188" s="862"/>
      <c r="CO188" s="1081">
        <f t="shared" si="482"/>
        <v>0</v>
      </c>
      <c r="CP188" s="862"/>
      <c r="CQ188" s="862"/>
      <c r="CR188" s="862"/>
      <c r="CS188" s="862"/>
      <c r="CT188" s="862"/>
      <c r="CU188" s="862"/>
      <c r="CV188" s="862"/>
      <c r="CW188" s="862"/>
      <c r="CX188" s="862"/>
      <c r="CY188" s="73">
        <f t="shared" si="455"/>
        <v>0</v>
      </c>
      <c r="CZ188" s="862"/>
      <c r="DA188" s="862"/>
      <c r="DB188" s="862"/>
      <c r="DC188" s="862"/>
      <c r="DD188" s="862"/>
      <c r="DE188" s="862"/>
      <c r="DF188" s="862"/>
      <c r="DG188" s="862"/>
      <c r="DH188" s="1081"/>
      <c r="DI188" s="862"/>
      <c r="DJ188" s="862"/>
      <c r="DK188" s="862"/>
      <c r="DL188" s="862"/>
      <c r="DM188" s="862"/>
      <c r="DN188" s="862"/>
      <c r="DO188" s="862"/>
      <c r="DP188" s="862"/>
      <c r="DQ188" s="862"/>
      <c r="DR188" s="73">
        <f t="shared" si="456"/>
        <v>0</v>
      </c>
      <c r="DS188" s="412"/>
      <c r="DT188" s="412"/>
      <c r="DU188" s="420"/>
      <c r="DV188" s="412"/>
      <c r="DW188" s="412"/>
      <c r="DX188" s="412"/>
      <c r="DY188" s="277"/>
      <c r="DZ188" s="277"/>
      <c r="EA188" s="277"/>
      <c r="EB188" s="277"/>
      <c r="EC188" s="277"/>
      <c r="ED188" s="277"/>
      <c r="EE188" s="277"/>
      <c r="EF188" s="277"/>
      <c r="EG188" s="277"/>
      <c r="EH188" s="277"/>
      <c r="EI188" s="277"/>
    </row>
    <row r="189" spans="1:139" s="278" customFormat="1" ht="29.25" customHeight="1" x14ac:dyDescent="0.2">
      <c r="A189" s="786">
        <f t="shared" si="469"/>
        <v>10</v>
      </c>
      <c r="B189" s="900" t="s">
        <v>599</v>
      </c>
      <c r="C189" s="281" t="s">
        <v>128</v>
      </c>
      <c r="D189" s="573">
        <v>1</v>
      </c>
      <c r="E189" s="901"/>
      <c r="F189" s="270"/>
      <c r="G189" s="270">
        <v>1</v>
      </c>
      <c r="H189" s="342"/>
      <c r="I189" s="576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3">
        <f t="shared" si="447"/>
        <v>1</v>
      </c>
      <c r="X189" s="574" t="s">
        <v>14</v>
      </c>
      <c r="Y189" s="828">
        <v>250000</v>
      </c>
      <c r="Z189" s="995"/>
      <c r="AA189" s="828"/>
      <c r="AB189" s="828">
        <v>250000</v>
      </c>
      <c r="AC189" s="789"/>
      <c r="AD189" s="789"/>
      <c r="AE189" s="569"/>
      <c r="AF189" s="789"/>
      <c r="AG189" s="789"/>
      <c r="AH189" s="789"/>
      <c r="AI189" s="789"/>
      <c r="AJ189" s="789"/>
      <c r="AK189" s="789"/>
      <c r="AL189" s="789"/>
      <c r="AM189" s="789"/>
      <c r="AN189" s="789"/>
      <c r="AO189" s="789"/>
      <c r="AP189" s="789"/>
      <c r="AQ189" s="789"/>
      <c r="AR189" s="570">
        <f t="shared" si="457"/>
        <v>250000</v>
      </c>
      <c r="AS189" s="1352">
        <f t="shared" si="495"/>
        <v>0</v>
      </c>
      <c r="AT189" s="272"/>
      <c r="AU189" s="272">
        <f t="shared" si="496"/>
        <v>250000</v>
      </c>
      <c r="AV189" s="272">
        <f t="shared" si="497"/>
        <v>0</v>
      </c>
      <c r="AW189" s="272">
        <f t="shared" si="498"/>
        <v>0</v>
      </c>
      <c r="AX189" s="272">
        <f t="shared" si="499"/>
        <v>0</v>
      </c>
      <c r="AY189" s="272">
        <f t="shared" si="500"/>
        <v>0</v>
      </c>
      <c r="AZ189" s="272">
        <f t="shared" si="501"/>
        <v>0</v>
      </c>
      <c r="BA189" s="272">
        <f t="shared" si="502"/>
        <v>0</v>
      </c>
      <c r="BB189" s="272">
        <f t="shared" si="503"/>
        <v>0</v>
      </c>
      <c r="BC189" s="272">
        <f t="shared" si="504"/>
        <v>0</v>
      </c>
      <c r="BD189" s="272">
        <f t="shared" si="505"/>
        <v>0</v>
      </c>
      <c r="BE189" s="272"/>
      <c r="BF189" s="272"/>
      <c r="BG189" s="272"/>
      <c r="BH189" s="272"/>
      <c r="BI189" s="272"/>
      <c r="BJ189" s="272"/>
      <c r="BK189" s="273">
        <f t="shared" si="449"/>
        <v>250000</v>
      </c>
      <c r="BL189" s="272"/>
      <c r="BM189" s="272"/>
      <c r="BN189" s="272"/>
      <c r="BO189" s="1331">
        <f t="shared" si="472"/>
        <v>0</v>
      </c>
      <c r="BP189" s="272">
        <f t="shared" si="473"/>
        <v>0</v>
      </c>
      <c r="BQ189" s="272">
        <f t="shared" si="474"/>
        <v>0</v>
      </c>
      <c r="BR189" s="272">
        <f t="shared" si="475"/>
        <v>0</v>
      </c>
      <c r="BS189" s="272">
        <f t="shared" si="476"/>
        <v>0</v>
      </c>
      <c r="BT189" s="272">
        <f t="shared" si="477"/>
        <v>0</v>
      </c>
      <c r="BU189" s="272">
        <f t="shared" si="478"/>
        <v>0</v>
      </c>
      <c r="BV189" s="272">
        <f t="shared" si="479"/>
        <v>0</v>
      </c>
      <c r="BW189" s="272">
        <f t="shared" si="480"/>
        <v>0</v>
      </c>
      <c r="BX189" s="299">
        <f t="shared" si="451"/>
        <v>0</v>
      </c>
      <c r="BY189" s="790">
        <f t="shared" si="494"/>
        <v>0</v>
      </c>
      <c r="BZ189" s="791">
        <f t="shared" si="452"/>
        <v>250000</v>
      </c>
      <c r="CA189" s="792">
        <f t="shared" si="481"/>
        <v>28266360</v>
      </c>
      <c r="CB189" s="571">
        <f t="shared" si="453"/>
        <v>1</v>
      </c>
      <c r="CC189" s="1081"/>
      <c r="CD189" s="1081"/>
      <c r="CE189" s="1083"/>
      <c r="CF189" s="1084"/>
      <c r="CG189" s="862"/>
      <c r="CH189" s="862"/>
      <c r="CI189" s="862"/>
      <c r="CJ189" s="862"/>
      <c r="CK189" s="862"/>
      <c r="CL189" s="862"/>
      <c r="CM189" s="862"/>
      <c r="CN189" s="862"/>
      <c r="CO189" s="1081">
        <f t="shared" si="482"/>
        <v>0</v>
      </c>
      <c r="CP189" s="862"/>
      <c r="CQ189" s="862"/>
      <c r="CR189" s="862"/>
      <c r="CS189" s="862"/>
      <c r="CT189" s="862"/>
      <c r="CU189" s="862"/>
      <c r="CV189" s="862"/>
      <c r="CW189" s="862"/>
      <c r="CX189" s="862"/>
      <c r="CY189" s="73">
        <f t="shared" si="455"/>
        <v>0</v>
      </c>
      <c r="CZ189" s="862"/>
      <c r="DA189" s="862"/>
      <c r="DB189" s="862"/>
      <c r="DC189" s="862"/>
      <c r="DD189" s="862"/>
      <c r="DE189" s="862"/>
      <c r="DF189" s="862"/>
      <c r="DG189" s="862"/>
      <c r="DH189" s="1081"/>
      <c r="DI189" s="862"/>
      <c r="DJ189" s="862"/>
      <c r="DK189" s="862"/>
      <c r="DL189" s="862"/>
      <c r="DM189" s="862"/>
      <c r="DN189" s="862"/>
      <c r="DO189" s="862"/>
      <c r="DP189" s="862"/>
      <c r="DQ189" s="862"/>
      <c r="DR189" s="73">
        <f t="shared" si="456"/>
        <v>0</v>
      </c>
      <c r="DS189" s="412"/>
      <c r="DT189" s="412"/>
      <c r="DU189" s="420"/>
      <c r="DV189" s="412"/>
      <c r="DW189" s="412"/>
      <c r="DX189" s="412"/>
      <c r="DY189" s="277"/>
      <c r="DZ189" s="277"/>
      <c r="EA189" s="277"/>
      <c r="EB189" s="277"/>
      <c r="EC189" s="277"/>
      <c r="ED189" s="277"/>
      <c r="EE189" s="277"/>
      <c r="EF189" s="277"/>
      <c r="EG189" s="277"/>
      <c r="EH189" s="277"/>
      <c r="EI189" s="277"/>
    </row>
    <row r="190" spans="1:139" s="278" customFormat="1" ht="29.25" customHeight="1" x14ac:dyDescent="0.2">
      <c r="A190" s="786">
        <f t="shared" si="469"/>
        <v>11</v>
      </c>
      <c r="B190" s="900" t="s">
        <v>604</v>
      </c>
      <c r="C190" s="281" t="s">
        <v>128</v>
      </c>
      <c r="D190" s="573">
        <v>1</v>
      </c>
      <c r="E190" s="901"/>
      <c r="F190" s="270"/>
      <c r="G190" s="270">
        <v>1</v>
      </c>
      <c r="H190" s="342"/>
      <c r="I190" s="576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3">
        <f t="shared" si="447"/>
        <v>1</v>
      </c>
      <c r="X190" s="574" t="s">
        <v>14</v>
      </c>
      <c r="Y190" s="828">
        <v>200000</v>
      </c>
      <c r="Z190" s="995"/>
      <c r="AA190" s="828"/>
      <c r="AB190" s="828">
        <v>200000</v>
      </c>
      <c r="AC190" s="789"/>
      <c r="AD190" s="789"/>
      <c r="AE190" s="569"/>
      <c r="AF190" s="789"/>
      <c r="AG190" s="789"/>
      <c r="AH190" s="789"/>
      <c r="AI190" s="789"/>
      <c r="AJ190" s="789"/>
      <c r="AK190" s="789"/>
      <c r="AL190" s="789"/>
      <c r="AM190" s="789"/>
      <c r="AN190" s="789"/>
      <c r="AO190" s="789"/>
      <c r="AP190" s="789"/>
      <c r="AQ190" s="789"/>
      <c r="AR190" s="570">
        <f>SUM(W190*Y190)</f>
        <v>200000</v>
      </c>
      <c r="AS190" s="1352">
        <f t="shared" si="495"/>
        <v>0</v>
      </c>
      <c r="AT190" s="272"/>
      <c r="AU190" s="272">
        <f t="shared" si="496"/>
        <v>200000</v>
      </c>
      <c r="AV190" s="272">
        <f t="shared" si="497"/>
        <v>0</v>
      </c>
      <c r="AW190" s="272">
        <f t="shared" si="498"/>
        <v>0</v>
      </c>
      <c r="AX190" s="272">
        <f t="shared" si="499"/>
        <v>0</v>
      </c>
      <c r="AY190" s="272">
        <f t="shared" si="500"/>
        <v>0</v>
      </c>
      <c r="AZ190" s="272">
        <f t="shared" si="501"/>
        <v>0</v>
      </c>
      <c r="BA190" s="272">
        <f t="shared" si="502"/>
        <v>0</v>
      </c>
      <c r="BB190" s="272">
        <f t="shared" si="503"/>
        <v>0</v>
      </c>
      <c r="BC190" s="272">
        <f t="shared" si="504"/>
        <v>0</v>
      </c>
      <c r="BD190" s="272">
        <f t="shared" si="505"/>
        <v>0</v>
      </c>
      <c r="BE190" s="272"/>
      <c r="BF190" s="272"/>
      <c r="BG190" s="272"/>
      <c r="BH190" s="272"/>
      <c r="BI190" s="272"/>
      <c r="BJ190" s="272"/>
      <c r="BK190" s="273">
        <f t="shared" ref="BK190:BK207" si="515">SUM(AS190:BD190)</f>
        <v>200000</v>
      </c>
      <c r="BL190" s="272"/>
      <c r="BM190" s="272"/>
      <c r="BN190" s="272"/>
      <c r="BO190" s="1331">
        <f t="shared" ref="BO190" si="516">SUM(AV190*14%)</f>
        <v>0</v>
      </c>
      <c r="BP190" s="272">
        <f t="shared" si="473"/>
        <v>0</v>
      </c>
      <c r="BQ190" s="272">
        <f t="shared" si="474"/>
        <v>0</v>
      </c>
      <c r="BR190" s="272">
        <f t="shared" si="475"/>
        <v>0</v>
      </c>
      <c r="BS190" s="272">
        <f t="shared" si="476"/>
        <v>0</v>
      </c>
      <c r="BT190" s="272">
        <f t="shared" si="477"/>
        <v>0</v>
      </c>
      <c r="BU190" s="272">
        <f t="shared" si="478"/>
        <v>0</v>
      </c>
      <c r="BV190" s="272">
        <f t="shared" si="479"/>
        <v>0</v>
      </c>
      <c r="BW190" s="272">
        <f t="shared" si="480"/>
        <v>0</v>
      </c>
      <c r="BX190" s="299">
        <f t="shared" si="451"/>
        <v>0</v>
      </c>
      <c r="BY190" s="790">
        <f>AR190-BK190-BX190</f>
        <v>0</v>
      </c>
      <c r="BZ190" s="791">
        <f t="shared" si="452"/>
        <v>200000</v>
      </c>
      <c r="CA190" s="792">
        <f t="shared" si="481"/>
        <v>28066360</v>
      </c>
      <c r="CB190" s="571">
        <f t="shared" si="453"/>
        <v>1</v>
      </c>
      <c r="CC190" s="1081"/>
      <c r="CD190" s="1081"/>
      <c r="CE190" s="1083"/>
      <c r="CF190" s="1084"/>
      <c r="CG190" s="862"/>
      <c r="CH190" s="862"/>
      <c r="CI190" s="862"/>
      <c r="CJ190" s="862"/>
      <c r="CK190" s="862"/>
      <c r="CL190" s="862"/>
      <c r="CM190" s="862"/>
      <c r="CN190" s="862"/>
      <c r="CO190" s="1081">
        <f t="shared" si="482"/>
        <v>0</v>
      </c>
      <c r="CP190" s="862"/>
      <c r="CQ190" s="862"/>
      <c r="CR190" s="862"/>
      <c r="CS190" s="862"/>
      <c r="CT190" s="862"/>
      <c r="CU190" s="862"/>
      <c r="CV190" s="862"/>
      <c r="CW190" s="862"/>
      <c r="CX190" s="862"/>
      <c r="CY190" s="73">
        <f t="shared" si="455"/>
        <v>0</v>
      </c>
      <c r="CZ190" s="862"/>
      <c r="DA190" s="862"/>
      <c r="DB190" s="862"/>
      <c r="DC190" s="862"/>
      <c r="DD190" s="862"/>
      <c r="DE190" s="862"/>
      <c r="DF190" s="862"/>
      <c r="DG190" s="862"/>
      <c r="DH190" s="1081"/>
      <c r="DI190" s="862"/>
      <c r="DJ190" s="862"/>
      <c r="DK190" s="862"/>
      <c r="DL190" s="862"/>
      <c r="DM190" s="862"/>
      <c r="DN190" s="862"/>
      <c r="DO190" s="862"/>
      <c r="DP190" s="862"/>
      <c r="DQ190" s="862"/>
      <c r="DR190" s="73">
        <f t="shared" si="456"/>
        <v>0</v>
      </c>
      <c r="DS190" s="412"/>
      <c r="DT190" s="412"/>
      <c r="DU190" s="420"/>
      <c r="DV190" s="412"/>
      <c r="DW190" s="412"/>
      <c r="DX190" s="412"/>
      <c r="DY190" s="277"/>
      <c r="DZ190" s="277"/>
      <c r="EA190" s="277"/>
      <c r="EB190" s="277"/>
      <c r="EC190" s="277"/>
      <c r="ED190" s="277"/>
      <c r="EE190" s="277"/>
      <c r="EF190" s="277"/>
      <c r="EG190" s="277"/>
      <c r="EH190" s="277"/>
      <c r="EI190" s="277"/>
    </row>
    <row r="191" spans="1:139" s="278" customFormat="1" ht="29.25" customHeight="1" x14ac:dyDescent="0.2">
      <c r="A191" s="786">
        <f t="shared" si="469"/>
        <v>12</v>
      </c>
      <c r="B191" s="900" t="s">
        <v>610</v>
      </c>
      <c r="C191" s="281" t="s">
        <v>128</v>
      </c>
      <c r="D191" s="573">
        <v>40</v>
      </c>
      <c r="E191" s="901"/>
      <c r="F191" s="270"/>
      <c r="G191" s="270"/>
      <c r="H191" s="342">
        <v>40</v>
      </c>
      <c r="I191" s="576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3">
        <f t="shared" si="447"/>
        <v>40</v>
      </c>
      <c r="X191" s="574" t="s">
        <v>31</v>
      </c>
      <c r="Y191" s="828">
        <v>10300</v>
      </c>
      <c r="Z191" s="995"/>
      <c r="AA191" s="828"/>
      <c r="AB191" s="828"/>
      <c r="AC191" s="789">
        <v>9000</v>
      </c>
      <c r="AD191" s="789"/>
      <c r="AE191" s="569"/>
      <c r="AF191" s="789"/>
      <c r="AG191" s="789"/>
      <c r="AH191" s="789"/>
      <c r="AI191" s="789"/>
      <c r="AJ191" s="789"/>
      <c r="AK191" s="789"/>
      <c r="AL191" s="789"/>
      <c r="AM191" s="789"/>
      <c r="AN191" s="789"/>
      <c r="AO191" s="789"/>
      <c r="AP191" s="789"/>
      <c r="AQ191" s="789"/>
      <c r="AR191" s="570">
        <f t="shared" ref="AR191:AR207" si="517">SUM(W191*Y191)</f>
        <v>412000</v>
      </c>
      <c r="AS191" s="1352">
        <f t="shared" si="495"/>
        <v>0</v>
      </c>
      <c r="AT191" s="272"/>
      <c r="AU191" s="272">
        <f t="shared" si="496"/>
        <v>0</v>
      </c>
      <c r="AV191" s="272">
        <f t="shared" si="497"/>
        <v>360000</v>
      </c>
      <c r="AW191" s="272">
        <f t="shared" si="498"/>
        <v>0</v>
      </c>
      <c r="AX191" s="272">
        <f t="shared" si="499"/>
        <v>0</v>
      </c>
      <c r="AY191" s="272">
        <f t="shared" si="500"/>
        <v>0</v>
      </c>
      <c r="AZ191" s="272">
        <f t="shared" si="501"/>
        <v>0</v>
      </c>
      <c r="BA191" s="272">
        <f t="shared" si="502"/>
        <v>0</v>
      </c>
      <c r="BB191" s="272">
        <f t="shared" si="503"/>
        <v>0</v>
      </c>
      <c r="BC191" s="272">
        <f t="shared" si="504"/>
        <v>0</v>
      </c>
      <c r="BD191" s="272">
        <f t="shared" si="505"/>
        <v>0</v>
      </c>
      <c r="BE191" s="272"/>
      <c r="BF191" s="272"/>
      <c r="BG191" s="272"/>
      <c r="BH191" s="272"/>
      <c r="BI191" s="272"/>
      <c r="BJ191" s="272"/>
      <c r="BK191" s="273">
        <f t="shared" ref="BK191:BK206" si="518">SUM(AS191:BD191)</f>
        <v>360000</v>
      </c>
      <c r="BL191" s="272"/>
      <c r="BM191" s="272"/>
      <c r="BN191" s="272"/>
      <c r="BO191" s="1331">
        <f>SUM(AV191*4%)</f>
        <v>14400</v>
      </c>
      <c r="BP191" s="272">
        <f t="shared" ref="BP191" si="519">SUM(AW191*14%)</f>
        <v>0</v>
      </c>
      <c r="BQ191" s="272">
        <f t="shared" ref="BQ191" si="520">SUM(AX191*14%)</f>
        <v>0</v>
      </c>
      <c r="BR191" s="272">
        <f t="shared" ref="BR191" si="521">SUM(AY191*14%)</f>
        <v>0</v>
      </c>
      <c r="BS191" s="272">
        <f t="shared" ref="BS191" si="522">SUM(AZ191*14%)</f>
        <v>0</v>
      </c>
      <c r="BT191" s="272">
        <f t="shared" ref="BT191" si="523">SUM(BA191*14%)</f>
        <v>0</v>
      </c>
      <c r="BU191" s="272">
        <f t="shared" ref="BU191" si="524">SUM(BB191*14%)</f>
        <v>0</v>
      </c>
      <c r="BV191" s="272">
        <f t="shared" ref="BV191" si="525">SUM(BC191*14%)</f>
        <v>0</v>
      </c>
      <c r="BW191" s="272">
        <f t="shared" ref="BW191" si="526">SUM(BD191*14%)</f>
        <v>0</v>
      </c>
      <c r="BX191" s="299">
        <f t="shared" si="451"/>
        <v>14400</v>
      </c>
      <c r="BY191" s="790">
        <v>0</v>
      </c>
      <c r="BZ191" s="791">
        <v>374400</v>
      </c>
      <c r="CA191" s="792">
        <f t="shared" si="481"/>
        <v>27691960</v>
      </c>
      <c r="CB191" s="571">
        <f t="shared" si="453"/>
        <v>1</v>
      </c>
      <c r="CC191" s="1081"/>
      <c r="CD191" s="1081"/>
      <c r="CE191" s="1083"/>
      <c r="CF191" s="1084"/>
      <c r="CG191" s="862"/>
      <c r="CH191" s="862"/>
      <c r="CI191" s="862"/>
      <c r="CJ191" s="862"/>
      <c r="CK191" s="862"/>
      <c r="CL191" s="862"/>
      <c r="CM191" s="862"/>
      <c r="CN191" s="862"/>
      <c r="CO191" s="1081">
        <f t="shared" si="482"/>
        <v>0</v>
      </c>
      <c r="CP191" s="862"/>
      <c r="CQ191" s="862"/>
      <c r="CR191" s="862"/>
      <c r="CS191" s="862"/>
      <c r="CT191" s="862"/>
      <c r="CU191" s="862"/>
      <c r="CV191" s="862"/>
      <c r="CW191" s="862"/>
      <c r="CX191" s="862"/>
      <c r="CY191" s="73">
        <f t="shared" si="455"/>
        <v>0</v>
      </c>
      <c r="CZ191" s="862"/>
      <c r="DA191" s="862"/>
      <c r="DB191" s="862"/>
      <c r="DC191" s="862"/>
      <c r="DD191" s="862"/>
      <c r="DE191" s="862"/>
      <c r="DF191" s="862"/>
      <c r="DG191" s="862"/>
      <c r="DH191" s="1081"/>
      <c r="DI191" s="862"/>
      <c r="DJ191" s="862"/>
      <c r="DK191" s="862"/>
      <c r="DL191" s="862"/>
      <c r="DM191" s="862"/>
      <c r="DN191" s="862"/>
      <c r="DO191" s="862"/>
      <c r="DP191" s="862"/>
      <c r="DQ191" s="862"/>
      <c r="DR191" s="73">
        <f t="shared" si="456"/>
        <v>0</v>
      </c>
      <c r="DS191" s="412"/>
      <c r="DT191" s="412"/>
      <c r="DU191" s="420"/>
      <c r="DV191" s="412"/>
      <c r="DW191" s="412"/>
      <c r="DX191" s="412"/>
      <c r="DY191" s="277"/>
      <c r="DZ191" s="277"/>
      <c r="EA191" s="277"/>
      <c r="EB191" s="277"/>
      <c r="EC191" s="277"/>
      <c r="ED191" s="277"/>
      <c r="EE191" s="277"/>
      <c r="EF191" s="277"/>
      <c r="EG191" s="277"/>
      <c r="EH191" s="277"/>
      <c r="EI191" s="277"/>
    </row>
    <row r="192" spans="1:139" s="278" customFormat="1" ht="29.25" customHeight="1" x14ac:dyDescent="0.2">
      <c r="A192" s="786">
        <f t="shared" si="469"/>
        <v>13</v>
      </c>
      <c r="B192" s="900" t="s">
        <v>611</v>
      </c>
      <c r="C192" s="281" t="s">
        <v>128</v>
      </c>
      <c r="D192" s="573">
        <v>40</v>
      </c>
      <c r="E192" s="901"/>
      <c r="F192" s="270"/>
      <c r="G192" s="270"/>
      <c r="H192" s="342">
        <v>40</v>
      </c>
      <c r="I192" s="576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3">
        <f t="shared" si="447"/>
        <v>40</v>
      </c>
      <c r="X192" s="574" t="s">
        <v>31</v>
      </c>
      <c r="Y192" s="828">
        <v>10300</v>
      </c>
      <c r="Z192" s="995"/>
      <c r="AA192" s="828"/>
      <c r="AB192" s="828"/>
      <c r="AC192" s="789">
        <v>9000</v>
      </c>
      <c r="AD192" s="789"/>
      <c r="AE192" s="569"/>
      <c r="AF192" s="789"/>
      <c r="AG192" s="789"/>
      <c r="AH192" s="789"/>
      <c r="AI192" s="789"/>
      <c r="AJ192" s="789"/>
      <c r="AK192" s="789"/>
      <c r="AL192" s="789"/>
      <c r="AM192" s="789"/>
      <c r="AN192" s="789"/>
      <c r="AO192" s="789"/>
      <c r="AP192" s="789"/>
      <c r="AQ192" s="789"/>
      <c r="AR192" s="570">
        <f t="shared" si="517"/>
        <v>412000</v>
      </c>
      <c r="AS192" s="1352">
        <f t="shared" si="495"/>
        <v>0</v>
      </c>
      <c r="AT192" s="272"/>
      <c r="AU192" s="272">
        <f t="shared" si="496"/>
        <v>0</v>
      </c>
      <c r="AV192" s="272">
        <f t="shared" si="497"/>
        <v>360000</v>
      </c>
      <c r="AW192" s="272">
        <f t="shared" si="498"/>
        <v>0</v>
      </c>
      <c r="AX192" s="272">
        <f t="shared" si="499"/>
        <v>0</v>
      </c>
      <c r="AY192" s="272">
        <f t="shared" si="500"/>
        <v>0</v>
      </c>
      <c r="AZ192" s="272">
        <f t="shared" si="501"/>
        <v>0</v>
      </c>
      <c r="BA192" s="272">
        <f t="shared" si="502"/>
        <v>0</v>
      </c>
      <c r="BB192" s="272">
        <f t="shared" si="503"/>
        <v>0</v>
      </c>
      <c r="BC192" s="272">
        <f t="shared" si="504"/>
        <v>0</v>
      </c>
      <c r="BD192" s="272">
        <f t="shared" si="505"/>
        <v>0</v>
      </c>
      <c r="BE192" s="272"/>
      <c r="BF192" s="272"/>
      <c r="BG192" s="272"/>
      <c r="BH192" s="272"/>
      <c r="BI192" s="272"/>
      <c r="BJ192" s="272"/>
      <c r="BK192" s="273">
        <f t="shared" ref="BK192" si="527">SUM(AS192:BD192)</f>
        <v>360000</v>
      </c>
      <c r="BL192" s="272"/>
      <c r="BM192" s="272"/>
      <c r="BN192" s="272"/>
      <c r="BO192" s="1331">
        <f>SUM(AV192*4%)</f>
        <v>14400</v>
      </c>
      <c r="BP192" s="272">
        <f t="shared" ref="BP192" si="528">SUM(AW192*14%)</f>
        <v>0</v>
      </c>
      <c r="BQ192" s="272">
        <f t="shared" ref="BQ192" si="529">SUM(AX192*14%)</f>
        <v>0</v>
      </c>
      <c r="BR192" s="272">
        <f t="shared" ref="BR192" si="530">SUM(AY192*14%)</f>
        <v>0</v>
      </c>
      <c r="BS192" s="272">
        <f t="shared" ref="BS192" si="531">SUM(AZ192*14%)</f>
        <v>0</v>
      </c>
      <c r="BT192" s="272">
        <f t="shared" ref="BT192" si="532">SUM(BA192*14%)</f>
        <v>0</v>
      </c>
      <c r="BU192" s="272">
        <f t="shared" ref="BU192" si="533">SUM(BB192*14%)</f>
        <v>0</v>
      </c>
      <c r="BV192" s="272">
        <f t="shared" ref="BV192" si="534">SUM(BC192*14%)</f>
        <v>0</v>
      </c>
      <c r="BW192" s="272">
        <f t="shared" ref="BW192" si="535">SUM(BD192*14%)</f>
        <v>0</v>
      </c>
      <c r="BX192" s="299">
        <f t="shared" si="451"/>
        <v>14400</v>
      </c>
      <c r="BY192" s="790">
        <v>0</v>
      </c>
      <c r="BZ192" s="791">
        <v>374400</v>
      </c>
      <c r="CA192" s="792">
        <f t="shared" si="481"/>
        <v>27317560</v>
      </c>
      <c r="CB192" s="571">
        <f t="shared" si="453"/>
        <v>1</v>
      </c>
      <c r="CC192" s="1081"/>
      <c r="CD192" s="1081"/>
      <c r="CE192" s="1083"/>
      <c r="CF192" s="1084"/>
      <c r="CG192" s="862"/>
      <c r="CH192" s="862"/>
      <c r="CI192" s="862"/>
      <c r="CJ192" s="862"/>
      <c r="CK192" s="862"/>
      <c r="CL192" s="862"/>
      <c r="CM192" s="862"/>
      <c r="CN192" s="862"/>
      <c r="CO192" s="1081">
        <f t="shared" si="482"/>
        <v>0</v>
      </c>
      <c r="CP192" s="862"/>
      <c r="CQ192" s="862"/>
      <c r="CR192" s="862"/>
      <c r="CS192" s="862"/>
      <c r="CT192" s="862"/>
      <c r="CU192" s="862"/>
      <c r="CV192" s="862"/>
      <c r="CW192" s="862"/>
      <c r="CX192" s="862"/>
      <c r="CY192" s="73">
        <f t="shared" si="455"/>
        <v>0</v>
      </c>
      <c r="CZ192" s="862"/>
      <c r="DA192" s="862"/>
      <c r="DB192" s="862"/>
      <c r="DC192" s="862"/>
      <c r="DD192" s="862"/>
      <c r="DE192" s="862"/>
      <c r="DF192" s="862"/>
      <c r="DG192" s="862"/>
      <c r="DH192" s="1081"/>
      <c r="DI192" s="862"/>
      <c r="DJ192" s="862"/>
      <c r="DK192" s="862"/>
      <c r="DL192" s="862"/>
      <c r="DM192" s="862"/>
      <c r="DN192" s="862"/>
      <c r="DO192" s="862"/>
      <c r="DP192" s="862"/>
      <c r="DQ192" s="862"/>
      <c r="DR192" s="73">
        <f t="shared" si="456"/>
        <v>0</v>
      </c>
      <c r="DS192" s="412"/>
      <c r="DT192" s="412"/>
      <c r="DU192" s="420"/>
      <c r="DV192" s="412"/>
      <c r="DW192" s="412"/>
      <c r="DX192" s="412"/>
      <c r="DY192" s="277"/>
      <c r="DZ192" s="277"/>
      <c r="EA192" s="277"/>
      <c r="EB192" s="277"/>
      <c r="EC192" s="277"/>
      <c r="ED192" s="277"/>
      <c r="EE192" s="277"/>
      <c r="EF192" s="277"/>
      <c r="EG192" s="277"/>
      <c r="EH192" s="277"/>
      <c r="EI192" s="277"/>
    </row>
    <row r="193" spans="1:139" s="278" customFormat="1" ht="29.25" customHeight="1" x14ac:dyDescent="0.2">
      <c r="A193" s="786">
        <f t="shared" si="469"/>
        <v>14</v>
      </c>
      <c r="B193" s="900" t="s">
        <v>612</v>
      </c>
      <c r="C193" s="281" t="s">
        <v>128</v>
      </c>
      <c r="D193" s="573">
        <v>1</v>
      </c>
      <c r="E193" s="901"/>
      <c r="F193" s="270"/>
      <c r="G193" s="270"/>
      <c r="H193" s="342">
        <v>1</v>
      </c>
      <c r="I193" s="576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3">
        <f t="shared" si="447"/>
        <v>1</v>
      </c>
      <c r="X193" s="574" t="s">
        <v>31</v>
      </c>
      <c r="Y193" s="828">
        <v>1030000</v>
      </c>
      <c r="Z193" s="995"/>
      <c r="AA193" s="828"/>
      <c r="AB193" s="828"/>
      <c r="AC193" s="789">
        <v>1000000</v>
      </c>
      <c r="AD193" s="789"/>
      <c r="AE193" s="569"/>
      <c r="AF193" s="789"/>
      <c r="AG193" s="789"/>
      <c r="AH193" s="789"/>
      <c r="AI193" s="789"/>
      <c r="AJ193" s="789"/>
      <c r="AK193" s="789"/>
      <c r="AL193" s="789"/>
      <c r="AM193" s="789"/>
      <c r="AN193" s="789"/>
      <c r="AO193" s="789"/>
      <c r="AP193" s="789"/>
      <c r="AQ193" s="789"/>
      <c r="AR193" s="570">
        <f t="shared" si="517"/>
        <v>1030000</v>
      </c>
      <c r="AS193" s="1352">
        <f t="shared" si="495"/>
        <v>0</v>
      </c>
      <c r="AT193" s="272"/>
      <c r="AU193" s="272">
        <f t="shared" si="496"/>
        <v>0</v>
      </c>
      <c r="AV193" s="272">
        <f t="shared" si="497"/>
        <v>1000000</v>
      </c>
      <c r="AW193" s="272">
        <f t="shared" si="498"/>
        <v>0</v>
      </c>
      <c r="AX193" s="272">
        <f t="shared" si="499"/>
        <v>0</v>
      </c>
      <c r="AY193" s="272">
        <f t="shared" si="500"/>
        <v>0</v>
      </c>
      <c r="AZ193" s="272">
        <f t="shared" si="501"/>
        <v>0</v>
      </c>
      <c r="BA193" s="272">
        <f t="shared" si="502"/>
        <v>0</v>
      </c>
      <c r="BB193" s="272">
        <f t="shared" si="503"/>
        <v>0</v>
      </c>
      <c r="BC193" s="272">
        <f t="shared" si="504"/>
        <v>0</v>
      </c>
      <c r="BD193" s="272">
        <f t="shared" si="505"/>
        <v>0</v>
      </c>
      <c r="BE193" s="272"/>
      <c r="BF193" s="272"/>
      <c r="BG193" s="272"/>
      <c r="BH193" s="272"/>
      <c r="BI193" s="272"/>
      <c r="BJ193" s="272"/>
      <c r="BK193" s="273">
        <f t="shared" si="518"/>
        <v>1000000</v>
      </c>
      <c r="BL193" s="272"/>
      <c r="BM193" s="272"/>
      <c r="BN193" s="272"/>
      <c r="BO193" s="1331">
        <f>SUM(AV193*3%)</f>
        <v>30000</v>
      </c>
      <c r="BP193" s="272">
        <f t="shared" ref="BP193" si="536">SUM(AW193*14%)</f>
        <v>0</v>
      </c>
      <c r="BQ193" s="272">
        <f t="shared" ref="BQ193:BQ197" si="537">SUM(AX193*14%)</f>
        <v>0</v>
      </c>
      <c r="BR193" s="272">
        <f t="shared" ref="BR193:BR203" si="538">SUM(AY193*14%)</f>
        <v>0</v>
      </c>
      <c r="BS193" s="272">
        <f t="shared" ref="BS193:BS203" si="539">SUM(AZ193*14%)</f>
        <v>0</v>
      </c>
      <c r="BT193" s="272">
        <f t="shared" ref="BT193:BT203" si="540">SUM(BA193*14%)</f>
        <v>0</v>
      </c>
      <c r="BU193" s="272">
        <f t="shared" ref="BU193:BU203" si="541">SUM(BB193*14%)</f>
        <v>0</v>
      </c>
      <c r="BV193" s="272">
        <f t="shared" ref="BV193:BV203" si="542">SUM(BC193*14%)</f>
        <v>0</v>
      </c>
      <c r="BW193" s="272">
        <f t="shared" ref="BW193:BW203" si="543">SUM(BD193*14%)</f>
        <v>0</v>
      </c>
      <c r="BX193" s="299">
        <f t="shared" si="451"/>
        <v>30000</v>
      </c>
      <c r="BY193" s="790">
        <f t="shared" ref="BY193:BY207" si="544">AR193-BK193-BX193</f>
        <v>0</v>
      </c>
      <c r="BZ193" s="791">
        <f t="shared" si="452"/>
        <v>1030000</v>
      </c>
      <c r="CA193" s="792">
        <f t="shared" si="481"/>
        <v>26287560</v>
      </c>
      <c r="CB193" s="571">
        <f t="shared" si="453"/>
        <v>1</v>
      </c>
      <c r="CC193" s="1081"/>
      <c r="CD193" s="1081"/>
      <c r="CE193" s="1083"/>
      <c r="CF193" s="1084"/>
      <c r="CG193" s="862"/>
      <c r="CH193" s="862"/>
      <c r="CI193" s="862"/>
      <c r="CJ193" s="862"/>
      <c r="CK193" s="862"/>
      <c r="CL193" s="862"/>
      <c r="CM193" s="862"/>
      <c r="CN193" s="862"/>
      <c r="CO193" s="1081">
        <f t="shared" si="482"/>
        <v>0</v>
      </c>
      <c r="CP193" s="862"/>
      <c r="CQ193" s="862"/>
      <c r="CR193" s="862"/>
      <c r="CS193" s="862"/>
      <c r="CT193" s="862"/>
      <c r="CU193" s="862"/>
      <c r="CV193" s="862"/>
      <c r="CW193" s="862"/>
      <c r="CX193" s="862"/>
      <c r="CY193" s="73">
        <f t="shared" si="455"/>
        <v>0</v>
      </c>
      <c r="CZ193" s="862"/>
      <c r="DA193" s="862"/>
      <c r="DB193" s="862"/>
      <c r="DC193" s="862"/>
      <c r="DD193" s="862"/>
      <c r="DE193" s="862"/>
      <c r="DF193" s="862"/>
      <c r="DG193" s="862"/>
      <c r="DH193" s="1081"/>
      <c r="DI193" s="862"/>
      <c r="DJ193" s="862"/>
      <c r="DK193" s="862"/>
      <c r="DL193" s="862"/>
      <c r="DM193" s="862"/>
      <c r="DN193" s="862"/>
      <c r="DO193" s="862"/>
      <c r="DP193" s="862"/>
      <c r="DQ193" s="862"/>
      <c r="DR193" s="73">
        <f t="shared" si="456"/>
        <v>0</v>
      </c>
      <c r="DS193" s="412"/>
      <c r="DT193" s="412"/>
      <c r="DU193" s="420"/>
      <c r="DV193" s="412"/>
      <c r="DW193" s="412"/>
      <c r="DX193" s="412"/>
      <c r="DY193" s="277"/>
      <c r="DZ193" s="277"/>
      <c r="EA193" s="277"/>
      <c r="EB193" s="277"/>
      <c r="EC193" s="277"/>
      <c r="ED193" s="277"/>
      <c r="EE193" s="277"/>
      <c r="EF193" s="277"/>
      <c r="EG193" s="277"/>
      <c r="EH193" s="277"/>
      <c r="EI193" s="277"/>
    </row>
    <row r="194" spans="1:139" s="278" customFormat="1" ht="29.25" customHeight="1" x14ac:dyDescent="0.2">
      <c r="A194" s="786">
        <f t="shared" si="469"/>
        <v>15</v>
      </c>
      <c r="B194" s="900" t="s">
        <v>613</v>
      </c>
      <c r="C194" s="281" t="s">
        <v>128</v>
      </c>
      <c r="D194" s="573">
        <v>100</v>
      </c>
      <c r="E194" s="901"/>
      <c r="F194" s="270"/>
      <c r="G194" s="270"/>
      <c r="H194" s="342">
        <v>100</v>
      </c>
      <c r="I194" s="576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3">
        <f t="shared" si="447"/>
        <v>100</v>
      </c>
      <c r="X194" s="574" t="s">
        <v>31</v>
      </c>
      <c r="Y194" s="828">
        <v>10300</v>
      </c>
      <c r="Z194" s="995"/>
      <c r="AA194" s="828"/>
      <c r="AB194" s="828"/>
      <c r="AC194" s="789">
        <v>9000</v>
      </c>
      <c r="AD194" s="789"/>
      <c r="AE194" s="569"/>
      <c r="AF194" s="789"/>
      <c r="AG194" s="789"/>
      <c r="AH194" s="789"/>
      <c r="AI194" s="789"/>
      <c r="AJ194" s="789"/>
      <c r="AK194" s="789"/>
      <c r="AL194" s="789"/>
      <c r="AM194" s="789"/>
      <c r="AN194" s="789"/>
      <c r="AO194" s="789"/>
      <c r="AP194" s="789"/>
      <c r="AQ194" s="789"/>
      <c r="AR194" s="570">
        <f t="shared" si="517"/>
        <v>1030000</v>
      </c>
      <c r="AS194" s="1352">
        <f t="shared" si="495"/>
        <v>0</v>
      </c>
      <c r="AT194" s="272"/>
      <c r="AU194" s="272">
        <f t="shared" si="496"/>
        <v>0</v>
      </c>
      <c r="AV194" s="272">
        <f t="shared" si="497"/>
        <v>900000</v>
      </c>
      <c r="AW194" s="272">
        <f t="shared" si="498"/>
        <v>0</v>
      </c>
      <c r="AX194" s="272">
        <f t="shared" si="499"/>
        <v>0</v>
      </c>
      <c r="AY194" s="272">
        <f t="shared" si="500"/>
        <v>0</v>
      </c>
      <c r="AZ194" s="272">
        <f t="shared" si="501"/>
        <v>0</v>
      </c>
      <c r="BA194" s="272">
        <f t="shared" si="502"/>
        <v>0</v>
      </c>
      <c r="BB194" s="272">
        <f t="shared" si="503"/>
        <v>0</v>
      </c>
      <c r="BC194" s="272">
        <f t="shared" si="504"/>
        <v>0</v>
      </c>
      <c r="BD194" s="272">
        <f t="shared" si="505"/>
        <v>0</v>
      </c>
      <c r="BE194" s="272"/>
      <c r="BF194" s="272"/>
      <c r="BG194" s="272"/>
      <c r="BH194" s="272"/>
      <c r="BI194" s="272"/>
      <c r="BJ194" s="272"/>
      <c r="BK194" s="273">
        <f t="shared" ref="BK194" si="545">SUM(AS194:BD194)</f>
        <v>900000</v>
      </c>
      <c r="BL194" s="272"/>
      <c r="BM194" s="272"/>
      <c r="BN194" s="272"/>
      <c r="BO194" s="1331">
        <f>SUM(AV194*4%)</f>
        <v>36000</v>
      </c>
      <c r="BP194" s="272">
        <f t="shared" ref="BP194" si="546">SUM(AW194*14%)</f>
        <v>0</v>
      </c>
      <c r="BQ194" s="272">
        <f t="shared" ref="BQ194" si="547">SUM(AX194*14%)</f>
        <v>0</v>
      </c>
      <c r="BR194" s="272">
        <f t="shared" ref="BR194" si="548">SUM(AY194*14%)</f>
        <v>0</v>
      </c>
      <c r="BS194" s="272">
        <f t="shared" ref="BS194" si="549">SUM(AZ194*14%)</f>
        <v>0</v>
      </c>
      <c r="BT194" s="272">
        <f t="shared" ref="BT194" si="550">SUM(BA194*14%)</f>
        <v>0</v>
      </c>
      <c r="BU194" s="272">
        <f t="shared" ref="BU194" si="551">SUM(BB194*14%)</f>
        <v>0</v>
      </c>
      <c r="BV194" s="272">
        <f t="shared" ref="BV194" si="552">SUM(BC194*14%)</f>
        <v>0</v>
      </c>
      <c r="BW194" s="272">
        <f t="shared" ref="BW194" si="553">SUM(BD194*14%)</f>
        <v>0</v>
      </c>
      <c r="BX194" s="299">
        <f t="shared" si="451"/>
        <v>36000</v>
      </c>
      <c r="BY194" s="790">
        <v>0</v>
      </c>
      <c r="BZ194" s="791">
        <v>936000</v>
      </c>
      <c r="CA194" s="792">
        <f t="shared" si="481"/>
        <v>25351560</v>
      </c>
      <c r="CB194" s="571">
        <f t="shared" si="453"/>
        <v>1</v>
      </c>
      <c r="CC194" s="1081"/>
      <c r="CD194" s="1081"/>
      <c r="CE194" s="1083"/>
      <c r="CF194" s="1084"/>
      <c r="CG194" s="862"/>
      <c r="CH194" s="862"/>
      <c r="CI194" s="862"/>
      <c r="CJ194" s="862"/>
      <c r="CK194" s="862"/>
      <c r="CL194" s="862"/>
      <c r="CM194" s="862"/>
      <c r="CN194" s="862"/>
      <c r="CO194" s="1081">
        <f t="shared" si="482"/>
        <v>0</v>
      </c>
      <c r="CP194" s="862"/>
      <c r="CQ194" s="862"/>
      <c r="CR194" s="862"/>
      <c r="CS194" s="862"/>
      <c r="CT194" s="862"/>
      <c r="CU194" s="862"/>
      <c r="CV194" s="862"/>
      <c r="CW194" s="862"/>
      <c r="CX194" s="862"/>
      <c r="CY194" s="73">
        <f t="shared" si="455"/>
        <v>0</v>
      </c>
      <c r="CZ194" s="862"/>
      <c r="DA194" s="862"/>
      <c r="DB194" s="862"/>
      <c r="DC194" s="862"/>
      <c r="DD194" s="862"/>
      <c r="DE194" s="862"/>
      <c r="DF194" s="862"/>
      <c r="DG194" s="862"/>
      <c r="DH194" s="1081"/>
      <c r="DI194" s="862"/>
      <c r="DJ194" s="862"/>
      <c r="DK194" s="862"/>
      <c r="DL194" s="862"/>
      <c r="DM194" s="862"/>
      <c r="DN194" s="862"/>
      <c r="DO194" s="862"/>
      <c r="DP194" s="862"/>
      <c r="DQ194" s="862"/>
      <c r="DR194" s="73">
        <f t="shared" si="456"/>
        <v>0</v>
      </c>
      <c r="DS194" s="412"/>
      <c r="DT194" s="412"/>
      <c r="DU194" s="420"/>
      <c r="DV194" s="412"/>
      <c r="DW194" s="412"/>
      <c r="DX194" s="412"/>
      <c r="DY194" s="277"/>
      <c r="DZ194" s="277"/>
      <c r="EA194" s="277"/>
      <c r="EB194" s="277"/>
      <c r="EC194" s="277"/>
      <c r="ED194" s="277"/>
      <c r="EE194" s="277"/>
      <c r="EF194" s="277"/>
      <c r="EG194" s="277"/>
      <c r="EH194" s="277"/>
      <c r="EI194" s="277"/>
    </row>
    <row r="195" spans="1:139" s="278" customFormat="1" ht="29.25" customHeight="1" x14ac:dyDescent="0.2">
      <c r="A195" s="786">
        <f t="shared" si="469"/>
        <v>16</v>
      </c>
      <c r="B195" s="900" t="s">
        <v>616</v>
      </c>
      <c r="C195" s="281" t="s">
        <v>128</v>
      </c>
      <c r="D195" s="573">
        <v>1</v>
      </c>
      <c r="E195" s="901"/>
      <c r="F195" s="270"/>
      <c r="G195" s="270"/>
      <c r="H195" s="342"/>
      <c r="I195" s="342">
        <v>1</v>
      </c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3">
        <f t="shared" si="447"/>
        <v>1</v>
      </c>
      <c r="X195" s="574" t="s">
        <v>14</v>
      </c>
      <c r="Y195" s="828">
        <v>350000</v>
      </c>
      <c r="Z195" s="995"/>
      <c r="AA195" s="828"/>
      <c r="AB195" s="828"/>
      <c r="AC195" s="789"/>
      <c r="AD195" s="789">
        <v>350000</v>
      </c>
      <c r="AE195" s="569"/>
      <c r="AF195" s="789"/>
      <c r="AG195" s="789"/>
      <c r="AH195" s="789"/>
      <c r="AI195" s="789"/>
      <c r="AJ195" s="789"/>
      <c r="AK195" s="789"/>
      <c r="AL195" s="789"/>
      <c r="AM195" s="789"/>
      <c r="AN195" s="789"/>
      <c r="AO195" s="789"/>
      <c r="AP195" s="789"/>
      <c r="AQ195" s="789"/>
      <c r="AR195" s="570">
        <f t="shared" ref="AR195" si="554">SUM(W195*Y195)</f>
        <v>350000</v>
      </c>
      <c r="AS195" s="1352">
        <f t="shared" si="495"/>
        <v>0</v>
      </c>
      <c r="AT195" s="272"/>
      <c r="AU195" s="272">
        <f t="shared" si="496"/>
        <v>0</v>
      </c>
      <c r="AV195" s="272">
        <f t="shared" si="497"/>
        <v>0</v>
      </c>
      <c r="AW195" s="272">
        <f t="shared" si="498"/>
        <v>350000</v>
      </c>
      <c r="AX195" s="272">
        <f t="shared" si="499"/>
        <v>0</v>
      </c>
      <c r="AY195" s="272">
        <f t="shared" si="500"/>
        <v>0</v>
      </c>
      <c r="AZ195" s="272">
        <f t="shared" si="501"/>
        <v>0</v>
      </c>
      <c r="BA195" s="272">
        <f t="shared" si="502"/>
        <v>0</v>
      </c>
      <c r="BB195" s="272">
        <f t="shared" si="503"/>
        <v>0</v>
      </c>
      <c r="BC195" s="272">
        <f t="shared" si="504"/>
        <v>0</v>
      </c>
      <c r="BD195" s="272">
        <f t="shared" si="505"/>
        <v>0</v>
      </c>
      <c r="BE195" s="272"/>
      <c r="BF195" s="272"/>
      <c r="BG195" s="272"/>
      <c r="BH195" s="272"/>
      <c r="BI195" s="272"/>
      <c r="BJ195" s="272"/>
      <c r="BK195" s="273">
        <f t="shared" ref="BK195" si="555">SUM(AS195:BD195)</f>
        <v>350000</v>
      </c>
      <c r="BL195" s="272"/>
      <c r="BM195" s="272"/>
      <c r="BN195" s="272"/>
      <c r="BO195" s="1331"/>
      <c r="BP195" s="272"/>
      <c r="BQ195" s="272">
        <f t="shared" ref="BQ195" si="556">SUM(AX195*14%)</f>
        <v>0</v>
      </c>
      <c r="BR195" s="272">
        <f t="shared" ref="BR195" si="557">SUM(AY195*14%)</f>
        <v>0</v>
      </c>
      <c r="BS195" s="272">
        <f t="shared" ref="BS195" si="558">SUM(AZ195*14%)</f>
        <v>0</v>
      </c>
      <c r="BT195" s="272">
        <f t="shared" ref="BT195" si="559">SUM(BA195*14%)</f>
        <v>0</v>
      </c>
      <c r="BU195" s="272">
        <f t="shared" ref="BU195" si="560">SUM(BB195*14%)</f>
        <v>0</v>
      </c>
      <c r="BV195" s="272">
        <f t="shared" ref="BV195" si="561">SUM(BC195*14%)</f>
        <v>0</v>
      </c>
      <c r="BW195" s="272">
        <f t="shared" ref="BW195" si="562">SUM(BD195*14%)</f>
        <v>0</v>
      </c>
      <c r="BX195" s="299">
        <f t="shared" si="451"/>
        <v>0</v>
      </c>
      <c r="BY195" s="790">
        <f t="shared" si="544"/>
        <v>0</v>
      </c>
      <c r="BZ195" s="791">
        <f t="shared" si="452"/>
        <v>350000</v>
      </c>
      <c r="CA195" s="792">
        <f t="shared" si="481"/>
        <v>25001560</v>
      </c>
      <c r="CB195" s="571">
        <f t="shared" si="453"/>
        <v>1</v>
      </c>
      <c r="CC195" s="1081"/>
      <c r="CD195" s="1081"/>
      <c r="CE195" s="1083"/>
      <c r="CF195" s="1084"/>
      <c r="CG195" s="862"/>
      <c r="CH195" s="862"/>
      <c r="CI195" s="862"/>
      <c r="CJ195" s="862"/>
      <c r="CK195" s="862"/>
      <c r="CL195" s="862"/>
      <c r="CM195" s="862"/>
      <c r="CN195" s="862"/>
      <c r="CO195" s="1081">
        <f t="shared" si="482"/>
        <v>0</v>
      </c>
      <c r="CP195" s="862"/>
      <c r="CQ195" s="862"/>
      <c r="CR195" s="862"/>
      <c r="CS195" s="862"/>
      <c r="CT195" s="862"/>
      <c r="CU195" s="862"/>
      <c r="CV195" s="862"/>
      <c r="CW195" s="862"/>
      <c r="CX195" s="862"/>
      <c r="CY195" s="73">
        <f t="shared" si="455"/>
        <v>0</v>
      </c>
      <c r="CZ195" s="862"/>
      <c r="DA195" s="862"/>
      <c r="DB195" s="862"/>
      <c r="DC195" s="862"/>
      <c r="DD195" s="862"/>
      <c r="DE195" s="862"/>
      <c r="DF195" s="862"/>
      <c r="DG195" s="862"/>
      <c r="DH195" s="1081"/>
      <c r="DI195" s="862"/>
      <c r="DJ195" s="862"/>
      <c r="DK195" s="862"/>
      <c r="DL195" s="862"/>
      <c r="DM195" s="862"/>
      <c r="DN195" s="862"/>
      <c r="DO195" s="862"/>
      <c r="DP195" s="862"/>
      <c r="DQ195" s="862"/>
      <c r="DR195" s="73">
        <f t="shared" si="456"/>
        <v>0</v>
      </c>
      <c r="DS195" s="412"/>
      <c r="DT195" s="412"/>
      <c r="DU195" s="420"/>
      <c r="DV195" s="412"/>
      <c r="DW195" s="412"/>
      <c r="DX195" s="412"/>
      <c r="DY195" s="277"/>
      <c r="DZ195" s="277"/>
      <c r="EA195" s="277"/>
      <c r="EB195" s="277"/>
      <c r="EC195" s="277"/>
      <c r="ED195" s="277"/>
      <c r="EE195" s="277"/>
      <c r="EF195" s="277"/>
      <c r="EG195" s="277"/>
      <c r="EH195" s="277"/>
      <c r="EI195" s="277"/>
    </row>
    <row r="196" spans="1:139" s="278" customFormat="1" ht="29.25" customHeight="1" x14ac:dyDescent="0.2">
      <c r="A196" s="786">
        <f t="shared" si="469"/>
        <v>17</v>
      </c>
      <c r="B196" s="900" t="s">
        <v>617</v>
      </c>
      <c r="C196" s="281" t="s">
        <v>128</v>
      </c>
      <c r="D196" s="573">
        <v>1</v>
      </c>
      <c r="E196" s="901"/>
      <c r="F196" s="270"/>
      <c r="G196" s="270"/>
      <c r="H196" s="342"/>
      <c r="I196" s="342">
        <v>1</v>
      </c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3">
        <f t="shared" si="447"/>
        <v>1</v>
      </c>
      <c r="X196" s="574" t="s">
        <v>14</v>
      </c>
      <c r="Y196" s="828">
        <v>250000</v>
      </c>
      <c r="Z196" s="995"/>
      <c r="AA196" s="828"/>
      <c r="AB196" s="828"/>
      <c r="AC196" s="789"/>
      <c r="AD196" s="789">
        <v>250000</v>
      </c>
      <c r="AE196" s="569"/>
      <c r="AF196" s="789"/>
      <c r="AG196" s="789"/>
      <c r="AH196" s="789"/>
      <c r="AI196" s="789"/>
      <c r="AJ196" s="789"/>
      <c r="AK196" s="789"/>
      <c r="AL196" s="789"/>
      <c r="AM196" s="789"/>
      <c r="AN196" s="789"/>
      <c r="AO196" s="789"/>
      <c r="AP196" s="789"/>
      <c r="AQ196" s="789"/>
      <c r="AR196" s="570">
        <f t="shared" ref="AR196" si="563">SUM(W196*Y196)</f>
        <v>250000</v>
      </c>
      <c r="AS196" s="1352">
        <f t="shared" si="495"/>
        <v>0</v>
      </c>
      <c r="AT196" s="272"/>
      <c r="AU196" s="272">
        <f t="shared" si="496"/>
        <v>0</v>
      </c>
      <c r="AV196" s="272">
        <f t="shared" si="497"/>
        <v>0</v>
      </c>
      <c r="AW196" s="272">
        <f t="shared" si="498"/>
        <v>250000</v>
      </c>
      <c r="AX196" s="272">
        <f t="shared" si="499"/>
        <v>0</v>
      </c>
      <c r="AY196" s="272">
        <f t="shared" si="500"/>
        <v>0</v>
      </c>
      <c r="AZ196" s="272">
        <f t="shared" si="501"/>
        <v>0</v>
      </c>
      <c r="BA196" s="272">
        <f t="shared" si="502"/>
        <v>0</v>
      </c>
      <c r="BB196" s="272">
        <f t="shared" si="503"/>
        <v>0</v>
      </c>
      <c r="BC196" s="272">
        <f t="shared" si="504"/>
        <v>0</v>
      </c>
      <c r="BD196" s="272">
        <f t="shared" si="505"/>
        <v>0</v>
      </c>
      <c r="BE196" s="272"/>
      <c r="BF196" s="272"/>
      <c r="BG196" s="272"/>
      <c r="BH196" s="272"/>
      <c r="BI196" s="272"/>
      <c r="BJ196" s="272"/>
      <c r="BK196" s="273">
        <f t="shared" ref="BK196" si="564">SUM(AS196:BD196)</f>
        <v>250000</v>
      </c>
      <c r="BL196" s="272"/>
      <c r="BM196" s="272"/>
      <c r="BN196" s="272"/>
      <c r="BO196" s="1331"/>
      <c r="BP196" s="272"/>
      <c r="BQ196" s="272">
        <f t="shared" ref="BQ196" si="565">SUM(AX196*14%)</f>
        <v>0</v>
      </c>
      <c r="BR196" s="272">
        <f t="shared" ref="BR196" si="566">SUM(AY196*14%)</f>
        <v>0</v>
      </c>
      <c r="BS196" s="272">
        <f t="shared" ref="BS196" si="567">SUM(AZ196*14%)</f>
        <v>0</v>
      </c>
      <c r="BT196" s="272">
        <f t="shared" ref="BT196" si="568">SUM(BA196*14%)</f>
        <v>0</v>
      </c>
      <c r="BU196" s="272">
        <f t="shared" ref="BU196" si="569">SUM(BB196*14%)</f>
        <v>0</v>
      </c>
      <c r="BV196" s="272">
        <f t="shared" ref="BV196" si="570">SUM(BC196*14%)</f>
        <v>0</v>
      </c>
      <c r="BW196" s="272">
        <f t="shared" ref="BW196" si="571">SUM(BD196*14%)</f>
        <v>0</v>
      </c>
      <c r="BX196" s="299">
        <f t="shared" si="451"/>
        <v>0</v>
      </c>
      <c r="BY196" s="790">
        <f t="shared" si="544"/>
        <v>0</v>
      </c>
      <c r="BZ196" s="791">
        <f t="shared" si="452"/>
        <v>250000</v>
      </c>
      <c r="CA196" s="792">
        <f t="shared" si="481"/>
        <v>24751560</v>
      </c>
      <c r="CB196" s="571">
        <f t="shared" si="453"/>
        <v>1</v>
      </c>
      <c r="CC196" s="1081"/>
      <c r="CD196" s="1081"/>
      <c r="CE196" s="1083"/>
      <c r="CF196" s="1084"/>
      <c r="CG196" s="862"/>
      <c r="CH196" s="862"/>
      <c r="CI196" s="862"/>
      <c r="CJ196" s="862"/>
      <c r="CK196" s="862"/>
      <c r="CL196" s="862"/>
      <c r="CM196" s="862"/>
      <c r="CN196" s="862"/>
      <c r="CO196" s="1081">
        <f t="shared" si="482"/>
        <v>0</v>
      </c>
      <c r="CP196" s="862"/>
      <c r="CQ196" s="862"/>
      <c r="CR196" s="862"/>
      <c r="CS196" s="862"/>
      <c r="CT196" s="862"/>
      <c r="CU196" s="862"/>
      <c r="CV196" s="862"/>
      <c r="CW196" s="862"/>
      <c r="CX196" s="862"/>
      <c r="CY196" s="73">
        <f t="shared" si="455"/>
        <v>0</v>
      </c>
      <c r="CZ196" s="862"/>
      <c r="DA196" s="862"/>
      <c r="DB196" s="862"/>
      <c r="DC196" s="862"/>
      <c r="DD196" s="862"/>
      <c r="DE196" s="862"/>
      <c r="DF196" s="862"/>
      <c r="DG196" s="862"/>
      <c r="DH196" s="1081"/>
      <c r="DI196" s="862"/>
      <c r="DJ196" s="862"/>
      <c r="DK196" s="862"/>
      <c r="DL196" s="862"/>
      <c r="DM196" s="862"/>
      <c r="DN196" s="862"/>
      <c r="DO196" s="862"/>
      <c r="DP196" s="862"/>
      <c r="DQ196" s="862"/>
      <c r="DR196" s="73">
        <f t="shared" si="456"/>
        <v>0</v>
      </c>
      <c r="DS196" s="412"/>
      <c r="DT196" s="412"/>
      <c r="DU196" s="420"/>
      <c r="DV196" s="412"/>
      <c r="DW196" s="412"/>
      <c r="DX196" s="412"/>
      <c r="DY196" s="277"/>
      <c r="DZ196" s="277"/>
      <c r="EA196" s="277"/>
      <c r="EB196" s="277"/>
      <c r="EC196" s="277"/>
      <c r="ED196" s="277"/>
      <c r="EE196" s="277"/>
      <c r="EF196" s="277"/>
      <c r="EG196" s="277"/>
      <c r="EH196" s="277"/>
      <c r="EI196" s="277"/>
    </row>
    <row r="197" spans="1:139" s="278" customFormat="1" ht="29.25" customHeight="1" x14ac:dyDescent="0.2">
      <c r="A197" s="786">
        <f t="shared" si="469"/>
        <v>18</v>
      </c>
      <c r="B197" s="900" t="s">
        <v>618</v>
      </c>
      <c r="C197" s="281" t="s">
        <v>128</v>
      </c>
      <c r="D197" s="573">
        <v>1</v>
      </c>
      <c r="E197" s="901"/>
      <c r="F197" s="270"/>
      <c r="G197" s="270"/>
      <c r="H197" s="342"/>
      <c r="I197" s="576">
        <v>1</v>
      </c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3">
        <f t="shared" si="447"/>
        <v>1</v>
      </c>
      <c r="X197" s="574" t="s">
        <v>14</v>
      </c>
      <c r="Y197" s="828">
        <v>310000</v>
      </c>
      <c r="Z197" s="995"/>
      <c r="AA197" s="828"/>
      <c r="AB197" s="828"/>
      <c r="AC197" s="789"/>
      <c r="AD197" s="789">
        <v>310000</v>
      </c>
      <c r="AE197" s="569"/>
      <c r="AF197" s="789"/>
      <c r="AG197" s="789"/>
      <c r="AH197" s="789"/>
      <c r="AI197" s="789"/>
      <c r="AJ197" s="789"/>
      <c r="AK197" s="789"/>
      <c r="AL197" s="789"/>
      <c r="AM197" s="789"/>
      <c r="AN197" s="789"/>
      <c r="AO197" s="789"/>
      <c r="AP197" s="789"/>
      <c r="AQ197" s="789"/>
      <c r="AR197" s="570">
        <f t="shared" ref="AR197:AR206" si="572">SUM(W197*Y197)</f>
        <v>310000</v>
      </c>
      <c r="AS197" s="1352">
        <f t="shared" si="495"/>
        <v>0</v>
      </c>
      <c r="AT197" s="272"/>
      <c r="AU197" s="272">
        <f t="shared" si="496"/>
        <v>0</v>
      </c>
      <c r="AV197" s="272">
        <f t="shared" si="497"/>
        <v>0</v>
      </c>
      <c r="AW197" s="272">
        <f t="shared" si="498"/>
        <v>310000</v>
      </c>
      <c r="AX197" s="272">
        <f t="shared" si="499"/>
        <v>0</v>
      </c>
      <c r="AY197" s="272">
        <f t="shared" si="500"/>
        <v>0</v>
      </c>
      <c r="AZ197" s="272">
        <f t="shared" si="501"/>
        <v>0</v>
      </c>
      <c r="BA197" s="272">
        <f t="shared" si="502"/>
        <v>0</v>
      </c>
      <c r="BB197" s="272">
        <f t="shared" si="503"/>
        <v>0</v>
      </c>
      <c r="BC197" s="272">
        <f t="shared" si="504"/>
        <v>0</v>
      </c>
      <c r="BD197" s="272">
        <f t="shared" si="505"/>
        <v>0</v>
      </c>
      <c r="BE197" s="272"/>
      <c r="BF197" s="272"/>
      <c r="BG197" s="272"/>
      <c r="BH197" s="272"/>
      <c r="BI197" s="272"/>
      <c r="BJ197" s="272"/>
      <c r="BK197" s="273">
        <f t="shared" si="518"/>
        <v>310000</v>
      </c>
      <c r="BL197" s="272"/>
      <c r="BM197" s="272"/>
      <c r="BN197" s="272"/>
      <c r="BO197" s="1331">
        <f t="shared" ref="BO197:BO207" si="573">SUM(AV197*4%)</f>
        <v>0</v>
      </c>
      <c r="BP197" s="272"/>
      <c r="BQ197" s="272">
        <f t="shared" si="537"/>
        <v>0</v>
      </c>
      <c r="BR197" s="272">
        <f t="shared" si="538"/>
        <v>0</v>
      </c>
      <c r="BS197" s="272">
        <f t="shared" si="539"/>
        <v>0</v>
      </c>
      <c r="BT197" s="272">
        <f t="shared" si="540"/>
        <v>0</v>
      </c>
      <c r="BU197" s="272">
        <f t="shared" si="541"/>
        <v>0</v>
      </c>
      <c r="BV197" s="272">
        <f t="shared" si="542"/>
        <v>0</v>
      </c>
      <c r="BW197" s="272">
        <f t="shared" si="543"/>
        <v>0</v>
      </c>
      <c r="BX197" s="299">
        <f t="shared" si="451"/>
        <v>0</v>
      </c>
      <c r="BY197" s="790">
        <f t="shared" si="544"/>
        <v>0</v>
      </c>
      <c r="BZ197" s="791">
        <f t="shared" si="452"/>
        <v>310000</v>
      </c>
      <c r="CA197" s="792">
        <f t="shared" si="481"/>
        <v>24441560</v>
      </c>
      <c r="CB197" s="571">
        <f t="shared" si="453"/>
        <v>1</v>
      </c>
      <c r="CC197" s="1081"/>
      <c r="CD197" s="1081"/>
      <c r="CE197" s="1083"/>
      <c r="CF197" s="1084"/>
      <c r="CG197" s="862"/>
      <c r="CH197" s="862"/>
      <c r="CI197" s="862"/>
      <c r="CJ197" s="862"/>
      <c r="CK197" s="862"/>
      <c r="CL197" s="862"/>
      <c r="CM197" s="862"/>
      <c r="CN197" s="862"/>
      <c r="CO197" s="1081">
        <f t="shared" si="482"/>
        <v>0</v>
      </c>
      <c r="CP197" s="862"/>
      <c r="CQ197" s="862"/>
      <c r="CR197" s="862"/>
      <c r="CS197" s="862"/>
      <c r="CT197" s="862"/>
      <c r="CU197" s="862"/>
      <c r="CV197" s="862"/>
      <c r="CW197" s="862"/>
      <c r="CX197" s="862"/>
      <c r="CY197" s="73">
        <f t="shared" si="455"/>
        <v>0</v>
      </c>
      <c r="CZ197" s="862"/>
      <c r="DA197" s="862"/>
      <c r="DB197" s="862"/>
      <c r="DC197" s="862"/>
      <c r="DD197" s="862"/>
      <c r="DE197" s="862"/>
      <c r="DF197" s="862"/>
      <c r="DG197" s="862"/>
      <c r="DH197" s="1081"/>
      <c r="DI197" s="862"/>
      <c r="DJ197" s="862"/>
      <c r="DK197" s="862"/>
      <c r="DL197" s="862"/>
      <c r="DM197" s="862"/>
      <c r="DN197" s="862"/>
      <c r="DO197" s="862"/>
      <c r="DP197" s="862"/>
      <c r="DQ197" s="862"/>
      <c r="DR197" s="73">
        <f t="shared" si="456"/>
        <v>0</v>
      </c>
      <c r="DS197" s="412"/>
      <c r="DT197" s="412"/>
      <c r="DU197" s="420"/>
      <c r="DV197" s="412"/>
      <c r="DW197" s="412"/>
      <c r="DX197" s="412"/>
      <c r="DY197" s="277"/>
      <c r="DZ197" s="277"/>
      <c r="EA197" s="277"/>
      <c r="EB197" s="277"/>
      <c r="EC197" s="277"/>
      <c r="ED197" s="277"/>
      <c r="EE197" s="277"/>
      <c r="EF197" s="277"/>
      <c r="EG197" s="277"/>
      <c r="EH197" s="277"/>
      <c r="EI197" s="277"/>
    </row>
    <row r="198" spans="1:139" s="278" customFormat="1" ht="29.25" customHeight="1" x14ac:dyDescent="0.2">
      <c r="A198" s="786">
        <f t="shared" si="469"/>
        <v>19</v>
      </c>
      <c r="B198" s="900" t="s">
        <v>619</v>
      </c>
      <c r="C198" s="281" t="s">
        <v>128</v>
      </c>
      <c r="D198" s="573">
        <v>1</v>
      </c>
      <c r="E198" s="901"/>
      <c r="F198" s="270"/>
      <c r="G198" s="270"/>
      <c r="H198" s="342"/>
      <c r="I198" s="576">
        <v>1</v>
      </c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3">
        <f t="shared" si="447"/>
        <v>1</v>
      </c>
      <c r="X198" s="574" t="s">
        <v>14</v>
      </c>
      <c r="Y198" s="828">
        <v>250000</v>
      </c>
      <c r="Z198" s="995"/>
      <c r="AA198" s="828"/>
      <c r="AB198" s="828"/>
      <c r="AC198" s="789"/>
      <c r="AD198" s="789">
        <v>250000</v>
      </c>
      <c r="AE198" s="569"/>
      <c r="AF198" s="789"/>
      <c r="AG198" s="789"/>
      <c r="AH198" s="789"/>
      <c r="AI198" s="789"/>
      <c r="AJ198" s="789"/>
      <c r="AK198" s="789"/>
      <c r="AL198" s="789"/>
      <c r="AM198" s="789"/>
      <c r="AN198" s="789"/>
      <c r="AO198" s="789"/>
      <c r="AP198" s="789"/>
      <c r="AQ198" s="789"/>
      <c r="AR198" s="570">
        <f t="shared" ref="AR198:AR201" si="574">SUM(W198*Y198)</f>
        <v>250000</v>
      </c>
      <c r="AS198" s="1352">
        <f t="shared" si="495"/>
        <v>0</v>
      </c>
      <c r="AT198" s="272"/>
      <c r="AU198" s="272">
        <f t="shared" si="496"/>
        <v>0</v>
      </c>
      <c r="AV198" s="272">
        <f t="shared" si="497"/>
        <v>0</v>
      </c>
      <c r="AW198" s="272">
        <f t="shared" si="498"/>
        <v>250000</v>
      </c>
      <c r="AX198" s="272">
        <f t="shared" si="499"/>
        <v>0</v>
      </c>
      <c r="AY198" s="272">
        <f t="shared" si="500"/>
        <v>0</v>
      </c>
      <c r="AZ198" s="272">
        <f t="shared" si="501"/>
        <v>0</v>
      </c>
      <c r="BA198" s="272">
        <f t="shared" si="502"/>
        <v>0</v>
      </c>
      <c r="BB198" s="272">
        <f t="shared" si="503"/>
        <v>0</v>
      </c>
      <c r="BC198" s="272">
        <f t="shared" si="504"/>
        <v>0</v>
      </c>
      <c r="BD198" s="272">
        <f t="shared" si="505"/>
        <v>0</v>
      </c>
      <c r="BE198" s="272"/>
      <c r="BF198" s="272"/>
      <c r="BG198" s="272"/>
      <c r="BH198" s="272"/>
      <c r="BI198" s="272"/>
      <c r="BJ198" s="272"/>
      <c r="BK198" s="273">
        <f t="shared" ref="BK198:BK201" si="575">SUM(AS198:BD198)</f>
        <v>250000</v>
      </c>
      <c r="BL198" s="272"/>
      <c r="BM198" s="272"/>
      <c r="BN198" s="272"/>
      <c r="BO198" s="1331">
        <f t="shared" si="573"/>
        <v>0</v>
      </c>
      <c r="BP198" s="272"/>
      <c r="BQ198" s="272">
        <f t="shared" ref="BQ198:BQ199" si="576">SUM(AX198*14%)</f>
        <v>0</v>
      </c>
      <c r="BR198" s="272">
        <f t="shared" ref="BR198:BR199" si="577">SUM(AY198*14%)</f>
        <v>0</v>
      </c>
      <c r="BS198" s="272">
        <f t="shared" ref="BS198:BS199" si="578">SUM(AZ198*14%)</f>
        <v>0</v>
      </c>
      <c r="BT198" s="272">
        <f t="shared" ref="BT198:BT199" si="579">SUM(BA198*14%)</f>
        <v>0</v>
      </c>
      <c r="BU198" s="272">
        <f t="shared" ref="BU198:BU199" si="580">SUM(BB198*14%)</f>
        <v>0</v>
      </c>
      <c r="BV198" s="272">
        <f t="shared" ref="BV198:BV199" si="581">SUM(BC198*14%)</f>
        <v>0</v>
      </c>
      <c r="BW198" s="272">
        <f t="shared" ref="BW198:BW199" si="582">SUM(BD198*14%)</f>
        <v>0</v>
      </c>
      <c r="BX198" s="299">
        <f t="shared" si="451"/>
        <v>0</v>
      </c>
      <c r="BY198" s="790">
        <f t="shared" si="544"/>
        <v>0</v>
      </c>
      <c r="BZ198" s="791">
        <f t="shared" si="452"/>
        <v>250000</v>
      </c>
      <c r="CA198" s="792">
        <f t="shared" si="481"/>
        <v>24191560</v>
      </c>
      <c r="CB198" s="571">
        <f t="shared" si="453"/>
        <v>1</v>
      </c>
      <c r="CC198" s="1081"/>
      <c r="CD198" s="1081"/>
      <c r="CE198" s="1083"/>
      <c r="CF198" s="1084"/>
      <c r="CG198" s="862"/>
      <c r="CH198" s="862"/>
      <c r="CI198" s="862"/>
      <c r="CJ198" s="862"/>
      <c r="CK198" s="862"/>
      <c r="CL198" s="862"/>
      <c r="CM198" s="862"/>
      <c r="CN198" s="862"/>
      <c r="CO198" s="1081">
        <f t="shared" si="482"/>
        <v>0</v>
      </c>
      <c r="CP198" s="862"/>
      <c r="CQ198" s="862"/>
      <c r="CR198" s="862"/>
      <c r="CS198" s="862"/>
      <c r="CT198" s="862"/>
      <c r="CU198" s="862"/>
      <c r="CV198" s="862"/>
      <c r="CW198" s="862"/>
      <c r="CX198" s="862"/>
      <c r="CY198" s="73">
        <f t="shared" si="455"/>
        <v>0</v>
      </c>
      <c r="CZ198" s="862"/>
      <c r="DA198" s="862"/>
      <c r="DB198" s="862"/>
      <c r="DC198" s="862"/>
      <c r="DD198" s="862"/>
      <c r="DE198" s="862"/>
      <c r="DF198" s="862"/>
      <c r="DG198" s="862"/>
      <c r="DH198" s="1081"/>
      <c r="DI198" s="862"/>
      <c r="DJ198" s="862"/>
      <c r="DK198" s="862"/>
      <c r="DL198" s="862"/>
      <c r="DM198" s="862"/>
      <c r="DN198" s="862"/>
      <c r="DO198" s="862"/>
      <c r="DP198" s="862"/>
      <c r="DQ198" s="862"/>
      <c r="DR198" s="73">
        <f t="shared" si="456"/>
        <v>0</v>
      </c>
      <c r="DS198" s="412"/>
      <c r="DT198" s="412"/>
      <c r="DU198" s="420"/>
      <c r="DV198" s="412"/>
      <c r="DW198" s="412"/>
      <c r="DX198" s="412"/>
      <c r="DY198" s="277"/>
      <c r="DZ198" s="277"/>
      <c r="EA198" s="277"/>
      <c r="EB198" s="277"/>
      <c r="EC198" s="277"/>
      <c r="ED198" s="277"/>
      <c r="EE198" s="277"/>
      <c r="EF198" s="277"/>
      <c r="EG198" s="277"/>
      <c r="EH198" s="277"/>
      <c r="EI198" s="277"/>
    </row>
    <row r="199" spans="1:139" s="278" customFormat="1" ht="29.25" customHeight="1" x14ac:dyDescent="0.2">
      <c r="A199" s="786">
        <f t="shared" si="469"/>
        <v>20</v>
      </c>
      <c r="B199" s="900" t="s">
        <v>620</v>
      </c>
      <c r="C199" s="281" t="s">
        <v>128</v>
      </c>
      <c r="D199" s="573">
        <v>1</v>
      </c>
      <c r="E199" s="901"/>
      <c r="F199" s="270"/>
      <c r="G199" s="270"/>
      <c r="H199" s="342"/>
      <c r="I199" s="576">
        <v>1</v>
      </c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3">
        <f t="shared" si="447"/>
        <v>1</v>
      </c>
      <c r="X199" s="574" t="s">
        <v>14</v>
      </c>
      <c r="Y199" s="828">
        <v>2300000</v>
      </c>
      <c r="Z199" s="995"/>
      <c r="AA199" s="828"/>
      <c r="AB199" s="828"/>
      <c r="AC199" s="789"/>
      <c r="AD199" s="789">
        <v>2300000</v>
      </c>
      <c r="AE199" s="569"/>
      <c r="AF199" s="789"/>
      <c r="AG199" s="789"/>
      <c r="AH199" s="789"/>
      <c r="AI199" s="789"/>
      <c r="AJ199" s="789"/>
      <c r="AK199" s="789"/>
      <c r="AL199" s="789"/>
      <c r="AM199" s="789"/>
      <c r="AN199" s="789"/>
      <c r="AO199" s="789"/>
      <c r="AP199" s="789"/>
      <c r="AQ199" s="789"/>
      <c r="AR199" s="570">
        <f t="shared" si="574"/>
        <v>2300000</v>
      </c>
      <c r="AS199" s="1352">
        <f t="shared" si="495"/>
        <v>0</v>
      </c>
      <c r="AT199" s="272"/>
      <c r="AU199" s="272">
        <f t="shared" si="496"/>
        <v>0</v>
      </c>
      <c r="AV199" s="272">
        <f t="shared" si="497"/>
        <v>0</v>
      </c>
      <c r="AW199" s="272">
        <f t="shared" si="498"/>
        <v>2300000</v>
      </c>
      <c r="AX199" s="272">
        <f t="shared" si="499"/>
        <v>0</v>
      </c>
      <c r="AY199" s="272">
        <f t="shared" si="500"/>
        <v>0</v>
      </c>
      <c r="AZ199" s="272">
        <f t="shared" si="501"/>
        <v>0</v>
      </c>
      <c r="BA199" s="272">
        <f t="shared" si="502"/>
        <v>0</v>
      </c>
      <c r="BB199" s="272">
        <f t="shared" si="503"/>
        <v>0</v>
      </c>
      <c r="BC199" s="272">
        <f t="shared" si="504"/>
        <v>0</v>
      </c>
      <c r="BD199" s="272">
        <f t="shared" si="505"/>
        <v>0</v>
      </c>
      <c r="BE199" s="272"/>
      <c r="BF199" s="272"/>
      <c r="BG199" s="272"/>
      <c r="BH199" s="272"/>
      <c r="BI199" s="272"/>
      <c r="BJ199" s="272"/>
      <c r="BK199" s="273">
        <f t="shared" si="575"/>
        <v>2300000</v>
      </c>
      <c r="BL199" s="272"/>
      <c r="BM199" s="272"/>
      <c r="BN199" s="272"/>
      <c r="BO199" s="1331">
        <f t="shared" si="573"/>
        <v>0</v>
      </c>
      <c r="BP199" s="272"/>
      <c r="BQ199" s="272">
        <f t="shared" si="576"/>
        <v>0</v>
      </c>
      <c r="BR199" s="272">
        <f t="shared" si="577"/>
        <v>0</v>
      </c>
      <c r="BS199" s="272">
        <f t="shared" si="578"/>
        <v>0</v>
      </c>
      <c r="BT199" s="272">
        <f t="shared" si="579"/>
        <v>0</v>
      </c>
      <c r="BU199" s="272">
        <f t="shared" si="580"/>
        <v>0</v>
      </c>
      <c r="BV199" s="272">
        <f t="shared" si="581"/>
        <v>0</v>
      </c>
      <c r="BW199" s="272">
        <f t="shared" si="582"/>
        <v>0</v>
      </c>
      <c r="BX199" s="299">
        <f t="shared" si="451"/>
        <v>0</v>
      </c>
      <c r="BY199" s="790">
        <f t="shared" si="544"/>
        <v>0</v>
      </c>
      <c r="BZ199" s="791">
        <f t="shared" si="452"/>
        <v>2300000</v>
      </c>
      <c r="CA199" s="792">
        <f t="shared" si="481"/>
        <v>21891560</v>
      </c>
      <c r="CB199" s="571">
        <f t="shared" si="453"/>
        <v>1</v>
      </c>
      <c r="CC199" s="1081"/>
      <c r="CD199" s="1081"/>
      <c r="CE199" s="1083"/>
      <c r="CF199" s="1084"/>
      <c r="CG199" s="862"/>
      <c r="CH199" s="862"/>
      <c r="CI199" s="862"/>
      <c r="CJ199" s="862"/>
      <c r="CK199" s="862"/>
      <c r="CL199" s="862"/>
      <c r="CM199" s="862"/>
      <c r="CN199" s="862"/>
      <c r="CO199" s="1081">
        <f t="shared" si="482"/>
        <v>0</v>
      </c>
      <c r="CP199" s="862"/>
      <c r="CQ199" s="862"/>
      <c r="CR199" s="862"/>
      <c r="CS199" s="862"/>
      <c r="CT199" s="862"/>
      <c r="CU199" s="862"/>
      <c r="CV199" s="862"/>
      <c r="CW199" s="862"/>
      <c r="CX199" s="862"/>
      <c r="CY199" s="73">
        <f t="shared" si="455"/>
        <v>0</v>
      </c>
      <c r="CZ199" s="862"/>
      <c r="DA199" s="862"/>
      <c r="DB199" s="862"/>
      <c r="DC199" s="862"/>
      <c r="DD199" s="862"/>
      <c r="DE199" s="862"/>
      <c r="DF199" s="862"/>
      <c r="DG199" s="862"/>
      <c r="DH199" s="1081"/>
      <c r="DI199" s="862"/>
      <c r="DJ199" s="862"/>
      <c r="DK199" s="862"/>
      <c r="DL199" s="862"/>
      <c r="DM199" s="862"/>
      <c r="DN199" s="862"/>
      <c r="DO199" s="862"/>
      <c r="DP199" s="862"/>
      <c r="DQ199" s="862"/>
      <c r="DR199" s="73">
        <f t="shared" si="456"/>
        <v>0</v>
      </c>
      <c r="DS199" s="412"/>
      <c r="DT199" s="412"/>
      <c r="DU199" s="420"/>
      <c r="DV199" s="412"/>
      <c r="DW199" s="412"/>
      <c r="DX199" s="412"/>
      <c r="DY199" s="277"/>
      <c r="DZ199" s="277"/>
      <c r="EA199" s="277"/>
      <c r="EB199" s="277"/>
      <c r="EC199" s="277"/>
      <c r="ED199" s="277"/>
      <c r="EE199" s="277"/>
      <c r="EF199" s="277"/>
      <c r="EG199" s="277"/>
      <c r="EH199" s="277"/>
      <c r="EI199" s="277"/>
    </row>
    <row r="200" spans="1:139" s="278" customFormat="1" ht="29.25" customHeight="1" x14ac:dyDescent="0.2">
      <c r="A200" s="786">
        <f t="shared" si="469"/>
        <v>21</v>
      </c>
      <c r="B200" s="900" t="s">
        <v>621</v>
      </c>
      <c r="C200" s="281" t="s">
        <v>128</v>
      </c>
      <c r="D200" s="573">
        <v>1</v>
      </c>
      <c r="E200" s="901"/>
      <c r="F200" s="270"/>
      <c r="G200" s="270"/>
      <c r="H200" s="342"/>
      <c r="I200" s="576">
        <v>1</v>
      </c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3">
        <f t="shared" si="447"/>
        <v>1</v>
      </c>
      <c r="X200" s="574" t="s">
        <v>14</v>
      </c>
      <c r="Y200" s="828">
        <v>400000</v>
      </c>
      <c r="Z200" s="995"/>
      <c r="AA200" s="828"/>
      <c r="AB200" s="828"/>
      <c r="AC200" s="789"/>
      <c r="AD200" s="789">
        <v>400000</v>
      </c>
      <c r="AE200" s="569"/>
      <c r="AF200" s="789"/>
      <c r="AG200" s="789"/>
      <c r="AH200" s="789"/>
      <c r="AI200" s="789"/>
      <c r="AJ200" s="789"/>
      <c r="AK200" s="789"/>
      <c r="AL200" s="789"/>
      <c r="AM200" s="789"/>
      <c r="AN200" s="789"/>
      <c r="AO200" s="789"/>
      <c r="AP200" s="789"/>
      <c r="AQ200" s="789"/>
      <c r="AR200" s="570">
        <f t="shared" si="574"/>
        <v>400000</v>
      </c>
      <c r="AS200" s="1352">
        <f t="shared" si="495"/>
        <v>0</v>
      </c>
      <c r="AT200" s="272"/>
      <c r="AU200" s="272">
        <f t="shared" si="496"/>
        <v>0</v>
      </c>
      <c r="AV200" s="272">
        <f t="shared" si="497"/>
        <v>0</v>
      </c>
      <c r="AW200" s="272">
        <f t="shared" si="498"/>
        <v>400000</v>
      </c>
      <c r="AX200" s="272">
        <f t="shared" si="499"/>
        <v>0</v>
      </c>
      <c r="AY200" s="272">
        <f t="shared" si="500"/>
        <v>0</v>
      </c>
      <c r="AZ200" s="272">
        <f t="shared" si="501"/>
        <v>0</v>
      </c>
      <c r="BA200" s="272">
        <f t="shared" si="502"/>
        <v>0</v>
      </c>
      <c r="BB200" s="272">
        <f t="shared" si="503"/>
        <v>0</v>
      </c>
      <c r="BC200" s="272">
        <f t="shared" si="504"/>
        <v>0</v>
      </c>
      <c r="BD200" s="272">
        <f t="shared" si="505"/>
        <v>0</v>
      </c>
      <c r="BE200" s="272"/>
      <c r="BF200" s="272"/>
      <c r="BG200" s="272"/>
      <c r="BH200" s="272"/>
      <c r="BI200" s="272"/>
      <c r="BJ200" s="272"/>
      <c r="BK200" s="273">
        <f t="shared" si="575"/>
        <v>400000</v>
      </c>
      <c r="BL200" s="272"/>
      <c r="BM200" s="272"/>
      <c r="BN200" s="272"/>
      <c r="BO200" s="1331">
        <f t="shared" si="573"/>
        <v>0</v>
      </c>
      <c r="BP200" s="272"/>
      <c r="BQ200" s="272">
        <f t="shared" ref="BQ200" si="583">SUM(AX200*14%)</f>
        <v>0</v>
      </c>
      <c r="BR200" s="272">
        <f t="shared" ref="BR200:BR201" si="584">SUM(AY200*14%)</f>
        <v>0</v>
      </c>
      <c r="BS200" s="272">
        <f t="shared" ref="BS200:BS201" si="585">SUM(AZ200*14%)</f>
        <v>0</v>
      </c>
      <c r="BT200" s="272">
        <f t="shared" ref="BT200:BT201" si="586">SUM(BA200*14%)</f>
        <v>0</v>
      </c>
      <c r="BU200" s="272">
        <f t="shared" ref="BU200:BU201" si="587">SUM(BB200*14%)</f>
        <v>0</v>
      </c>
      <c r="BV200" s="272">
        <f t="shared" ref="BV200:BV201" si="588">SUM(BC200*14%)</f>
        <v>0</v>
      </c>
      <c r="BW200" s="272">
        <f t="shared" ref="BW200:BW201" si="589">SUM(BD200*14%)</f>
        <v>0</v>
      </c>
      <c r="BX200" s="299">
        <f t="shared" si="451"/>
        <v>0</v>
      </c>
      <c r="BY200" s="790">
        <f t="shared" ref="BY200:BY201" si="590">AR200-BK200-BX200</f>
        <v>0</v>
      </c>
      <c r="BZ200" s="791">
        <f t="shared" si="452"/>
        <v>400000</v>
      </c>
      <c r="CA200" s="792">
        <f t="shared" si="481"/>
        <v>21491560</v>
      </c>
      <c r="CB200" s="571">
        <f t="shared" si="453"/>
        <v>1</v>
      </c>
      <c r="CC200" s="1081"/>
      <c r="CD200" s="1081"/>
      <c r="CE200" s="1083"/>
      <c r="CF200" s="1084"/>
      <c r="CG200" s="862"/>
      <c r="CH200" s="862"/>
      <c r="CI200" s="862"/>
      <c r="CJ200" s="862"/>
      <c r="CK200" s="862"/>
      <c r="CL200" s="862"/>
      <c r="CM200" s="862"/>
      <c r="CN200" s="862"/>
      <c r="CO200" s="1081">
        <f t="shared" si="482"/>
        <v>0</v>
      </c>
      <c r="CP200" s="862"/>
      <c r="CQ200" s="862"/>
      <c r="CR200" s="862"/>
      <c r="CS200" s="862"/>
      <c r="CT200" s="862"/>
      <c r="CU200" s="862"/>
      <c r="CV200" s="862"/>
      <c r="CW200" s="862"/>
      <c r="CX200" s="862"/>
      <c r="CY200" s="73">
        <f t="shared" si="455"/>
        <v>0</v>
      </c>
      <c r="CZ200" s="862"/>
      <c r="DA200" s="862"/>
      <c r="DB200" s="862"/>
      <c r="DC200" s="862"/>
      <c r="DD200" s="862"/>
      <c r="DE200" s="862"/>
      <c r="DF200" s="862"/>
      <c r="DG200" s="862"/>
      <c r="DH200" s="1081"/>
      <c r="DI200" s="862"/>
      <c r="DJ200" s="862"/>
      <c r="DK200" s="862"/>
      <c r="DL200" s="862"/>
      <c r="DM200" s="862"/>
      <c r="DN200" s="862"/>
      <c r="DO200" s="862"/>
      <c r="DP200" s="862"/>
      <c r="DQ200" s="862"/>
      <c r="DR200" s="73">
        <f t="shared" si="456"/>
        <v>0</v>
      </c>
      <c r="DS200" s="412"/>
      <c r="DT200" s="412"/>
      <c r="DU200" s="420"/>
      <c r="DV200" s="412"/>
      <c r="DW200" s="412"/>
      <c r="DX200" s="412"/>
      <c r="DY200" s="277"/>
      <c r="DZ200" s="277"/>
      <c r="EA200" s="277"/>
      <c r="EB200" s="277"/>
      <c r="EC200" s="277"/>
      <c r="ED200" s="277"/>
      <c r="EE200" s="277"/>
      <c r="EF200" s="277"/>
      <c r="EG200" s="277"/>
      <c r="EH200" s="277"/>
      <c r="EI200" s="277"/>
    </row>
    <row r="201" spans="1:139" s="278" customFormat="1" ht="29.25" customHeight="1" x14ac:dyDescent="0.2">
      <c r="A201" s="786">
        <f t="shared" si="469"/>
        <v>22</v>
      </c>
      <c r="B201" s="900" t="s">
        <v>642</v>
      </c>
      <c r="C201" s="281" t="s">
        <v>128</v>
      </c>
      <c r="D201" s="573">
        <v>1</v>
      </c>
      <c r="E201" s="901"/>
      <c r="F201" s="270"/>
      <c r="G201" s="270"/>
      <c r="H201" s="342"/>
      <c r="I201" s="576"/>
      <c r="J201" s="342">
        <v>1</v>
      </c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3">
        <f t="shared" si="447"/>
        <v>1</v>
      </c>
      <c r="X201" s="574" t="s">
        <v>14</v>
      </c>
      <c r="Y201" s="828">
        <v>3000000</v>
      </c>
      <c r="Z201" s="995"/>
      <c r="AA201" s="828"/>
      <c r="AB201" s="828"/>
      <c r="AC201" s="789"/>
      <c r="AD201" s="789"/>
      <c r="AE201" s="828">
        <v>3000000</v>
      </c>
      <c r="AF201" s="789"/>
      <c r="AG201" s="789"/>
      <c r="AH201" s="789"/>
      <c r="AI201" s="789"/>
      <c r="AJ201" s="789"/>
      <c r="AK201" s="789"/>
      <c r="AL201" s="789"/>
      <c r="AM201" s="789"/>
      <c r="AN201" s="789"/>
      <c r="AO201" s="789"/>
      <c r="AP201" s="789"/>
      <c r="AQ201" s="789"/>
      <c r="AR201" s="570">
        <f t="shared" si="574"/>
        <v>3000000</v>
      </c>
      <c r="AS201" s="1352">
        <f t="shared" si="495"/>
        <v>0</v>
      </c>
      <c r="AT201" s="272"/>
      <c r="AU201" s="272">
        <f t="shared" si="496"/>
        <v>0</v>
      </c>
      <c r="AV201" s="272">
        <f t="shared" si="497"/>
        <v>0</v>
      </c>
      <c r="AW201" s="272">
        <f t="shared" si="498"/>
        <v>0</v>
      </c>
      <c r="AX201" s="272">
        <f t="shared" si="499"/>
        <v>3000000</v>
      </c>
      <c r="AY201" s="272">
        <f t="shared" si="500"/>
        <v>0</v>
      </c>
      <c r="AZ201" s="272">
        <f t="shared" si="501"/>
        <v>0</v>
      </c>
      <c r="BA201" s="272">
        <f t="shared" si="502"/>
        <v>0</v>
      </c>
      <c r="BB201" s="272">
        <f t="shared" si="503"/>
        <v>0</v>
      </c>
      <c r="BC201" s="272">
        <f t="shared" si="504"/>
        <v>0</v>
      </c>
      <c r="BD201" s="272">
        <f t="shared" si="505"/>
        <v>0</v>
      </c>
      <c r="BE201" s="272"/>
      <c r="BF201" s="272"/>
      <c r="BG201" s="272"/>
      <c r="BH201" s="272"/>
      <c r="BI201" s="272"/>
      <c r="BJ201" s="272"/>
      <c r="BK201" s="273">
        <f t="shared" si="575"/>
        <v>3000000</v>
      </c>
      <c r="BL201" s="272"/>
      <c r="BM201" s="272"/>
      <c r="BN201" s="272"/>
      <c r="BO201" s="1331">
        <f t="shared" si="573"/>
        <v>0</v>
      </c>
      <c r="BP201" s="272"/>
      <c r="BQ201" s="272"/>
      <c r="BR201" s="272">
        <f t="shared" si="584"/>
        <v>0</v>
      </c>
      <c r="BS201" s="272">
        <f t="shared" si="585"/>
        <v>0</v>
      </c>
      <c r="BT201" s="272">
        <f t="shared" si="586"/>
        <v>0</v>
      </c>
      <c r="BU201" s="272">
        <f t="shared" si="587"/>
        <v>0</v>
      </c>
      <c r="BV201" s="272">
        <f t="shared" si="588"/>
        <v>0</v>
      </c>
      <c r="BW201" s="272">
        <f t="shared" si="589"/>
        <v>0</v>
      </c>
      <c r="BX201" s="299">
        <f t="shared" si="451"/>
        <v>0</v>
      </c>
      <c r="BY201" s="790">
        <f t="shared" si="590"/>
        <v>0</v>
      </c>
      <c r="BZ201" s="791">
        <f t="shared" si="452"/>
        <v>3000000</v>
      </c>
      <c r="CA201" s="792">
        <f t="shared" si="481"/>
        <v>18491560</v>
      </c>
      <c r="CB201" s="571">
        <f t="shared" si="453"/>
        <v>1</v>
      </c>
      <c r="CC201" s="1081"/>
      <c r="CD201" s="1081"/>
      <c r="CE201" s="1083"/>
      <c r="CF201" s="1084"/>
      <c r="CG201" s="862"/>
      <c r="CH201" s="862"/>
      <c r="CI201" s="862"/>
      <c r="CJ201" s="862"/>
      <c r="CK201" s="862"/>
      <c r="CL201" s="862"/>
      <c r="CM201" s="862"/>
      <c r="CN201" s="862"/>
      <c r="CO201" s="1081">
        <f t="shared" si="482"/>
        <v>0</v>
      </c>
      <c r="CP201" s="862"/>
      <c r="CQ201" s="862"/>
      <c r="CR201" s="862"/>
      <c r="CS201" s="862"/>
      <c r="CT201" s="862"/>
      <c r="CU201" s="862"/>
      <c r="CV201" s="862"/>
      <c r="CW201" s="862"/>
      <c r="CX201" s="862"/>
      <c r="CY201" s="73">
        <f t="shared" si="455"/>
        <v>0</v>
      </c>
      <c r="CZ201" s="862"/>
      <c r="DA201" s="862"/>
      <c r="DB201" s="862"/>
      <c r="DC201" s="862"/>
      <c r="DD201" s="862"/>
      <c r="DE201" s="862"/>
      <c r="DF201" s="862"/>
      <c r="DG201" s="862"/>
      <c r="DH201" s="1081"/>
      <c r="DI201" s="862"/>
      <c r="DJ201" s="862"/>
      <c r="DK201" s="862"/>
      <c r="DL201" s="862"/>
      <c r="DM201" s="862"/>
      <c r="DN201" s="862"/>
      <c r="DO201" s="862"/>
      <c r="DP201" s="862"/>
      <c r="DQ201" s="862"/>
      <c r="DR201" s="73">
        <f t="shared" si="456"/>
        <v>0</v>
      </c>
      <c r="DS201" s="412"/>
      <c r="DT201" s="412"/>
      <c r="DU201" s="420"/>
      <c r="DV201" s="412"/>
      <c r="DW201" s="412"/>
      <c r="DX201" s="412"/>
      <c r="DY201" s="277"/>
      <c r="DZ201" s="277"/>
      <c r="EA201" s="277"/>
      <c r="EB201" s="277"/>
      <c r="EC201" s="277"/>
      <c r="ED201" s="277"/>
      <c r="EE201" s="277"/>
      <c r="EF201" s="277"/>
      <c r="EG201" s="277"/>
      <c r="EH201" s="277"/>
      <c r="EI201" s="277"/>
    </row>
    <row r="202" spans="1:139" s="278" customFormat="1" ht="29.25" customHeight="1" x14ac:dyDescent="0.2">
      <c r="A202" s="786">
        <f t="shared" si="469"/>
        <v>23</v>
      </c>
      <c r="B202" s="900" t="s">
        <v>646</v>
      </c>
      <c r="C202" s="281" t="s">
        <v>128</v>
      </c>
      <c r="D202" s="573">
        <v>1</v>
      </c>
      <c r="E202" s="901"/>
      <c r="F202" s="270"/>
      <c r="G202" s="270"/>
      <c r="H202" s="342"/>
      <c r="I202" s="576"/>
      <c r="J202" s="342">
        <v>1</v>
      </c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3">
        <f t="shared" si="447"/>
        <v>1</v>
      </c>
      <c r="X202" s="574" t="s">
        <v>14</v>
      </c>
      <c r="Y202" s="828">
        <v>2000000</v>
      </c>
      <c r="Z202" s="995"/>
      <c r="AA202" s="828"/>
      <c r="AB202" s="828"/>
      <c r="AC202" s="789"/>
      <c r="AD202" s="789"/>
      <c r="AE202" s="828">
        <v>2000000</v>
      </c>
      <c r="AF202" s="789"/>
      <c r="AG202" s="789"/>
      <c r="AH202" s="789"/>
      <c r="AI202" s="789"/>
      <c r="AJ202" s="789"/>
      <c r="AK202" s="789"/>
      <c r="AL202" s="789"/>
      <c r="AM202" s="789"/>
      <c r="AN202" s="789"/>
      <c r="AO202" s="789"/>
      <c r="AP202" s="789"/>
      <c r="AQ202" s="789"/>
      <c r="AR202" s="570">
        <f t="shared" ref="AR202" si="591">SUM(W202*Y202)</f>
        <v>2000000</v>
      </c>
      <c r="AS202" s="1352">
        <f t="shared" si="495"/>
        <v>0</v>
      </c>
      <c r="AT202" s="272"/>
      <c r="AU202" s="272">
        <f t="shared" si="496"/>
        <v>0</v>
      </c>
      <c r="AV202" s="272">
        <f t="shared" si="497"/>
        <v>0</v>
      </c>
      <c r="AW202" s="272">
        <f t="shared" si="498"/>
        <v>0</v>
      </c>
      <c r="AX202" s="272">
        <f t="shared" si="499"/>
        <v>2000000</v>
      </c>
      <c r="AY202" s="272">
        <f t="shared" si="500"/>
        <v>0</v>
      </c>
      <c r="AZ202" s="272">
        <f t="shared" si="501"/>
        <v>0</v>
      </c>
      <c r="BA202" s="272">
        <f t="shared" si="502"/>
        <v>0</v>
      </c>
      <c r="BB202" s="272">
        <f t="shared" si="503"/>
        <v>0</v>
      </c>
      <c r="BC202" s="272">
        <f t="shared" si="504"/>
        <v>0</v>
      </c>
      <c r="BD202" s="272">
        <f t="shared" si="505"/>
        <v>0</v>
      </c>
      <c r="BE202" s="272"/>
      <c r="BF202" s="272"/>
      <c r="BG202" s="272"/>
      <c r="BH202" s="272"/>
      <c r="BI202" s="272"/>
      <c r="BJ202" s="272"/>
      <c r="BK202" s="273">
        <f t="shared" ref="BK202" si="592">SUM(AS202:BD202)</f>
        <v>2000000</v>
      </c>
      <c r="BL202" s="272"/>
      <c r="BM202" s="272"/>
      <c r="BN202" s="272"/>
      <c r="BO202" s="1331">
        <f t="shared" si="573"/>
        <v>0</v>
      </c>
      <c r="BP202" s="272"/>
      <c r="BQ202" s="272"/>
      <c r="BR202" s="272">
        <f t="shared" ref="BR202" si="593">SUM(AY202*14%)</f>
        <v>0</v>
      </c>
      <c r="BS202" s="272">
        <f t="shared" ref="BS202" si="594">SUM(AZ202*14%)</f>
        <v>0</v>
      </c>
      <c r="BT202" s="272">
        <f t="shared" ref="BT202" si="595">SUM(BA202*14%)</f>
        <v>0</v>
      </c>
      <c r="BU202" s="272">
        <f t="shared" ref="BU202" si="596">SUM(BB202*14%)</f>
        <v>0</v>
      </c>
      <c r="BV202" s="272">
        <f t="shared" ref="BV202" si="597">SUM(BC202*14%)</f>
        <v>0</v>
      </c>
      <c r="BW202" s="272">
        <f t="shared" ref="BW202" si="598">SUM(BD202*14%)</f>
        <v>0</v>
      </c>
      <c r="BX202" s="299">
        <f t="shared" si="451"/>
        <v>0</v>
      </c>
      <c r="BY202" s="790">
        <f t="shared" ref="BY202" si="599">AR202-BK202-BX202</f>
        <v>0</v>
      </c>
      <c r="BZ202" s="791">
        <f t="shared" si="452"/>
        <v>2000000</v>
      </c>
      <c r="CA202" s="792">
        <f t="shared" si="481"/>
        <v>16491560</v>
      </c>
      <c r="CB202" s="571">
        <f t="shared" si="453"/>
        <v>1</v>
      </c>
      <c r="CC202" s="1081"/>
      <c r="CD202" s="1081"/>
      <c r="CE202" s="1083"/>
      <c r="CF202" s="1084"/>
      <c r="CG202" s="862"/>
      <c r="CH202" s="862"/>
      <c r="CI202" s="862"/>
      <c r="CJ202" s="862"/>
      <c r="CK202" s="862"/>
      <c r="CL202" s="862"/>
      <c r="CM202" s="862"/>
      <c r="CN202" s="862"/>
      <c r="CO202" s="1081">
        <f t="shared" si="482"/>
        <v>0</v>
      </c>
      <c r="CP202" s="862"/>
      <c r="CQ202" s="862"/>
      <c r="CR202" s="862"/>
      <c r="CS202" s="862"/>
      <c r="CT202" s="862"/>
      <c r="CU202" s="862"/>
      <c r="CV202" s="862"/>
      <c r="CW202" s="862"/>
      <c r="CX202" s="862"/>
      <c r="CY202" s="73">
        <f t="shared" si="455"/>
        <v>0</v>
      </c>
      <c r="CZ202" s="862"/>
      <c r="DA202" s="862"/>
      <c r="DB202" s="862"/>
      <c r="DC202" s="862"/>
      <c r="DD202" s="862"/>
      <c r="DE202" s="862"/>
      <c r="DF202" s="862"/>
      <c r="DG202" s="862"/>
      <c r="DH202" s="1081"/>
      <c r="DI202" s="862"/>
      <c r="DJ202" s="862"/>
      <c r="DK202" s="862"/>
      <c r="DL202" s="862"/>
      <c r="DM202" s="862"/>
      <c r="DN202" s="862"/>
      <c r="DO202" s="862"/>
      <c r="DP202" s="862"/>
      <c r="DQ202" s="862"/>
      <c r="DR202" s="73">
        <f t="shared" si="456"/>
        <v>0</v>
      </c>
      <c r="DS202" s="412"/>
      <c r="DT202" s="412"/>
      <c r="DU202" s="420"/>
      <c r="DV202" s="412"/>
      <c r="DW202" s="412"/>
      <c r="DX202" s="412"/>
      <c r="DY202" s="277"/>
      <c r="DZ202" s="277"/>
      <c r="EA202" s="277"/>
      <c r="EB202" s="277"/>
      <c r="EC202" s="277"/>
      <c r="ED202" s="277"/>
      <c r="EE202" s="277"/>
      <c r="EF202" s="277"/>
      <c r="EG202" s="277"/>
      <c r="EH202" s="277"/>
      <c r="EI202" s="277"/>
    </row>
    <row r="203" spans="1:139" s="278" customFormat="1" ht="29.25" customHeight="1" x14ac:dyDescent="0.2">
      <c r="A203" s="786">
        <f t="shared" si="469"/>
        <v>24</v>
      </c>
      <c r="B203" s="900" t="s">
        <v>670</v>
      </c>
      <c r="C203" s="281" t="s">
        <v>128</v>
      </c>
      <c r="D203" s="573">
        <v>1</v>
      </c>
      <c r="E203" s="901"/>
      <c r="F203" s="270"/>
      <c r="G203" s="270"/>
      <c r="H203" s="342"/>
      <c r="I203" s="576"/>
      <c r="J203" s="342">
        <v>1</v>
      </c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3">
        <f t="shared" si="447"/>
        <v>1</v>
      </c>
      <c r="X203" s="574" t="s">
        <v>14</v>
      </c>
      <c r="Y203" s="828">
        <v>2000000</v>
      </c>
      <c r="Z203" s="995"/>
      <c r="AA203" s="828"/>
      <c r="AB203" s="828"/>
      <c r="AC203" s="789"/>
      <c r="AD203" s="789"/>
      <c r="AE203" s="828">
        <v>2000000</v>
      </c>
      <c r="AF203" s="789"/>
      <c r="AG203" s="789"/>
      <c r="AH203" s="789"/>
      <c r="AI203" s="789"/>
      <c r="AJ203" s="789"/>
      <c r="AK203" s="789"/>
      <c r="AL203" s="789"/>
      <c r="AM203" s="789"/>
      <c r="AN203" s="789"/>
      <c r="AO203" s="789"/>
      <c r="AP203" s="789"/>
      <c r="AQ203" s="789"/>
      <c r="AR203" s="570">
        <f t="shared" si="572"/>
        <v>2000000</v>
      </c>
      <c r="AS203" s="1352">
        <f t="shared" si="495"/>
        <v>0</v>
      </c>
      <c r="AT203" s="272"/>
      <c r="AU203" s="272">
        <f t="shared" si="496"/>
        <v>0</v>
      </c>
      <c r="AV203" s="272">
        <f t="shared" si="497"/>
        <v>0</v>
      </c>
      <c r="AW203" s="272">
        <f t="shared" si="498"/>
        <v>0</v>
      </c>
      <c r="AX203" s="272">
        <f t="shared" si="499"/>
        <v>2000000</v>
      </c>
      <c r="AY203" s="272">
        <f t="shared" si="500"/>
        <v>0</v>
      </c>
      <c r="AZ203" s="272">
        <f t="shared" si="501"/>
        <v>0</v>
      </c>
      <c r="BA203" s="272">
        <f t="shared" si="502"/>
        <v>0</v>
      </c>
      <c r="BB203" s="272">
        <f t="shared" si="503"/>
        <v>0</v>
      </c>
      <c r="BC203" s="272">
        <f t="shared" si="504"/>
        <v>0</v>
      </c>
      <c r="BD203" s="272">
        <f t="shared" si="505"/>
        <v>0</v>
      </c>
      <c r="BE203" s="272"/>
      <c r="BF203" s="272"/>
      <c r="BG203" s="272"/>
      <c r="BH203" s="272"/>
      <c r="BI203" s="272"/>
      <c r="BJ203" s="272"/>
      <c r="BK203" s="273">
        <f t="shared" si="518"/>
        <v>2000000</v>
      </c>
      <c r="BL203" s="272"/>
      <c r="BM203" s="272"/>
      <c r="BN203" s="272"/>
      <c r="BO203" s="1331">
        <f t="shared" si="573"/>
        <v>0</v>
      </c>
      <c r="BP203" s="272"/>
      <c r="BQ203" s="272"/>
      <c r="BR203" s="272">
        <f t="shared" si="538"/>
        <v>0</v>
      </c>
      <c r="BS203" s="272">
        <f t="shared" si="539"/>
        <v>0</v>
      </c>
      <c r="BT203" s="272">
        <f t="shared" si="540"/>
        <v>0</v>
      </c>
      <c r="BU203" s="272">
        <f t="shared" si="541"/>
        <v>0</v>
      </c>
      <c r="BV203" s="272">
        <f t="shared" si="542"/>
        <v>0</v>
      </c>
      <c r="BW203" s="272">
        <f t="shared" si="543"/>
        <v>0</v>
      </c>
      <c r="BX203" s="299">
        <f t="shared" si="451"/>
        <v>0</v>
      </c>
      <c r="BY203" s="790">
        <f t="shared" si="544"/>
        <v>0</v>
      </c>
      <c r="BZ203" s="791">
        <f t="shared" si="452"/>
        <v>2000000</v>
      </c>
      <c r="CA203" s="792">
        <f t="shared" si="481"/>
        <v>14491560</v>
      </c>
      <c r="CB203" s="571">
        <f t="shared" si="453"/>
        <v>1</v>
      </c>
      <c r="CC203" s="1081"/>
      <c r="CD203" s="1081"/>
      <c r="CE203" s="1083"/>
      <c r="CF203" s="1084"/>
      <c r="CG203" s="862"/>
      <c r="CH203" s="862"/>
      <c r="CI203" s="862"/>
      <c r="CJ203" s="862"/>
      <c r="CK203" s="862"/>
      <c r="CL203" s="862"/>
      <c r="CM203" s="862"/>
      <c r="CN203" s="862"/>
      <c r="CO203" s="1081">
        <f t="shared" si="482"/>
        <v>0</v>
      </c>
      <c r="CP203" s="862"/>
      <c r="CQ203" s="862"/>
      <c r="CR203" s="862"/>
      <c r="CS203" s="862"/>
      <c r="CT203" s="862"/>
      <c r="CU203" s="862"/>
      <c r="CV203" s="862"/>
      <c r="CW203" s="862"/>
      <c r="CX203" s="862"/>
      <c r="CY203" s="73">
        <f t="shared" si="455"/>
        <v>0</v>
      </c>
      <c r="CZ203" s="862"/>
      <c r="DA203" s="862"/>
      <c r="DB203" s="862"/>
      <c r="DC203" s="862"/>
      <c r="DD203" s="862"/>
      <c r="DE203" s="862"/>
      <c r="DF203" s="862"/>
      <c r="DG203" s="862"/>
      <c r="DH203" s="1081"/>
      <c r="DI203" s="862"/>
      <c r="DJ203" s="862"/>
      <c r="DK203" s="862"/>
      <c r="DL203" s="862"/>
      <c r="DM203" s="862"/>
      <c r="DN203" s="862"/>
      <c r="DO203" s="862"/>
      <c r="DP203" s="862"/>
      <c r="DQ203" s="862"/>
      <c r="DR203" s="73">
        <f t="shared" si="456"/>
        <v>0</v>
      </c>
      <c r="DS203" s="412"/>
      <c r="DT203" s="412"/>
      <c r="DU203" s="420"/>
      <c r="DV203" s="412"/>
      <c r="DW203" s="412"/>
      <c r="DX203" s="412"/>
      <c r="DY203" s="277"/>
      <c r="DZ203" s="277"/>
      <c r="EA203" s="277"/>
      <c r="EB203" s="277"/>
      <c r="EC203" s="277"/>
      <c r="ED203" s="277"/>
      <c r="EE203" s="277"/>
      <c r="EF203" s="277"/>
      <c r="EG203" s="277"/>
      <c r="EH203" s="277"/>
      <c r="EI203" s="277"/>
    </row>
    <row r="204" spans="1:139" s="278" customFormat="1" ht="29.25" customHeight="1" x14ac:dyDescent="0.2">
      <c r="A204" s="786">
        <f t="shared" si="469"/>
        <v>25</v>
      </c>
      <c r="B204" s="900" t="s">
        <v>643</v>
      </c>
      <c r="C204" s="281" t="s">
        <v>128</v>
      </c>
      <c r="D204" s="573">
        <v>1</v>
      </c>
      <c r="E204" s="901"/>
      <c r="F204" s="270"/>
      <c r="G204" s="270"/>
      <c r="H204" s="342"/>
      <c r="I204" s="576"/>
      <c r="J204" s="342">
        <v>1</v>
      </c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3">
        <f t="shared" si="447"/>
        <v>1</v>
      </c>
      <c r="X204" s="574" t="s">
        <v>14</v>
      </c>
      <c r="Y204" s="828">
        <v>181000</v>
      </c>
      <c r="Z204" s="995"/>
      <c r="AA204" s="828"/>
      <c r="AB204" s="828"/>
      <c r="AC204" s="789"/>
      <c r="AD204" s="789"/>
      <c r="AE204" s="828">
        <v>181000</v>
      </c>
      <c r="AF204" s="789"/>
      <c r="AG204" s="789"/>
      <c r="AH204" s="789"/>
      <c r="AI204" s="789"/>
      <c r="AJ204" s="789"/>
      <c r="AK204" s="789"/>
      <c r="AL204" s="789"/>
      <c r="AM204" s="789"/>
      <c r="AN204" s="789"/>
      <c r="AO204" s="789"/>
      <c r="AP204" s="789"/>
      <c r="AQ204" s="789"/>
      <c r="AR204" s="570">
        <f t="shared" si="572"/>
        <v>181000</v>
      </c>
      <c r="AS204" s="1352">
        <f t="shared" si="495"/>
        <v>0</v>
      </c>
      <c r="AT204" s="272"/>
      <c r="AU204" s="272">
        <f t="shared" si="496"/>
        <v>0</v>
      </c>
      <c r="AV204" s="272">
        <f t="shared" si="497"/>
        <v>0</v>
      </c>
      <c r="AW204" s="272">
        <f t="shared" si="498"/>
        <v>0</v>
      </c>
      <c r="AX204" s="272">
        <f t="shared" si="499"/>
        <v>181000</v>
      </c>
      <c r="AY204" s="272">
        <f t="shared" si="500"/>
        <v>0</v>
      </c>
      <c r="AZ204" s="272">
        <f t="shared" si="501"/>
        <v>0</v>
      </c>
      <c r="BA204" s="272">
        <f t="shared" si="502"/>
        <v>0</v>
      </c>
      <c r="BB204" s="272">
        <f t="shared" si="503"/>
        <v>0</v>
      </c>
      <c r="BC204" s="272">
        <f t="shared" si="504"/>
        <v>0</v>
      </c>
      <c r="BD204" s="272">
        <f t="shared" si="505"/>
        <v>0</v>
      </c>
      <c r="BE204" s="272"/>
      <c r="BF204" s="272"/>
      <c r="BG204" s="272"/>
      <c r="BH204" s="272"/>
      <c r="BI204" s="272"/>
      <c r="BJ204" s="272"/>
      <c r="BK204" s="273">
        <f t="shared" si="518"/>
        <v>181000</v>
      </c>
      <c r="BL204" s="272"/>
      <c r="BM204" s="272"/>
      <c r="BN204" s="272"/>
      <c r="BO204" s="1331">
        <f t="shared" si="573"/>
        <v>0</v>
      </c>
      <c r="BP204" s="272">
        <f t="shared" ref="BP204:BP206" si="600">SUM(AW204*14%)</f>
        <v>0</v>
      </c>
      <c r="BQ204" s="272"/>
      <c r="BR204" s="272">
        <f t="shared" ref="BR204:BR206" si="601">SUM(AY204*14%)</f>
        <v>0</v>
      </c>
      <c r="BS204" s="272">
        <f t="shared" ref="BS204:BS206" si="602">SUM(AZ204*14%)</f>
        <v>0</v>
      </c>
      <c r="BT204" s="272">
        <f t="shared" ref="BT204:BT206" si="603">SUM(BA204*14%)</f>
        <v>0</v>
      </c>
      <c r="BU204" s="272">
        <f t="shared" ref="BU204:BU206" si="604">SUM(BB204*14%)</f>
        <v>0</v>
      </c>
      <c r="BV204" s="272">
        <f t="shared" ref="BV204:BV206" si="605">SUM(BC204*14%)</f>
        <v>0</v>
      </c>
      <c r="BW204" s="272">
        <f t="shared" ref="BW204:BW206" si="606">SUM(BD204*14%)</f>
        <v>0</v>
      </c>
      <c r="BX204" s="299">
        <f t="shared" si="451"/>
        <v>0</v>
      </c>
      <c r="BY204" s="790">
        <f t="shared" ref="BY204:BY206" si="607">AR204-BK204-BX204</f>
        <v>0</v>
      </c>
      <c r="BZ204" s="791">
        <f t="shared" si="452"/>
        <v>181000</v>
      </c>
      <c r="CA204" s="792">
        <f t="shared" si="481"/>
        <v>14310560</v>
      </c>
      <c r="CB204" s="571">
        <f t="shared" si="453"/>
        <v>1</v>
      </c>
      <c r="CC204" s="1081"/>
      <c r="CD204" s="1081"/>
      <c r="CE204" s="1083"/>
      <c r="CF204" s="1084"/>
      <c r="CG204" s="862"/>
      <c r="CH204" s="862"/>
      <c r="CI204" s="862"/>
      <c r="CJ204" s="862"/>
      <c r="CK204" s="862"/>
      <c r="CL204" s="862"/>
      <c r="CM204" s="862"/>
      <c r="CN204" s="862"/>
      <c r="CO204" s="1081">
        <f t="shared" si="482"/>
        <v>0</v>
      </c>
      <c r="CP204" s="862"/>
      <c r="CQ204" s="862"/>
      <c r="CR204" s="862"/>
      <c r="CS204" s="862"/>
      <c r="CT204" s="862"/>
      <c r="CU204" s="862"/>
      <c r="CV204" s="862"/>
      <c r="CW204" s="862"/>
      <c r="CX204" s="862"/>
      <c r="CY204" s="73">
        <f t="shared" si="455"/>
        <v>0</v>
      </c>
      <c r="CZ204" s="862"/>
      <c r="DA204" s="862"/>
      <c r="DB204" s="862"/>
      <c r="DC204" s="862"/>
      <c r="DD204" s="862"/>
      <c r="DE204" s="862"/>
      <c r="DF204" s="862"/>
      <c r="DG204" s="862"/>
      <c r="DH204" s="1081"/>
      <c r="DI204" s="862"/>
      <c r="DJ204" s="862"/>
      <c r="DK204" s="862"/>
      <c r="DL204" s="862"/>
      <c r="DM204" s="862"/>
      <c r="DN204" s="862"/>
      <c r="DO204" s="862"/>
      <c r="DP204" s="862"/>
      <c r="DQ204" s="862"/>
      <c r="DR204" s="73">
        <f t="shared" si="456"/>
        <v>0</v>
      </c>
      <c r="DS204" s="412"/>
      <c r="DT204" s="412"/>
      <c r="DU204" s="420"/>
      <c r="DV204" s="412"/>
      <c r="DW204" s="412"/>
      <c r="DX204" s="412"/>
      <c r="DY204" s="277"/>
      <c r="DZ204" s="277"/>
      <c r="EA204" s="277"/>
      <c r="EB204" s="277"/>
      <c r="EC204" s="277"/>
      <c r="ED204" s="277"/>
      <c r="EE204" s="277"/>
      <c r="EF204" s="277"/>
      <c r="EG204" s="277"/>
      <c r="EH204" s="277"/>
      <c r="EI204" s="277"/>
    </row>
    <row r="205" spans="1:139" s="278" customFormat="1" ht="29.25" customHeight="1" x14ac:dyDescent="0.2">
      <c r="A205" s="786">
        <f t="shared" si="469"/>
        <v>26</v>
      </c>
      <c r="B205" s="900" t="s">
        <v>644</v>
      </c>
      <c r="C205" s="281" t="s">
        <v>128</v>
      </c>
      <c r="D205" s="573">
        <v>1</v>
      </c>
      <c r="E205" s="901"/>
      <c r="F205" s="270"/>
      <c r="G205" s="270"/>
      <c r="H205" s="342"/>
      <c r="I205" s="576"/>
      <c r="J205" s="342">
        <v>1</v>
      </c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3">
        <f t="shared" si="447"/>
        <v>1</v>
      </c>
      <c r="X205" s="574" t="s">
        <v>14</v>
      </c>
      <c r="Y205" s="828">
        <v>150000</v>
      </c>
      <c r="Z205" s="995"/>
      <c r="AA205" s="828"/>
      <c r="AB205" s="828"/>
      <c r="AC205" s="789"/>
      <c r="AD205" s="789"/>
      <c r="AE205" s="828">
        <v>150000</v>
      </c>
      <c r="AF205" s="789"/>
      <c r="AG205" s="789"/>
      <c r="AH205" s="789"/>
      <c r="AI205" s="789"/>
      <c r="AJ205" s="789"/>
      <c r="AK205" s="789"/>
      <c r="AL205" s="789"/>
      <c r="AM205" s="789"/>
      <c r="AN205" s="789"/>
      <c r="AO205" s="789"/>
      <c r="AP205" s="789"/>
      <c r="AQ205" s="789"/>
      <c r="AR205" s="570">
        <f t="shared" ref="AR205" si="608">SUM(W205*Y205)</f>
        <v>150000</v>
      </c>
      <c r="AS205" s="1352">
        <f t="shared" si="495"/>
        <v>0</v>
      </c>
      <c r="AT205" s="272"/>
      <c r="AU205" s="272">
        <f t="shared" si="496"/>
        <v>0</v>
      </c>
      <c r="AV205" s="272">
        <f t="shared" si="497"/>
        <v>0</v>
      </c>
      <c r="AW205" s="272">
        <f t="shared" si="498"/>
        <v>0</v>
      </c>
      <c r="AX205" s="272">
        <f t="shared" si="499"/>
        <v>150000</v>
      </c>
      <c r="AY205" s="272">
        <f t="shared" si="500"/>
        <v>0</v>
      </c>
      <c r="AZ205" s="272">
        <f t="shared" si="501"/>
        <v>0</v>
      </c>
      <c r="BA205" s="272">
        <f t="shared" si="502"/>
        <v>0</v>
      </c>
      <c r="BB205" s="272">
        <f t="shared" si="503"/>
        <v>0</v>
      </c>
      <c r="BC205" s="272">
        <f t="shared" si="504"/>
        <v>0</v>
      </c>
      <c r="BD205" s="272">
        <f t="shared" si="505"/>
        <v>0</v>
      </c>
      <c r="BE205" s="272"/>
      <c r="BF205" s="272"/>
      <c r="BG205" s="272"/>
      <c r="BH205" s="272"/>
      <c r="BI205" s="272"/>
      <c r="BJ205" s="272"/>
      <c r="BK205" s="273">
        <f t="shared" ref="BK205" si="609">SUM(AS205:BD205)</f>
        <v>150000</v>
      </c>
      <c r="BL205" s="272"/>
      <c r="BM205" s="272"/>
      <c r="BN205" s="272"/>
      <c r="BO205" s="1331">
        <f t="shared" si="573"/>
        <v>0</v>
      </c>
      <c r="BP205" s="272">
        <f t="shared" ref="BP205" si="610">SUM(AW205*14%)</f>
        <v>0</v>
      </c>
      <c r="BQ205" s="272"/>
      <c r="BR205" s="272">
        <f t="shared" ref="BR205" si="611">SUM(AY205*14%)</f>
        <v>0</v>
      </c>
      <c r="BS205" s="272">
        <f t="shared" ref="BS205" si="612">SUM(AZ205*14%)</f>
        <v>0</v>
      </c>
      <c r="BT205" s="272">
        <f t="shared" ref="BT205" si="613">SUM(BA205*14%)</f>
        <v>0</v>
      </c>
      <c r="BU205" s="272">
        <f t="shared" ref="BU205" si="614">SUM(BB205*14%)</f>
        <v>0</v>
      </c>
      <c r="BV205" s="272">
        <f t="shared" ref="BV205" si="615">SUM(BC205*14%)</f>
        <v>0</v>
      </c>
      <c r="BW205" s="272">
        <f t="shared" ref="BW205" si="616">SUM(BD205*14%)</f>
        <v>0</v>
      </c>
      <c r="BX205" s="299">
        <f t="shared" si="451"/>
        <v>0</v>
      </c>
      <c r="BY205" s="790">
        <f t="shared" ref="BY205" si="617">AR205-BK205-BX205</f>
        <v>0</v>
      </c>
      <c r="BZ205" s="791">
        <f t="shared" si="452"/>
        <v>150000</v>
      </c>
      <c r="CA205" s="792">
        <f t="shared" si="481"/>
        <v>14160560</v>
      </c>
      <c r="CB205" s="571">
        <f t="shared" si="453"/>
        <v>1</v>
      </c>
      <c r="CC205" s="1081"/>
      <c r="CD205" s="1081"/>
      <c r="CE205" s="1083"/>
      <c r="CF205" s="1084"/>
      <c r="CG205" s="862"/>
      <c r="CH205" s="862"/>
      <c r="CI205" s="862"/>
      <c r="CJ205" s="862"/>
      <c r="CK205" s="862"/>
      <c r="CL205" s="862"/>
      <c r="CM205" s="862"/>
      <c r="CN205" s="862"/>
      <c r="CO205" s="1081">
        <f t="shared" si="482"/>
        <v>0</v>
      </c>
      <c r="CP205" s="862"/>
      <c r="CQ205" s="862"/>
      <c r="CR205" s="862"/>
      <c r="CS205" s="862"/>
      <c r="CT205" s="862"/>
      <c r="CU205" s="862"/>
      <c r="CV205" s="862"/>
      <c r="CW205" s="862"/>
      <c r="CX205" s="862"/>
      <c r="CY205" s="73">
        <f t="shared" si="455"/>
        <v>0</v>
      </c>
      <c r="CZ205" s="862"/>
      <c r="DA205" s="862"/>
      <c r="DB205" s="862"/>
      <c r="DC205" s="862"/>
      <c r="DD205" s="862"/>
      <c r="DE205" s="862"/>
      <c r="DF205" s="862"/>
      <c r="DG205" s="862"/>
      <c r="DH205" s="1081"/>
      <c r="DI205" s="862"/>
      <c r="DJ205" s="862"/>
      <c r="DK205" s="862"/>
      <c r="DL205" s="862"/>
      <c r="DM205" s="862"/>
      <c r="DN205" s="862"/>
      <c r="DO205" s="862"/>
      <c r="DP205" s="862"/>
      <c r="DQ205" s="862"/>
      <c r="DR205" s="73">
        <f t="shared" si="456"/>
        <v>0</v>
      </c>
      <c r="DS205" s="412"/>
      <c r="DT205" s="412"/>
      <c r="DU205" s="420"/>
      <c r="DV205" s="412"/>
      <c r="DW205" s="412"/>
      <c r="DX205" s="412"/>
      <c r="DY205" s="277"/>
      <c r="DZ205" s="277"/>
      <c r="EA205" s="277"/>
      <c r="EB205" s="277"/>
      <c r="EC205" s="277"/>
      <c r="ED205" s="277"/>
      <c r="EE205" s="277"/>
      <c r="EF205" s="277"/>
      <c r="EG205" s="277"/>
      <c r="EH205" s="277"/>
      <c r="EI205" s="277"/>
    </row>
    <row r="206" spans="1:139" s="278" customFormat="1" ht="29.25" customHeight="1" x14ac:dyDescent="0.2">
      <c r="A206" s="786">
        <f t="shared" si="469"/>
        <v>27</v>
      </c>
      <c r="B206" s="900" t="s">
        <v>671</v>
      </c>
      <c r="C206" s="281" t="s">
        <v>128</v>
      </c>
      <c r="D206" s="573">
        <v>1</v>
      </c>
      <c r="E206" s="901"/>
      <c r="F206" s="270"/>
      <c r="G206" s="270"/>
      <c r="H206" s="342"/>
      <c r="I206" s="576"/>
      <c r="J206" s="342">
        <v>1</v>
      </c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3">
        <f t="shared" si="447"/>
        <v>1</v>
      </c>
      <c r="X206" s="574" t="s">
        <v>14</v>
      </c>
      <c r="Y206" s="828">
        <v>260000</v>
      </c>
      <c r="Z206" s="995"/>
      <c r="AA206" s="828"/>
      <c r="AB206" s="828"/>
      <c r="AC206" s="789"/>
      <c r="AD206" s="789"/>
      <c r="AE206" s="828">
        <v>260000</v>
      </c>
      <c r="AF206" s="789"/>
      <c r="AG206" s="789"/>
      <c r="AH206" s="789"/>
      <c r="AI206" s="789"/>
      <c r="AJ206" s="789"/>
      <c r="AK206" s="789"/>
      <c r="AL206" s="789"/>
      <c r="AM206" s="789"/>
      <c r="AN206" s="789"/>
      <c r="AO206" s="789"/>
      <c r="AP206" s="789"/>
      <c r="AQ206" s="789"/>
      <c r="AR206" s="570">
        <f t="shared" si="572"/>
        <v>260000</v>
      </c>
      <c r="AS206" s="1352">
        <f t="shared" si="495"/>
        <v>0</v>
      </c>
      <c r="AT206" s="272"/>
      <c r="AU206" s="272">
        <f t="shared" si="496"/>
        <v>0</v>
      </c>
      <c r="AV206" s="272">
        <f t="shared" si="497"/>
        <v>0</v>
      </c>
      <c r="AW206" s="272">
        <f t="shared" si="498"/>
        <v>0</v>
      </c>
      <c r="AX206" s="272">
        <f t="shared" si="499"/>
        <v>260000</v>
      </c>
      <c r="AY206" s="272">
        <f t="shared" si="500"/>
        <v>0</v>
      </c>
      <c r="AZ206" s="272">
        <f t="shared" si="501"/>
        <v>0</v>
      </c>
      <c r="BA206" s="272">
        <f t="shared" si="502"/>
        <v>0</v>
      </c>
      <c r="BB206" s="272">
        <f t="shared" si="503"/>
        <v>0</v>
      </c>
      <c r="BC206" s="272">
        <f t="shared" si="504"/>
        <v>0</v>
      </c>
      <c r="BD206" s="272">
        <f t="shared" si="505"/>
        <v>0</v>
      </c>
      <c r="BE206" s="272"/>
      <c r="BF206" s="272"/>
      <c r="BG206" s="272"/>
      <c r="BH206" s="272"/>
      <c r="BI206" s="272"/>
      <c r="BJ206" s="272"/>
      <c r="BK206" s="273">
        <f t="shared" si="518"/>
        <v>260000</v>
      </c>
      <c r="BL206" s="272"/>
      <c r="BM206" s="272"/>
      <c r="BN206" s="272"/>
      <c r="BO206" s="1331">
        <f t="shared" si="573"/>
        <v>0</v>
      </c>
      <c r="BP206" s="272">
        <f t="shared" si="600"/>
        <v>0</v>
      </c>
      <c r="BQ206" s="272"/>
      <c r="BR206" s="272">
        <f t="shared" si="601"/>
        <v>0</v>
      </c>
      <c r="BS206" s="272">
        <f t="shared" si="602"/>
        <v>0</v>
      </c>
      <c r="BT206" s="272">
        <f t="shared" si="603"/>
        <v>0</v>
      </c>
      <c r="BU206" s="272">
        <f t="shared" si="604"/>
        <v>0</v>
      </c>
      <c r="BV206" s="272">
        <f t="shared" si="605"/>
        <v>0</v>
      </c>
      <c r="BW206" s="272">
        <f t="shared" si="606"/>
        <v>0</v>
      </c>
      <c r="BX206" s="299">
        <f t="shared" si="451"/>
        <v>0</v>
      </c>
      <c r="BY206" s="790">
        <f t="shared" si="607"/>
        <v>0</v>
      </c>
      <c r="BZ206" s="791">
        <f t="shared" si="452"/>
        <v>260000</v>
      </c>
      <c r="CA206" s="792">
        <f t="shared" si="481"/>
        <v>13900560</v>
      </c>
      <c r="CB206" s="571">
        <f t="shared" si="453"/>
        <v>1</v>
      </c>
      <c r="CC206" s="1081"/>
      <c r="CD206" s="1081"/>
      <c r="CE206" s="1083"/>
      <c r="CF206" s="1084"/>
      <c r="CG206" s="862"/>
      <c r="CH206" s="862"/>
      <c r="CI206" s="862"/>
      <c r="CJ206" s="862"/>
      <c r="CK206" s="862"/>
      <c r="CL206" s="862"/>
      <c r="CM206" s="862"/>
      <c r="CN206" s="862"/>
      <c r="CO206" s="1081">
        <f t="shared" si="482"/>
        <v>0</v>
      </c>
      <c r="CP206" s="862"/>
      <c r="CQ206" s="862"/>
      <c r="CR206" s="862"/>
      <c r="CS206" s="862"/>
      <c r="CT206" s="862"/>
      <c r="CU206" s="862"/>
      <c r="CV206" s="862"/>
      <c r="CW206" s="862"/>
      <c r="CX206" s="862"/>
      <c r="CY206" s="73">
        <f t="shared" si="455"/>
        <v>0</v>
      </c>
      <c r="CZ206" s="862"/>
      <c r="DA206" s="862"/>
      <c r="DB206" s="862"/>
      <c r="DC206" s="862"/>
      <c r="DD206" s="862"/>
      <c r="DE206" s="862"/>
      <c r="DF206" s="862"/>
      <c r="DG206" s="862"/>
      <c r="DH206" s="1081"/>
      <c r="DI206" s="862"/>
      <c r="DJ206" s="862"/>
      <c r="DK206" s="862"/>
      <c r="DL206" s="862"/>
      <c r="DM206" s="862"/>
      <c r="DN206" s="862"/>
      <c r="DO206" s="862"/>
      <c r="DP206" s="862"/>
      <c r="DQ206" s="862"/>
      <c r="DR206" s="73">
        <f t="shared" si="456"/>
        <v>0</v>
      </c>
      <c r="DS206" s="412"/>
      <c r="DT206" s="412"/>
      <c r="DU206" s="420"/>
      <c r="DV206" s="412"/>
      <c r="DW206" s="412"/>
      <c r="DX206" s="412"/>
      <c r="DY206" s="277"/>
      <c r="DZ206" s="277"/>
      <c r="EA206" s="277"/>
      <c r="EB206" s="277"/>
      <c r="EC206" s="277"/>
      <c r="ED206" s="277"/>
      <c r="EE206" s="277"/>
      <c r="EF206" s="277"/>
      <c r="EG206" s="277"/>
      <c r="EH206" s="277"/>
      <c r="EI206" s="277"/>
    </row>
    <row r="207" spans="1:139" s="278" customFormat="1" ht="29.25" customHeight="1" x14ac:dyDescent="0.2">
      <c r="A207" s="786">
        <f t="shared" si="469"/>
        <v>28</v>
      </c>
      <c r="B207" s="900" t="s">
        <v>645</v>
      </c>
      <c r="C207" s="281" t="s">
        <v>128</v>
      </c>
      <c r="D207" s="573">
        <v>1</v>
      </c>
      <c r="E207" s="901"/>
      <c r="F207" s="270"/>
      <c r="G207" s="270"/>
      <c r="H207" s="342"/>
      <c r="I207" s="576"/>
      <c r="J207" s="342">
        <v>1</v>
      </c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3">
        <f t="shared" si="447"/>
        <v>1</v>
      </c>
      <c r="X207" s="574" t="s">
        <v>14</v>
      </c>
      <c r="Y207" s="828">
        <v>1000000</v>
      </c>
      <c r="Z207" s="995"/>
      <c r="AA207" s="828"/>
      <c r="AB207" s="828"/>
      <c r="AC207" s="789"/>
      <c r="AD207" s="789"/>
      <c r="AE207" s="828">
        <v>1000000</v>
      </c>
      <c r="AF207" s="789"/>
      <c r="AG207" s="789"/>
      <c r="AH207" s="789"/>
      <c r="AI207" s="789"/>
      <c r="AJ207" s="789"/>
      <c r="AK207" s="789"/>
      <c r="AL207" s="789"/>
      <c r="AM207" s="789"/>
      <c r="AN207" s="789"/>
      <c r="AO207" s="789"/>
      <c r="AP207" s="789"/>
      <c r="AQ207" s="789"/>
      <c r="AR207" s="570">
        <f t="shared" si="517"/>
        <v>1000000</v>
      </c>
      <c r="AS207" s="1352">
        <f t="shared" si="495"/>
        <v>0</v>
      </c>
      <c r="AT207" s="272"/>
      <c r="AU207" s="272">
        <f t="shared" si="496"/>
        <v>0</v>
      </c>
      <c r="AV207" s="272">
        <f t="shared" si="497"/>
        <v>0</v>
      </c>
      <c r="AW207" s="272">
        <f t="shared" si="498"/>
        <v>0</v>
      </c>
      <c r="AX207" s="272">
        <f t="shared" si="499"/>
        <v>1000000</v>
      </c>
      <c r="AY207" s="272">
        <f t="shared" si="500"/>
        <v>0</v>
      </c>
      <c r="AZ207" s="272">
        <f t="shared" si="501"/>
        <v>0</v>
      </c>
      <c r="BA207" s="272">
        <f t="shared" si="502"/>
        <v>0</v>
      </c>
      <c r="BB207" s="272">
        <f t="shared" si="503"/>
        <v>0</v>
      </c>
      <c r="BC207" s="272">
        <f t="shared" si="504"/>
        <v>0</v>
      </c>
      <c r="BD207" s="272">
        <f t="shared" si="505"/>
        <v>0</v>
      </c>
      <c r="BE207" s="272"/>
      <c r="BF207" s="272"/>
      <c r="BG207" s="272"/>
      <c r="BH207" s="272"/>
      <c r="BI207" s="272"/>
      <c r="BJ207" s="272"/>
      <c r="BK207" s="273">
        <f t="shared" si="515"/>
        <v>1000000</v>
      </c>
      <c r="BL207" s="272"/>
      <c r="BM207" s="272"/>
      <c r="BN207" s="272"/>
      <c r="BO207" s="1331">
        <f t="shared" si="573"/>
        <v>0</v>
      </c>
      <c r="BP207" s="272">
        <f t="shared" si="473"/>
        <v>0</v>
      </c>
      <c r="BQ207" s="272"/>
      <c r="BR207" s="272">
        <f t="shared" si="475"/>
        <v>0</v>
      </c>
      <c r="BS207" s="272">
        <f t="shared" si="476"/>
        <v>0</v>
      </c>
      <c r="BT207" s="272">
        <f t="shared" si="477"/>
        <v>0</v>
      </c>
      <c r="BU207" s="272">
        <f t="shared" si="478"/>
        <v>0</v>
      </c>
      <c r="BV207" s="272">
        <f t="shared" si="479"/>
        <v>0</v>
      </c>
      <c r="BW207" s="272">
        <f t="shared" si="480"/>
        <v>0</v>
      </c>
      <c r="BX207" s="299">
        <f t="shared" si="451"/>
        <v>0</v>
      </c>
      <c r="BY207" s="790">
        <f t="shared" si="544"/>
        <v>0</v>
      </c>
      <c r="BZ207" s="791">
        <f t="shared" si="452"/>
        <v>1000000</v>
      </c>
      <c r="CA207" s="792">
        <f t="shared" si="481"/>
        <v>12900560</v>
      </c>
      <c r="CB207" s="571">
        <f t="shared" si="453"/>
        <v>1</v>
      </c>
      <c r="CC207" s="1081"/>
      <c r="CD207" s="1081"/>
      <c r="CE207" s="1083"/>
      <c r="CF207" s="1084"/>
      <c r="CG207" s="862"/>
      <c r="CH207" s="862"/>
      <c r="CI207" s="862"/>
      <c r="CJ207" s="862"/>
      <c r="CK207" s="862"/>
      <c r="CL207" s="862"/>
      <c r="CM207" s="862"/>
      <c r="CN207" s="862"/>
      <c r="CO207" s="1081">
        <f t="shared" si="482"/>
        <v>0</v>
      </c>
      <c r="CP207" s="862"/>
      <c r="CQ207" s="862"/>
      <c r="CR207" s="862"/>
      <c r="CS207" s="862"/>
      <c r="CT207" s="862"/>
      <c r="CU207" s="862"/>
      <c r="CV207" s="862"/>
      <c r="CW207" s="862"/>
      <c r="CX207" s="862"/>
      <c r="CY207" s="73">
        <f t="shared" si="455"/>
        <v>0</v>
      </c>
      <c r="CZ207" s="862"/>
      <c r="DA207" s="862"/>
      <c r="DB207" s="862"/>
      <c r="DC207" s="862"/>
      <c r="DD207" s="862"/>
      <c r="DE207" s="862"/>
      <c r="DF207" s="862"/>
      <c r="DG207" s="862"/>
      <c r="DH207" s="1081"/>
      <c r="DI207" s="862"/>
      <c r="DJ207" s="862"/>
      <c r="DK207" s="862"/>
      <c r="DL207" s="862"/>
      <c r="DM207" s="862"/>
      <c r="DN207" s="862"/>
      <c r="DO207" s="862"/>
      <c r="DP207" s="862"/>
      <c r="DQ207" s="862"/>
      <c r="DR207" s="73">
        <f t="shared" si="456"/>
        <v>0</v>
      </c>
      <c r="DS207" s="412"/>
      <c r="DT207" s="412"/>
      <c r="DU207" s="420"/>
      <c r="DV207" s="412"/>
      <c r="DW207" s="412"/>
      <c r="DX207" s="412"/>
      <c r="DY207" s="277"/>
      <c r="DZ207" s="277"/>
      <c r="EA207" s="277"/>
      <c r="EB207" s="277"/>
      <c r="EC207" s="277"/>
      <c r="ED207" s="277"/>
      <c r="EE207" s="277"/>
      <c r="EF207" s="277"/>
      <c r="EG207" s="277"/>
      <c r="EH207" s="277"/>
      <c r="EI207" s="277"/>
    </row>
    <row r="208" spans="1:139" s="278" customFormat="1" ht="29.25" customHeight="1" x14ac:dyDescent="0.2">
      <c r="A208" s="786">
        <f t="shared" si="469"/>
        <v>29</v>
      </c>
      <c r="B208" s="900" t="s">
        <v>672</v>
      </c>
      <c r="C208" s="281" t="s">
        <v>128</v>
      </c>
      <c r="D208" s="573">
        <v>1</v>
      </c>
      <c r="E208" s="270"/>
      <c r="F208" s="270"/>
      <c r="G208" s="270"/>
      <c r="H208" s="342"/>
      <c r="I208" s="342"/>
      <c r="J208" s="342"/>
      <c r="K208" s="342">
        <v>1</v>
      </c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3">
        <f t="shared" si="447"/>
        <v>1</v>
      </c>
      <c r="X208" s="574" t="s">
        <v>14</v>
      </c>
      <c r="Y208" s="828">
        <v>2600000</v>
      </c>
      <c r="Z208" s="1018"/>
      <c r="AA208" s="828"/>
      <c r="AB208" s="828"/>
      <c r="AC208" s="569"/>
      <c r="AD208" s="569"/>
      <c r="AE208" s="828"/>
      <c r="AF208" s="828">
        <v>2600000</v>
      </c>
      <c r="AG208" s="569"/>
      <c r="AH208" s="569"/>
      <c r="AI208" s="569"/>
      <c r="AJ208" s="569"/>
      <c r="AK208" s="569"/>
      <c r="AL208" s="569"/>
      <c r="AM208" s="569"/>
      <c r="AN208" s="569"/>
      <c r="AO208" s="569"/>
      <c r="AP208" s="569"/>
      <c r="AQ208" s="569"/>
      <c r="AR208" s="570">
        <f t="shared" ref="AR208:AR211" si="618">SUM(W208*Y208)</f>
        <v>2600000</v>
      </c>
      <c r="AS208" s="1352">
        <f t="shared" si="495"/>
        <v>0</v>
      </c>
      <c r="AT208" s="402"/>
      <c r="AU208" s="402">
        <f t="shared" si="496"/>
        <v>0</v>
      </c>
      <c r="AV208" s="402">
        <f t="shared" si="497"/>
        <v>0</v>
      </c>
      <c r="AW208" s="402">
        <f t="shared" si="498"/>
        <v>0</v>
      </c>
      <c r="AX208" s="402">
        <f t="shared" si="499"/>
        <v>0</v>
      </c>
      <c r="AY208" s="402">
        <f t="shared" si="500"/>
        <v>2600000</v>
      </c>
      <c r="AZ208" s="402">
        <f t="shared" si="501"/>
        <v>0</v>
      </c>
      <c r="BA208" s="402">
        <f t="shared" si="502"/>
        <v>0</v>
      </c>
      <c r="BB208" s="402">
        <f t="shared" si="503"/>
        <v>0</v>
      </c>
      <c r="BC208" s="402">
        <f t="shared" si="504"/>
        <v>0</v>
      </c>
      <c r="BD208" s="402">
        <f t="shared" si="505"/>
        <v>0</v>
      </c>
      <c r="BE208" s="402"/>
      <c r="BF208" s="402"/>
      <c r="BG208" s="402"/>
      <c r="BH208" s="402"/>
      <c r="BI208" s="402"/>
      <c r="BJ208" s="402"/>
      <c r="BK208" s="403">
        <f t="shared" ref="BK208:BK211" si="619">SUM(AS208:BD208)</f>
        <v>2600000</v>
      </c>
      <c r="BL208" s="402"/>
      <c r="BM208" s="402"/>
      <c r="BN208" s="402"/>
      <c r="BO208" s="1331">
        <f t="shared" ref="BO208:BO211" si="620">SUM(AV208*4%)</f>
        <v>0</v>
      </c>
      <c r="BP208" s="402">
        <f t="shared" ref="BP208:BP211" si="621">SUM(AW208*14%)</f>
        <v>0</v>
      </c>
      <c r="BQ208" s="402"/>
      <c r="BR208" s="402"/>
      <c r="BS208" s="402">
        <f t="shared" ref="BS208:BS211" si="622">SUM(AZ208*14%)</f>
        <v>0</v>
      </c>
      <c r="BT208" s="402">
        <f t="shared" ref="BT208:BT211" si="623">SUM(BA208*14%)</f>
        <v>0</v>
      </c>
      <c r="BU208" s="402">
        <f t="shared" ref="BU208:BU211" si="624">SUM(BB208*14%)</f>
        <v>0</v>
      </c>
      <c r="BV208" s="402">
        <f t="shared" ref="BV208:BV211" si="625">SUM(BC208*14%)</f>
        <v>0</v>
      </c>
      <c r="BW208" s="402">
        <f t="shared" ref="BW208:BW211" si="626">SUM(BD208*14%)</f>
        <v>0</v>
      </c>
      <c r="BX208" s="299">
        <f t="shared" si="451"/>
        <v>0</v>
      </c>
      <c r="BY208" s="790">
        <f t="shared" ref="BY208:BY212" si="627">AR208-BK208-BX208</f>
        <v>0</v>
      </c>
      <c r="BZ208" s="791">
        <f t="shared" si="452"/>
        <v>2600000</v>
      </c>
      <c r="CA208" s="792">
        <f t="shared" si="481"/>
        <v>10300560</v>
      </c>
      <c r="CB208" s="571">
        <f t="shared" si="453"/>
        <v>1</v>
      </c>
      <c r="CC208" s="1081"/>
      <c r="CD208" s="1081"/>
      <c r="CE208" s="1083"/>
      <c r="CF208" s="1084"/>
      <c r="CG208" s="862"/>
      <c r="CH208" s="862"/>
      <c r="CI208" s="862"/>
      <c r="CJ208" s="862"/>
      <c r="CK208" s="862"/>
      <c r="CL208" s="862"/>
      <c r="CM208" s="862"/>
      <c r="CN208" s="862"/>
      <c r="CO208" s="1081">
        <f t="shared" si="482"/>
        <v>0</v>
      </c>
      <c r="CP208" s="862"/>
      <c r="CQ208" s="862"/>
      <c r="CR208" s="862"/>
      <c r="CS208" s="862"/>
      <c r="CT208" s="862"/>
      <c r="CU208" s="862"/>
      <c r="CV208" s="862"/>
      <c r="CW208" s="862"/>
      <c r="CX208" s="862"/>
      <c r="CY208" s="73">
        <f t="shared" si="455"/>
        <v>0</v>
      </c>
      <c r="CZ208" s="862"/>
      <c r="DA208" s="862"/>
      <c r="DB208" s="862"/>
      <c r="DC208" s="862"/>
      <c r="DD208" s="862"/>
      <c r="DE208" s="862"/>
      <c r="DF208" s="862"/>
      <c r="DG208" s="862"/>
      <c r="DH208" s="1081"/>
      <c r="DI208" s="862"/>
      <c r="DJ208" s="862"/>
      <c r="DK208" s="862"/>
      <c r="DL208" s="862"/>
      <c r="DM208" s="862"/>
      <c r="DN208" s="862"/>
      <c r="DO208" s="862"/>
      <c r="DP208" s="862"/>
      <c r="DQ208" s="862"/>
      <c r="DR208" s="73">
        <f t="shared" si="456"/>
        <v>0</v>
      </c>
      <c r="DS208" s="412"/>
      <c r="DT208" s="412"/>
      <c r="DU208" s="420"/>
      <c r="DV208" s="412"/>
      <c r="DW208" s="412"/>
      <c r="DX208" s="412"/>
      <c r="DY208" s="277"/>
      <c r="DZ208" s="277"/>
      <c r="EA208" s="277"/>
      <c r="EB208" s="277"/>
      <c r="EC208" s="277"/>
      <c r="ED208" s="277"/>
      <c r="EE208" s="277"/>
      <c r="EF208" s="277"/>
      <c r="EG208" s="277"/>
      <c r="EH208" s="277"/>
      <c r="EI208" s="277"/>
    </row>
    <row r="209" spans="1:157" s="278" customFormat="1" ht="29.25" customHeight="1" x14ac:dyDescent="0.2">
      <c r="A209" s="786">
        <f t="shared" si="469"/>
        <v>30</v>
      </c>
      <c r="B209" s="900" t="s">
        <v>674</v>
      </c>
      <c r="C209" s="281" t="s">
        <v>128</v>
      </c>
      <c r="D209" s="573">
        <v>1</v>
      </c>
      <c r="E209" s="270"/>
      <c r="F209" s="270"/>
      <c r="G209" s="270"/>
      <c r="H209" s="342"/>
      <c r="I209" s="342"/>
      <c r="J209" s="342"/>
      <c r="K209" s="342">
        <v>1</v>
      </c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3">
        <f t="shared" si="447"/>
        <v>1</v>
      </c>
      <c r="X209" s="574" t="s">
        <v>14</v>
      </c>
      <c r="Y209" s="828">
        <v>327600</v>
      </c>
      <c r="Z209" s="1018"/>
      <c r="AA209" s="828"/>
      <c r="AB209" s="828"/>
      <c r="AC209" s="569"/>
      <c r="AD209" s="569"/>
      <c r="AE209" s="828"/>
      <c r="AF209" s="828">
        <v>315000</v>
      </c>
      <c r="AG209" s="569"/>
      <c r="AH209" s="569"/>
      <c r="AI209" s="569"/>
      <c r="AJ209" s="569"/>
      <c r="AK209" s="569"/>
      <c r="AL209" s="569"/>
      <c r="AM209" s="569"/>
      <c r="AN209" s="569"/>
      <c r="AO209" s="569"/>
      <c r="AP209" s="569"/>
      <c r="AQ209" s="569"/>
      <c r="AR209" s="570">
        <f t="shared" si="618"/>
        <v>327600</v>
      </c>
      <c r="AS209" s="1352">
        <f t="shared" si="495"/>
        <v>0</v>
      </c>
      <c r="AT209" s="402"/>
      <c r="AU209" s="402">
        <f t="shared" si="496"/>
        <v>0</v>
      </c>
      <c r="AV209" s="402">
        <f t="shared" si="497"/>
        <v>0</v>
      </c>
      <c r="AW209" s="402">
        <f t="shared" si="498"/>
        <v>0</v>
      </c>
      <c r="AX209" s="402">
        <f t="shared" si="499"/>
        <v>0</v>
      </c>
      <c r="AY209" s="402">
        <f t="shared" si="500"/>
        <v>315000</v>
      </c>
      <c r="AZ209" s="402">
        <f t="shared" si="501"/>
        <v>0</v>
      </c>
      <c r="BA209" s="402">
        <f t="shared" si="502"/>
        <v>0</v>
      </c>
      <c r="BB209" s="402">
        <f t="shared" si="503"/>
        <v>0</v>
      </c>
      <c r="BC209" s="402">
        <f t="shared" si="504"/>
        <v>0</v>
      </c>
      <c r="BD209" s="402">
        <f t="shared" si="505"/>
        <v>0</v>
      </c>
      <c r="BE209" s="402"/>
      <c r="BF209" s="402"/>
      <c r="BG209" s="402"/>
      <c r="BH209" s="402"/>
      <c r="BI209" s="402"/>
      <c r="BJ209" s="402"/>
      <c r="BK209" s="403">
        <f t="shared" si="619"/>
        <v>315000</v>
      </c>
      <c r="BL209" s="402"/>
      <c r="BM209" s="402"/>
      <c r="BN209" s="402"/>
      <c r="BO209" s="1331">
        <f t="shared" si="620"/>
        <v>0</v>
      </c>
      <c r="BP209" s="402">
        <f t="shared" si="621"/>
        <v>0</v>
      </c>
      <c r="BQ209" s="402"/>
      <c r="BR209" s="402">
        <f>BK209*4/100</f>
        <v>12600</v>
      </c>
      <c r="BS209" s="402">
        <f t="shared" si="622"/>
        <v>0</v>
      </c>
      <c r="BT209" s="402">
        <f t="shared" si="623"/>
        <v>0</v>
      </c>
      <c r="BU209" s="402">
        <f t="shared" si="624"/>
        <v>0</v>
      </c>
      <c r="BV209" s="402">
        <f t="shared" si="625"/>
        <v>0</v>
      </c>
      <c r="BW209" s="402">
        <f t="shared" si="626"/>
        <v>0</v>
      </c>
      <c r="BX209" s="299">
        <f t="shared" si="451"/>
        <v>12600</v>
      </c>
      <c r="BY209" s="790">
        <f t="shared" si="627"/>
        <v>0</v>
      </c>
      <c r="BZ209" s="791">
        <f t="shared" si="452"/>
        <v>327600</v>
      </c>
      <c r="CA209" s="792">
        <f t="shared" si="481"/>
        <v>9972960</v>
      </c>
      <c r="CB209" s="571">
        <f t="shared" si="453"/>
        <v>1</v>
      </c>
      <c r="CC209" s="1081"/>
      <c r="CD209" s="1081"/>
      <c r="CE209" s="1083"/>
      <c r="CF209" s="1084"/>
      <c r="CG209" s="862"/>
      <c r="CH209" s="862"/>
      <c r="CI209" s="862"/>
      <c r="CJ209" s="862"/>
      <c r="CK209" s="862"/>
      <c r="CL209" s="862"/>
      <c r="CM209" s="862"/>
      <c r="CN209" s="862"/>
      <c r="CO209" s="1081">
        <f t="shared" si="482"/>
        <v>0</v>
      </c>
      <c r="CP209" s="862"/>
      <c r="CQ209" s="862"/>
      <c r="CR209" s="862"/>
      <c r="CS209" s="862"/>
      <c r="CT209" s="862"/>
      <c r="CU209" s="862"/>
      <c r="CV209" s="862"/>
      <c r="CW209" s="862"/>
      <c r="CX209" s="862"/>
      <c r="CY209" s="73">
        <f t="shared" si="455"/>
        <v>0</v>
      </c>
      <c r="CZ209" s="862"/>
      <c r="DA209" s="862"/>
      <c r="DB209" s="862"/>
      <c r="DC209" s="862"/>
      <c r="DD209" s="862"/>
      <c r="DE209" s="862"/>
      <c r="DF209" s="862"/>
      <c r="DG209" s="862"/>
      <c r="DH209" s="1081"/>
      <c r="DI209" s="862"/>
      <c r="DJ209" s="862"/>
      <c r="DK209" s="862"/>
      <c r="DL209" s="862"/>
      <c r="DM209" s="862"/>
      <c r="DN209" s="862"/>
      <c r="DO209" s="862"/>
      <c r="DP209" s="862"/>
      <c r="DQ209" s="862"/>
      <c r="DR209" s="73">
        <f t="shared" si="456"/>
        <v>0</v>
      </c>
      <c r="DS209" s="412"/>
      <c r="DT209" s="412"/>
      <c r="DU209" s="420"/>
      <c r="DV209" s="412"/>
      <c r="DW209" s="412"/>
      <c r="DX209" s="412"/>
      <c r="DY209" s="277"/>
      <c r="DZ209" s="277"/>
      <c r="EA209" s="277"/>
      <c r="EB209" s="277"/>
      <c r="EC209" s="277"/>
      <c r="ED209" s="277"/>
      <c r="EE209" s="277"/>
      <c r="EF209" s="277"/>
      <c r="EG209" s="277"/>
      <c r="EH209" s="277"/>
      <c r="EI209" s="277"/>
    </row>
    <row r="210" spans="1:157" s="278" customFormat="1" ht="29.25" customHeight="1" x14ac:dyDescent="0.2">
      <c r="A210" s="786">
        <f t="shared" si="469"/>
        <v>31</v>
      </c>
      <c r="B210" s="900" t="s">
        <v>681</v>
      </c>
      <c r="C210" s="281" t="s">
        <v>128</v>
      </c>
      <c r="D210" s="573">
        <v>1</v>
      </c>
      <c r="E210" s="270"/>
      <c r="F210" s="270"/>
      <c r="G210" s="270"/>
      <c r="H210" s="342"/>
      <c r="I210" s="342"/>
      <c r="J210" s="342"/>
      <c r="K210" s="342">
        <v>1</v>
      </c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3">
        <f t="shared" si="447"/>
        <v>1</v>
      </c>
      <c r="X210" s="574" t="s">
        <v>14</v>
      </c>
      <c r="Y210" s="828">
        <v>1125000</v>
      </c>
      <c r="Z210" s="1018"/>
      <c r="AA210" s="828"/>
      <c r="AB210" s="828"/>
      <c r="AC210" s="569"/>
      <c r="AD210" s="569"/>
      <c r="AE210" s="828"/>
      <c r="AF210" s="828">
        <v>1125000</v>
      </c>
      <c r="AG210" s="569"/>
      <c r="AH210" s="569"/>
      <c r="AI210" s="569"/>
      <c r="AJ210" s="569"/>
      <c r="AK210" s="569"/>
      <c r="AL210" s="569"/>
      <c r="AM210" s="569"/>
      <c r="AN210" s="569"/>
      <c r="AO210" s="569"/>
      <c r="AP210" s="569"/>
      <c r="AQ210" s="569"/>
      <c r="AR210" s="570">
        <f t="shared" si="618"/>
        <v>1125000</v>
      </c>
      <c r="AS210" s="1352">
        <f t="shared" si="495"/>
        <v>0</v>
      </c>
      <c r="AT210" s="402"/>
      <c r="AU210" s="402">
        <f t="shared" si="496"/>
        <v>0</v>
      </c>
      <c r="AV210" s="402">
        <f t="shared" si="497"/>
        <v>0</v>
      </c>
      <c r="AW210" s="402">
        <f t="shared" si="498"/>
        <v>0</v>
      </c>
      <c r="AX210" s="402">
        <f t="shared" si="499"/>
        <v>0</v>
      </c>
      <c r="AY210" s="402">
        <f t="shared" si="500"/>
        <v>1125000</v>
      </c>
      <c r="AZ210" s="402">
        <f t="shared" si="501"/>
        <v>0</v>
      </c>
      <c r="BA210" s="402">
        <f t="shared" si="502"/>
        <v>0</v>
      </c>
      <c r="BB210" s="402">
        <f t="shared" si="503"/>
        <v>0</v>
      </c>
      <c r="BC210" s="402">
        <f t="shared" si="504"/>
        <v>0</v>
      </c>
      <c r="BD210" s="402">
        <f t="shared" si="505"/>
        <v>0</v>
      </c>
      <c r="BE210" s="402"/>
      <c r="BF210" s="402"/>
      <c r="BG210" s="402"/>
      <c r="BH210" s="402"/>
      <c r="BI210" s="402"/>
      <c r="BJ210" s="402"/>
      <c r="BK210" s="403">
        <f t="shared" si="619"/>
        <v>1125000</v>
      </c>
      <c r="BL210" s="402"/>
      <c r="BM210" s="402"/>
      <c r="BN210" s="402"/>
      <c r="BO210" s="1331">
        <f t="shared" si="620"/>
        <v>0</v>
      </c>
      <c r="BP210" s="402">
        <f t="shared" si="621"/>
        <v>0</v>
      </c>
      <c r="BQ210" s="402"/>
      <c r="BR210" s="402"/>
      <c r="BS210" s="402">
        <f t="shared" si="622"/>
        <v>0</v>
      </c>
      <c r="BT210" s="402">
        <f t="shared" si="623"/>
        <v>0</v>
      </c>
      <c r="BU210" s="402">
        <f t="shared" si="624"/>
        <v>0</v>
      </c>
      <c r="BV210" s="402">
        <f t="shared" si="625"/>
        <v>0</v>
      </c>
      <c r="BW210" s="402">
        <f t="shared" si="626"/>
        <v>0</v>
      </c>
      <c r="BX210" s="299">
        <f t="shared" si="451"/>
        <v>0</v>
      </c>
      <c r="BY210" s="790">
        <f t="shared" si="627"/>
        <v>0</v>
      </c>
      <c r="BZ210" s="791">
        <v>1125000</v>
      </c>
      <c r="CA210" s="792">
        <f t="shared" si="481"/>
        <v>8847960</v>
      </c>
      <c r="CB210" s="571">
        <f t="shared" si="453"/>
        <v>1</v>
      </c>
      <c r="CC210" s="1081"/>
      <c r="CD210" s="1081"/>
      <c r="CE210" s="1083"/>
      <c r="CF210" s="1084"/>
      <c r="CG210" s="862"/>
      <c r="CH210" s="862"/>
      <c r="CI210" s="862"/>
      <c r="CJ210" s="862"/>
      <c r="CK210" s="862"/>
      <c r="CL210" s="862"/>
      <c r="CM210" s="862"/>
      <c r="CN210" s="862"/>
      <c r="CO210" s="1081">
        <f t="shared" si="482"/>
        <v>0</v>
      </c>
      <c r="CP210" s="862"/>
      <c r="CQ210" s="862"/>
      <c r="CR210" s="862"/>
      <c r="CS210" s="862"/>
      <c r="CT210" s="862"/>
      <c r="CU210" s="862"/>
      <c r="CV210" s="862"/>
      <c r="CW210" s="862"/>
      <c r="CX210" s="862"/>
      <c r="CY210" s="73">
        <f t="shared" si="455"/>
        <v>0</v>
      </c>
      <c r="CZ210" s="862"/>
      <c r="DA210" s="862"/>
      <c r="DB210" s="862"/>
      <c r="DC210" s="862"/>
      <c r="DD210" s="862"/>
      <c r="DE210" s="862"/>
      <c r="DF210" s="862"/>
      <c r="DG210" s="862"/>
      <c r="DH210" s="1081"/>
      <c r="DI210" s="862"/>
      <c r="DJ210" s="862"/>
      <c r="DK210" s="862"/>
      <c r="DL210" s="862"/>
      <c r="DM210" s="862"/>
      <c r="DN210" s="862"/>
      <c r="DO210" s="862"/>
      <c r="DP210" s="862"/>
      <c r="DQ210" s="862"/>
      <c r="DR210" s="73">
        <f t="shared" si="456"/>
        <v>0</v>
      </c>
      <c r="DS210" s="412"/>
      <c r="DT210" s="412"/>
      <c r="DU210" s="420"/>
      <c r="DV210" s="412"/>
      <c r="DW210" s="412"/>
      <c r="DX210" s="412"/>
      <c r="DY210" s="277"/>
      <c r="DZ210" s="277"/>
      <c r="EA210" s="277"/>
      <c r="EB210" s="277"/>
      <c r="EC210" s="277"/>
      <c r="ED210" s="277"/>
      <c r="EE210" s="277"/>
      <c r="EF210" s="277"/>
      <c r="EG210" s="277"/>
      <c r="EH210" s="277"/>
      <c r="EI210" s="277"/>
    </row>
    <row r="211" spans="1:157" s="278" customFormat="1" ht="29.25" customHeight="1" x14ac:dyDescent="0.2">
      <c r="A211" s="786">
        <f t="shared" si="469"/>
        <v>32</v>
      </c>
      <c r="B211" s="900" t="s">
        <v>685</v>
      </c>
      <c r="C211" s="281" t="s">
        <v>128</v>
      </c>
      <c r="D211" s="573">
        <v>1</v>
      </c>
      <c r="E211" s="270"/>
      <c r="F211" s="270"/>
      <c r="G211" s="270"/>
      <c r="H211" s="342"/>
      <c r="I211" s="342"/>
      <c r="J211" s="342"/>
      <c r="K211" s="342"/>
      <c r="L211" s="342">
        <v>1</v>
      </c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3">
        <f t="shared" si="447"/>
        <v>1</v>
      </c>
      <c r="X211" s="574" t="s">
        <v>14</v>
      </c>
      <c r="Y211" s="828">
        <v>780900</v>
      </c>
      <c r="Z211" s="1018"/>
      <c r="AA211" s="828"/>
      <c r="AB211" s="828"/>
      <c r="AC211" s="569"/>
      <c r="AD211" s="569"/>
      <c r="AE211" s="828"/>
      <c r="AF211" s="828"/>
      <c r="AG211" s="828">
        <v>685000</v>
      </c>
      <c r="AH211" s="569"/>
      <c r="AI211" s="569"/>
      <c r="AJ211" s="569"/>
      <c r="AK211" s="569"/>
      <c r="AL211" s="569"/>
      <c r="AM211" s="569"/>
      <c r="AN211" s="569"/>
      <c r="AO211" s="569"/>
      <c r="AP211" s="569"/>
      <c r="AQ211" s="569"/>
      <c r="AR211" s="570">
        <f t="shared" si="618"/>
        <v>780900</v>
      </c>
      <c r="AS211" s="1352">
        <f t="shared" si="495"/>
        <v>0</v>
      </c>
      <c r="AT211" s="402"/>
      <c r="AU211" s="402">
        <f t="shared" si="496"/>
        <v>0</v>
      </c>
      <c r="AV211" s="402">
        <f t="shared" si="497"/>
        <v>0</v>
      </c>
      <c r="AW211" s="402">
        <f t="shared" si="498"/>
        <v>0</v>
      </c>
      <c r="AX211" s="402">
        <f t="shared" si="499"/>
        <v>0</v>
      </c>
      <c r="AY211" s="402">
        <f t="shared" si="500"/>
        <v>0</v>
      </c>
      <c r="AZ211" s="402">
        <f t="shared" si="501"/>
        <v>685000</v>
      </c>
      <c r="BA211" s="402">
        <f t="shared" si="502"/>
        <v>0</v>
      </c>
      <c r="BB211" s="402">
        <f t="shared" si="503"/>
        <v>0</v>
      </c>
      <c r="BC211" s="402">
        <f t="shared" si="504"/>
        <v>0</v>
      </c>
      <c r="BD211" s="402">
        <f t="shared" si="505"/>
        <v>0</v>
      </c>
      <c r="BE211" s="402"/>
      <c r="BF211" s="402"/>
      <c r="BG211" s="402"/>
      <c r="BH211" s="402"/>
      <c r="BI211" s="402"/>
      <c r="BJ211" s="402"/>
      <c r="BK211" s="403">
        <f t="shared" si="619"/>
        <v>685000</v>
      </c>
      <c r="BL211" s="402"/>
      <c r="BM211" s="402"/>
      <c r="BN211" s="402"/>
      <c r="BO211" s="1331">
        <f t="shared" si="620"/>
        <v>0</v>
      </c>
      <c r="BP211" s="402">
        <f t="shared" si="621"/>
        <v>0</v>
      </c>
      <c r="BQ211" s="402"/>
      <c r="BR211" s="402"/>
      <c r="BS211" s="402">
        <f t="shared" si="622"/>
        <v>95900.000000000015</v>
      </c>
      <c r="BT211" s="402">
        <f t="shared" si="623"/>
        <v>0</v>
      </c>
      <c r="BU211" s="402">
        <f t="shared" si="624"/>
        <v>0</v>
      </c>
      <c r="BV211" s="402">
        <f t="shared" si="625"/>
        <v>0</v>
      </c>
      <c r="BW211" s="402">
        <f t="shared" si="626"/>
        <v>0</v>
      </c>
      <c r="BX211" s="299">
        <f t="shared" si="451"/>
        <v>95900.000000000015</v>
      </c>
      <c r="BY211" s="790">
        <f t="shared" si="627"/>
        <v>0</v>
      </c>
      <c r="BZ211" s="791">
        <v>685000</v>
      </c>
      <c r="CA211" s="792">
        <f t="shared" si="481"/>
        <v>8162960</v>
      </c>
      <c r="CB211" s="571">
        <f t="shared" si="453"/>
        <v>1</v>
      </c>
      <c r="CC211" s="1081"/>
      <c r="CD211" s="1081"/>
      <c r="CE211" s="1083"/>
      <c r="CF211" s="1084"/>
      <c r="CG211" s="862"/>
      <c r="CH211" s="862"/>
      <c r="CI211" s="862"/>
      <c r="CJ211" s="862"/>
      <c r="CK211" s="862"/>
      <c r="CL211" s="862"/>
      <c r="CM211" s="862"/>
      <c r="CN211" s="862"/>
      <c r="CO211" s="1081">
        <f t="shared" ref="CO211" si="628">SUM(AZ211*12.5%)</f>
        <v>85625</v>
      </c>
      <c r="CP211" s="862"/>
      <c r="CQ211" s="862"/>
      <c r="CR211" s="862"/>
      <c r="CS211" s="862"/>
      <c r="CT211" s="862"/>
      <c r="CU211" s="862"/>
      <c r="CV211" s="862"/>
      <c r="CW211" s="862"/>
      <c r="CX211" s="862"/>
      <c r="CY211" s="73">
        <f t="shared" si="455"/>
        <v>85625</v>
      </c>
      <c r="CZ211" s="862"/>
      <c r="DA211" s="862"/>
      <c r="DB211" s="862"/>
      <c r="DC211" s="862"/>
      <c r="DD211" s="862"/>
      <c r="DE211" s="862"/>
      <c r="DF211" s="862"/>
      <c r="DG211" s="862"/>
      <c r="DH211" s="1081"/>
      <c r="DI211" s="862"/>
      <c r="DJ211" s="862"/>
      <c r="DK211" s="862"/>
      <c r="DL211" s="862"/>
      <c r="DM211" s="862"/>
      <c r="DN211" s="862"/>
      <c r="DO211" s="862"/>
      <c r="DP211" s="862"/>
      <c r="DQ211" s="862"/>
      <c r="DR211" s="73">
        <f t="shared" si="456"/>
        <v>0</v>
      </c>
      <c r="DS211" s="412"/>
      <c r="DT211" s="412"/>
      <c r="DU211" s="420"/>
      <c r="DV211" s="412"/>
      <c r="DW211" s="412"/>
      <c r="DX211" s="412"/>
      <c r="DY211" s="277"/>
      <c r="DZ211" s="277"/>
      <c r="EA211" s="277"/>
      <c r="EB211" s="277"/>
      <c r="EC211" s="277"/>
      <c r="ED211" s="277"/>
      <c r="EE211" s="277"/>
      <c r="EF211" s="277"/>
      <c r="EG211" s="277"/>
      <c r="EH211" s="277"/>
      <c r="EI211" s="277"/>
    </row>
    <row r="212" spans="1:157" s="278" customFormat="1" ht="29.25" customHeight="1" x14ac:dyDescent="0.2">
      <c r="A212" s="786">
        <f t="shared" si="469"/>
        <v>33</v>
      </c>
      <c r="B212" s="900" t="s">
        <v>688</v>
      </c>
      <c r="C212" s="281" t="s">
        <v>128</v>
      </c>
      <c r="D212" s="573">
        <v>1</v>
      </c>
      <c r="E212" s="270"/>
      <c r="F212" s="270"/>
      <c r="G212" s="270"/>
      <c r="H212" s="342"/>
      <c r="I212" s="342"/>
      <c r="J212" s="342"/>
      <c r="K212" s="342"/>
      <c r="L212" s="342"/>
      <c r="M212" s="576">
        <v>1</v>
      </c>
      <c r="N212" s="342"/>
      <c r="O212" s="342"/>
      <c r="P212" s="342"/>
      <c r="Q212" s="342"/>
      <c r="R212" s="342"/>
      <c r="S212" s="342"/>
      <c r="T212" s="342"/>
      <c r="U212" s="342"/>
      <c r="V212" s="342"/>
      <c r="W212" s="343">
        <f t="shared" ref="W212" si="629">SUM(E212:P212)</f>
        <v>1</v>
      </c>
      <c r="X212" s="574" t="s">
        <v>14</v>
      </c>
      <c r="Y212" s="828">
        <v>2000000</v>
      </c>
      <c r="Z212" s="1018"/>
      <c r="AA212" s="828"/>
      <c r="AB212" s="828"/>
      <c r="AC212" s="569"/>
      <c r="AD212" s="569"/>
      <c r="AE212" s="828"/>
      <c r="AF212" s="828"/>
      <c r="AG212" s="828"/>
      <c r="AH212" s="1007">
        <v>2000000</v>
      </c>
      <c r="AI212" s="569"/>
      <c r="AJ212" s="569"/>
      <c r="AK212" s="569"/>
      <c r="AL212" s="569"/>
      <c r="AM212" s="569"/>
      <c r="AN212" s="569"/>
      <c r="AO212" s="569"/>
      <c r="AP212" s="569"/>
      <c r="AQ212" s="569"/>
      <c r="AR212" s="570">
        <f t="shared" ref="AR212" si="630">SUM(W212*Y212)</f>
        <v>2000000</v>
      </c>
      <c r="AS212" s="1352">
        <f t="shared" ref="AS212" si="631">Z212*E212</f>
        <v>0</v>
      </c>
      <c r="AT212" s="402"/>
      <c r="AU212" s="402">
        <f t="shared" ref="AU212" si="632">AB212*G212</f>
        <v>0</v>
      </c>
      <c r="AV212" s="402">
        <f t="shared" ref="AV212" si="633">AC212*H212</f>
        <v>0</v>
      </c>
      <c r="AW212" s="402">
        <f t="shared" ref="AW212" si="634">AD212*I212</f>
        <v>0</v>
      </c>
      <c r="AX212" s="402">
        <f t="shared" ref="AX212" si="635">AE212*J212</f>
        <v>0</v>
      </c>
      <c r="AY212" s="402">
        <f t="shared" ref="AY212" si="636">AF212*K212</f>
        <v>0</v>
      </c>
      <c r="AZ212" s="402">
        <f t="shared" ref="AZ212" si="637">AG212*L212</f>
        <v>0</v>
      </c>
      <c r="BA212" s="1199">
        <f t="shared" ref="BA212" si="638">AH212*M212</f>
        <v>2000000</v>
      </c>
      <c r="BB212" s="402">
        <f t="shared" ref="BB212" si="639">AI212*N212</f>
        <v>0</v>
      </c>
      <c r="BC212" s="402">
        <f t="shared" ref="BC212" si="640">AJ212*O212</f>
        <v>0</v>
      </c>
      <c r="BD212" s="402">
        <f t="shared" ref="BD212" si="641">AK212*P212</f>
        <v>0</v>
      </c>
      <c r="BE212" s="402"/>
      <c r="BF212" s="402"/>
      <c r="BG212" s="402"/>
      <c r="BH212" s="402"/>
      <c r="BI212" s="402"/>
      <c r="BJ212" s="402"/>
      <c r="BK212" s="403">
        <f t="shared" ref="BK212" si="642">SUM(AS212:BD212)</f>
        <v>2000000</v>
      </c>
      <c r="BL212" s="402"/>
      <c r="BM212" s="402"/>
      <c r="BN212" s="402"/>
      <c r="BO212" s="1331">
        <f t="shared" ref="BO212" si="643">SUM(AV212*4%)</f>
        <v>0</v>
      </c>
      <c r="BP212" s="402">
        <f t="shared" ref="BP212" si="644">SUM(AW212*14%)</f>
        <v>0</v>
      </c>
      <c r="BQ212" s="402"/>
      <c r="BR212" s="402"/>
      <c r="BS212" s="402">
        <f t="shared" ref="BS212" si="645">SUM(AZ212*14%)</f>
        <v>0</v>
      </c>
      <c r="BT212" s="402"/>
      <c r="BU212" s="402">
        <f t="shared" ref="BU212" si="646">SUM(BB212*14%)</f>
        <v>0</v>
      </c>
      <c r="BV212" s="402">
        <f t="shared" ref="BV212" si="647">SUM(BC212*14%)</f>
        <v>0</v>
      </c>
      <c r="BW212" s="402">
        <f t="shared" ref="BW212" si="648">SUM(BD212*14%)</f>
        <v>0</v>
      </c>
      <c r="BX212" s="299">
        <f t="shared" si="451"/>
        <v>0</v>
      </c>
      <c r="BY212" s="790">
        <f t="shared" si="627"/>
        <v>0</v>
      </c>
      <c r="BZ212" s="791">
        <f t="shared" ref="BZ212" si="649">Y212*D212</f>
        <v>2000000</v>
      </c>
      <c r="CA212" s="792">
        <f t="shared" si="481"/>
        <v>6162960</v>
      </c>
      <c r="CB212" s="571">
        <f t="shared" ref="CB212" si="650">SUM(W212/D212)</f>
        <v>1</v>
      </c>
      <c r="CC212" s="1081"/>
      <c r="CD212" s="1081"/>
      <c r="CE212" s="1083"/>
      <c r="CF212" s="1084"/>
      <c r="CG212" s="862"/>
      <c r="CH212" s="862"/>
      <c r="CI212" s="862"/>
      <c r="CJ212" s="862"/>
      <c r="CK212" s="862"/>
      <c r="CL212" s="862"/>
      <c r="CM212" s="862"/>
      <c r="CN212" s="862"/>
      <c r="CO212" s="1081">
        <f t="shared" ref="CO212" si="651">SUM(AZ212*12.5%)</f>
        <v>0</v>
      </c>
      <c r="CP212" s="862"/>
      <c r="CQ212" s="862"/>
      <c r="CR212" s="862"/>
      <c r="CS212" s="862"/>
      <c r="CT212" s="862"/>
      <c r="CU212" s="862"/>
      <c r="CV212" s="862"/>
      <c r="CW212" s="862"/>
      <c r="CX212" s="862"/>
      <c r="CY212" s="73">
        <f t="shared" ref="CY212" si="652">SUM(CG212:CX212)</f>
        <v>0</v>
      </c>
      <c r="CZ212" s="862"/>
      <c r="DA212" s="862"/>
      <c r="DB212" s="862"/>
      <c r="DC212" s="862"/>
      <c r="DD212" s="862"/>
      <c r="DE212" s="862"/>
      <c r="DF212" s="862"/>
      <c r="DG212" s="862"/>
      <c r="DH212" s="1081"/>
      <c r="DI212" s="862"/>
      <c r="DJ212" s="862"/>
      <c r="DK212" s="862"/>
      <c r="DL212" s="862"/>
      <c r="DM212" s="862"/>
      <c r="DN212" s="862"/>
      <c r="DO212" s="862"/>
      <c r="DP212" s="862"/>
      <c r="DQ212" s="862"/>
      <c r="DR212" s="73">
        <f t="shared" ref="DR212" si="653">SUM(CZ212:DQ212)</f>
        <v>0</v>
      </c>
      <c r="DS212" s="412"/>
      <c r="DT212" s="412"/>
      <c r="DU212" s="420"/>
      <c r="DV212" s="412"/>
      <c r="DW212" s="412"/>
      <c r="DX212" s="412"/>
      <c r="DY212" s="277"/>
      <c r="DZ212" s="277"/>
      <c r="EA212" s="277"/>
      <c r="EB212" s="277"/>
      <c r="EC212" s="277"/>
      <c r="ED212" s="277"/>
      <c r="EE212" s="277"/>
      <c r="EF212" s="277"/>
      <c r="EG212" s="277"/>
      <c r="EH212" s="277"/>
      <c r="EI212" s="277"/>
    </row>
    <row r="213" spans="1:157" s="278" customFormat="1" ht="29.25" customHeight="1" x14ac:dyDescent="0.2">
      <c r="A213" s="786">
        <f t="shared" si="469"/>
        <v>34</v>
      </c>
      <c r="B213" s="900" t="s">
        <v>689</v>
      </c>
      <c r="C213" s="281" t="s">
        <v>128</v>
      </c>
      <c r="D213" s="573">
        <v>1</v>
      </c>
      <c r="E213" s="270"/>
      <c r="F213" s="270"/>
      <c r="G213" s="270"/>
      <c r="H213" s="342"/>
      <c r="I213" s="342"/>
      <c r="J213" s="342"/>
      <c r="K213" s="342"/>
      <c r="L213" s="342"/>
      <c r="M213" s="576">
        <v>1</v>
      </c>
      <c r="N213" s="576"/>
      <c r="O213" s="342"/>
      <c r="P213" s="342"/>
      <c r="Q213" s="342"/>
      <c r="R213" s="342"/>
      <c r="S213" s="342"/>
      <c r="T213" s="342"/>
      <c r="U213" s="342"/>
      <c r="V213" s="342"/>
      <c r="W213" s="343">
        <f t="shared" si="447"/>
        <v>1</v>
      </c>
      <c r="X213" s="574" t="s">
        <v>14</v>
      </c>
      <c r="Y213" s="828">
        <v>500000</v>
      </c>
      <c r="Z213" s="1018"/>
      <c r="AA213" s="828"/>
      <c r="AB213" s="828"/>
      <c r="AC213" s="569"/>
      <c r="AD213" s="569"/>
      <c r="AE213" s="828"/>
      <c r="AF213" s="828"/>
      <c r="AG213" s="828"/>
      <c r="AH213" s="1007">
        <f>Y213</f>
        <v>500000</v>
      </c>
      <c r="AI213" s="569"/>
      <c r="AJ213" s="569"/>
      <c r="AK213" s="569"/>
      <c r="AL213" s="569"/>
      <c r="AM213" s="569"/>
      <c r="AN213" s="569"/>
      <c r="AO213" s="569"/>
      <c r="AP213" s="569"/>
      <c r="AQ213" s="569"/>
      <c r="AR213" s="570">
        <f>SUM(W213*Y213)</f>
        <v>500000</v>
      </c>
      <c r="AS213" s="1352">
        <f t="shared" si="495"/>
        <v>0</v>
      </c>
      <c r="AT213" s="402"/>
      <c r="AU213" s="402">
        <f t="shared" si="496"/>
        <v>0</v>
      </c>
      <c r="AV213" s="402">
        <f t="shared" si="497"/>
        <v>0</v>
      </c>
      <c r="AW213" s="402">
        <f t="shared" si="498"/>
        <v>0</v>
      </c>
      <c r="AX213" s="402">
        <f t="shared" si="499"/>
        <v>0</v>
      </c>
      <c r="AY213" s="402">
        <f t="shared" si="500"/>
        <v>0</v>
      </c>
      <c r="AZ213" s="402">
        <f t="shared" si="501"/>
        <v>0</v>
      </c>
      <c r="BA213" s="1199">
        <f t="shared" si="502"/>
        <v>500000</v>
      </c>
      <c r="BB213" s="402">
        <f t="shared" si="503"/>
        <v>0</v>
      </c>
      <c r="BC213" s="402">
        <f t="shared" si="504"/>
        <v>0</v>
      </c>
      <c r="BD213" s="402">
        <f t="shared" si="505"/>
        <v>0</v>
      </c>
      <c r="BE213" s="402"/>
      <c r="BF213" s="402"/>
      <c r="BG213" s="402"/>
      <c r="BH213" s="402"/>
      <c r="BI213" s="402"/>
      <c r="BJ213" s="402"/>
      <c r="BK213" s="403">
        <f t="shared" ref="BK213" si="654">SUM(AS213:BD213)</f>
        <v>500000</v>
      </c>
      <c r="BL213" s="402"/>
      <c r="BM213" s="402"/>
      <c r="BN213" s="402"/>
      <c r="BO213" s="1331">
        <f t="shared" ref="BO213" si="655">SUM(AV213*4%)</f>
        <v>0</v>
      </c>
      <c r="BP213" s="402">
        <f t="shared" ref="BP213" si="656">SUM(AW213*14%)</f>
        <v>0</v>
      </c>
      <c r="BQ213" s="402"/>
      <c r="BR213" s="402"/>
      <c r="BS213" s="402">
        <f t="shared" ref="BS213" si="657">SUM(AZ213*14%)</f>
        <v>0</v>
      </c>
      <c r="BT213" s="402"/>
      <c r="BU213" s="402">
        <f t="shared" ref="BU213" si="658">SUM(BB213*14%)</f>
        <v>0</v>
      </c>
      <c r="BV213" s="402">
        <f t="shared" ref="BV213" si="659">SUM(BC213*14%)</f>
        <v>0</v>
      </c>
      <c r="BW213" s="402">
        <f t="shared" ref="BW213" si="660">SUM(BD213*14%)</f>
        <v>0</v>
      </c>
      <c r="BX213" s="299">
        <f t="shared" si="451"/>
        <v>0</v>
      </c>
      <c r="BY213" s="790">
        <f t="shared" ref="BY213:BY214" si="661">AR213-BK213-BX213</f>
        <v>0</v>
      </c>
      <c r="BZ213" s="791">
        <f t="shared" si="452"/>
        <v>500000</v>
      </c>
      <c r="CA213" s="792">
        <f t="shared" si="481"/>
        <v>5662960</v>
      </c>
      <c r="CB213" s="571">
        <f t="shared" si="453"/>
        <v>1</v>
      </c>
      <c r="CC213" s="1081"/>
      <c r="CD213" s="1081"/>
      <c r="CE213" s="1083"/>
      <c r="CF213" s="1084"/>
      <c r="CG213" s="862"/>
      <c r="CH213" s="862"/>
      <c r="CI213" s="862"/>
      <c r="CJ213" s="862"/>
      <c r="CK213" s="862"/>
      <c r="CL213" s="862"/>
      <c r="CM213" s="862"/>
      <c r="CN213" s="862"/>
      <c r="CO213" s="1081">
        <f t="shared" si="482"/>
        <v>0</v>
      </c>
      <c r="CP213" s="862"/>
      <c r="CQ213" s="862"/>
      <c r="CR213" s="862"/>
      <c r="CS213" s="862"/>
      <c r="CT213" s="862"/>
      <c r="CU213" s="862"/>
      <c r="CV213" s="862"/>
      <c r="CW213" s="862"/>
      <c r="CX213" s="862"/>
      <c r="CY213" s="73">
        <f t="shared" si="455"/>
        <v>0</v>
      </c>
      <c r="CZ213" s="862"/>
      <c r="DA213" s="862"/>
      <c r="DB213" s="862"/>
      <c r="DC213" s="862"/>
      <c r="DD213" s="862"/>
      <c r="DE213" s="862"/>
      <c r="DF213" s="862"/>
      <c r="DG213" s="862"/>
      <c r="DH213" s="1081"/>
      <c r="DI213" s="862"/>
      <c r="DJ213" s="862"/>
      <c r="DK213" s="862"/>
      <c r="DL213" s="862"/>
      <c r="DM213" s="862"/>
      <c r="DN213" s="862"/>
      <c r="DO213" s="862"/>
      <c r="DP213" s="862"/>
      <c r="DQ213" s="862"/>
      <c r="DR213" s="73">
        <f t="shared" si="456"/>
        <v>0</v>
      </c>
      <c r="DS213" s="412"/>
      <c r="DT213" s="412"/>
      <c r="DU213" s="420"/>
      <c r="DV213" s="412"/>
      <c r="DW213" s="412"/>
      <c r="DX213" s="412"/>
      <c r="DY213" s="277"/>
      <c r="DZ213" s="277"/>
      <c r="EA213" s="277"/>
      <c r="EB213" s="277"/>
      <c r="EC213" s="277"/>
      <c r="ED213" s="277"/>
      <c r="EE213" s="277"/>
      <c r="EF213" s="277"/>
      <c r="EG213" s="277"/>
      <c r="EH213" s="277"/>
      <c r="EI213" s="277"/>
    </row>
    <row r="214" spans="1:157" s="278" customFormat="1" ht="29.25" customHeight="1" x14ac:dyDescent="0.2">
      <c r="A214" s="786">
        <f t="shared" si="469"/>
        <v>35</v>
      </c>
      <c r="B214" s="900" t="s">
        <v>690</v>
      </c>
      <c r="C214" s="281" t="s">
        <v>128</v>
      </c>
      <c r="D214" s="573">
        <v>1</v>
      </c>
      <c r="E214" s="270"/>
      <c r="F214" s="270"/>
      <c r="G214" s="270"/>
      <c r="H214" s="342"/>
      <c r="I214" s="342"/>
      <c r="J214" s="342"/>
      <c r="K214" s="342"/>
      <c r="L214" s="342"/>
      <c r="M214" s="576">
        <v>1</v>
      </c>
      <c r="N214" s="576"/>
      <c r="O214" s="342"/>
      <c r="P214" s="342"/>
      <c r="Q214" s="342"/>
      <c r="R214" s="342"/>
      <c r="S214" s="342"/>
      <c r="T214" s="342"/>
      <c r="U214" s="342"/>
      <c r="V214" s="342"/>
      <c r="W214" s="343">
        <f t="shared" ref="W214:W217" si="662">SUM(E214:P214)</f>
        <v>1</v>
      </c>
      <c r="X214" s="574" t="s">
        <v>14</v>
      </c>
      <c r="Y214" s="828">
        <v>1650000</v>
      </c>
      <c r="Z214" s="1018"/>
      <c r="AA214" s="828"/>
      <c r="AB214" s="828"/>
      <c r="AC214" s="569"/>
      <c r="AD214" s="569"/>
      <c r="AE214" s="828"/>
      <c r="AF214" s="828"/>
      <c r="AG214" s="828"/>
      <c r="AH214" s="1007">
        <f>Y214</f>
        <v>1650000</v>
      </c>
      <c r="AI214" s="569"/>
      <c r="AJ214" s="569"/>
      <c r="AK214" s="569"/>
      <c r="AL214" s="569"/>
      <c r="AM214" s="569"/>
      <c r="AN214" s="569"/>
      <c r="AO214" s="569"/>
      <c r="AP214" s="569"/>
      <c r="AQ214" s="569"/>
      <c r="AR214" s="570">
        <f t="shared" ref="AR214:AR217" si="663">SUM(W214*Y214)</f>
        <v>1650000</v>
      </c>
      <c r="AS214" s="1352">
        <f t="shared" si="495"/>
        <v>0</v>
      </c>
      <c r="AT214" s="402"/>
      <c r="AU214" s="402">
        <f t="shared" si="496"/>
        <v>0</v>
      </c>
      <c r="AV214" s="402">
        <f t="shared" si="497"/>
        <v>0</v>
      </c>
      <c r="AW214" s="402">
        <f t="shared" si="498"/>
        <v>0</v>
      </c>
      <c r="AX214" s="402">
        <f t="shared" si="499"/>
        <v>0</v>
      </c>
      <c r="AY214" s="402">
        <f t="shared" si="500"/>
        <v>0</v>
      </c>
      <c r="AZ214" s="402">
        <f t="shared" si="501"/>
        <v>0</v>
      </c>
      <c r="BA214" s="1199">
        <f t="shared" si="502"/>
        <v>1650000</v>
      </c>
      <c r="BB214" s="402">
        <f t="shared" si="503"/>
        <v>0</v>
      </c>
      <c r="BC214" s="402">
        <f t="shared" si="504"/>
        <v>0</v>
      </c>
      <c r="BD214" s="402">
        <f t="shared" si="505"/>
        <v>0</v>
      </c>
      <c r="BE214" s="402"/>
      <c r="BF214" s="402"/>
      <c r="BG214" s="402"/>
      <c r="BH214" s="402"/>
      <c r="BI214" s="402"/>
      <c r="BJ214" s="402"/>
      <c r="BK214" s="403">
        <f t="shared" ref="BK214:BK217" si="664">SUM(AS214:BD214)</f>
        <v>1650000</v>
      </c>
      <c r="BL214" s="402"/>
      <c r="BM214" s="402"/>
      <c r="BN214" s="402"/>
      <c r="BO214" s="1331">
        <f t="shared" ref="BO214:BO217" si="665">SUM(AV214*4%)</f>
        <v>0</v>
      </c>
      <c r="BP214" s="402">
        <f t="shared" ref="BP214:BP217" si="666">SUM(AW214*14%)</f>
        <v>0</v>
      </c>
      <c r="BQ214" s="402"/>
      <c r="BR214" s="402"/>
      <c r="BS214" s="402">
        <f t="shared" ref="BS214:BS217" si="667">SUM(AZ214*14%)</f>
        <v>0</v>
      </c>
      <c r="BT214" s="402"/>
      <c r="BU214" s="402">
        <f t="shared" ref="BU214" si="668">SUM(BB214*14%)</f>
        <v>0</v>
      </c>
      <c r="BV214" s="402">
        <f t="shared" ref="BV214:BV217" si="669">SUM(BC214*14%)</f>
        <v>0</v>
      </c>
      <c r="BW214" s="402">
        <f t="shared" ref="BW214:BW217" si="670">SUM(BD214*14%)</f>
        <v>0</v>
      </c>
      <c r="BX214" s="299">
        <f t="shared" si="451"/>
        <v>0</v>
      </c>
      <c r="BY214" s="790">
        <f t="shared" si="661"/>
        <v>0</v>
      </c>
      <c r="BZ214" s="791">
        <f t="shared" si="452"/>
        <v>1650000</v>
      </c>
      <c r="CA214" s="792">
        <f t="shared" si="481"/>
        <v>4012960</v>
      </c>
      <c r="CB214" s="571">
        <f t="shared" si="453"/>
        <v>1</v>
      </c>
      <c r="CC214" s="1081"/>
      <c r="CD214" s="1081"/>
      <c r="CE214" s="1083"/>
      <c r="CF214" s="1084"/>
      <c r="CG214" s="862"/>
      <c r="CH214" s="862"/>
      <c r="CI214" s="862"/>
      <c r="CJ214" s="862"/>
      <c r="CK214" s="862"/>
      <c r="CL214" s="862"/>
      <c r="CM214" s="862"/>
      <c r="CN214" s="862"/>
      <c r="CO214" s="1081">
        <f t="shared" ref="CO214:CO217" si="671">SUM(AZ214*12.5%)</f>
        <v>0</v>
      </c>
      <c r="CP214" s="862"/>
      <c r="CQ214" s="862"/>
      <c r="CR214" s="862"/>
      <c r="CS214" s="862"/>
      <c r="CT214" s="862"/>
      <c r="CU214" s="862"/>
      <c r="CV214" s="862"/>
      <c r="CW214" s="862"/>
      <c r="CX214" s="862"/>
      <c r="CY214" s="73">
        <f t="shared" si="455"/>
        <v>0</v>
      </c>
      <c r="CZ214" s="862"/>
      <c r="DA214" s="862"/>
      <c r="DB214" s="862"/>
      <c r="DC214" s="862"/>
      <c r="DD214" s="862"/>
      <c r="DE214" s="862"/>
      <c r="DF214" s="862"/>
      <c r="DG214" s="862"/>
      <c r="DH214" s="1081"/>
      <c r="DI214" s="862"/>
      <c r="DJ214" s="862"/>
      <c r="DK214" s="862"/>
      <c r="DL214" s="862"/>
      <c r="DM214" s="862"/>
      <c r="DN214" s="862"/>
      <c r="DO214" s="862"/>
      <c r="DP214" s="862"/>
      <c r="DQ214" s="862"/>
      <c r="DR214" s="73">
        <f t="shared" si="456"/>
        <v>0</v>
      </c>
      <c r="DS214" s="412"/>
      <c r="DT214" s="412"/>
      <c r="DU214" s="420"/>
      <c r="DV214" s="412"/>
      <c r="DW214" s="412"/>
      <c r="DX214" s="412"/>
      <c r="DY214" s="277"/>
      <c r="DZ214" s="277"/>
      <c r="EA214" s="277"/>
      <c r="EB214" s="277"/>
      <c r="EC214" s="277"/>
      <c r="ED214" s="277"/>
      <c r="EE214" s="277"/>
      <c r="EF214" s="277"/>
      <c r="EG214" s="277"/>
      <c r="EH214" s="277"/>
      <c r="EI214" s="277"/>
    </row>
    <row r="215" spans="1:157" s="278" customFormat="1" ht="29.25" customHeight="1" x14ac:dyDescent="0.2">
      <c r="A215" s="786">
        <f t="shared" si="469"/>
        <v>36</v>
      </c>
      <c r="B215" s="900" t="s">
        <v>689</v>
      </c>
      <c r="C215" s="281" t="s">
        <v>128</v>
      </c>
      <c r="D215" s="573">
        <v>1</v>
      </c>
      <c r="E215" s="270"/>
      <c r="F215" s="270"/>
      <c r="G215" s="270"/>
      <c r="H215" s="342"/>
      <c r="I215" s="342"/>
      <c r="J215" s="342"/>
      <c r="K215" s="342"/>
      <c r="L215" s="342"/>
      <c r="M215" s="576"/>
      <c r="N215" s="576">
        <v>1</v>
      </c>
      <c r="O215" s="342"/>
      <c r="P215" s="342"/>
      <c r="Q215" s="342"/>
      <c r="R215" s="342"/>
      <c r="S215" s="342"/>
      <c r="T215" s="342"/>
      <c r="U215" s="342"/>
      <c r="V215" s="342"/>
      <c r="W215" s="343">
        <f t="shared" ref="W215" si="672">SUM(E215:P215)</f>
        <v>1</v>
      </c>
      <c r="X215" s="574" t="s">
        <v>14</v>
      </c>
      <c r="Y215" s="828">
        <v>200000</v>
      </c>
      <c r="Z215" s="1018"/>
      <c r="AA215" s="828"/>
      <c r="AB215" s="828"/>
      <c r="AC215" s="569"/>
      <c r="AD215" s="569"/>
      <c r="AE215" s="828"/>
      <c r="AF215" s="828"/>
      <c r="AG215" s="828"/>
      <c r="AH215" s="1007"/>
      <c r="AI215" s="1007">
        <f>SUM(Y215)</f>
        <v>200000</v>
      </c>
      <c r="AJ215" s="569"/>
      <c r="AK215" s="569"/>
      <c r="AL215" s="569"/>
      <c r="AM215" s="569"/>
      <c r="AN215" s="569"/>
      <c r="AO215" s="569"/>
      <c r="AP215" s="569"/>
      <c r="AQ215" s="569"/>
      <c r="AR215" s="570">
        <f>SUM(W215*Y215)</f>
        <v>200000</v>
      </c>
      <c r="AS215" s="1352">
        <f t="shared" ref="AS215" si="673">Z215*E215</f>
        <v>0</v>
      </c>
      <c r="AT215" s="402"/>
      <c r="AU215" s="402">
        <f t="shared" ref="AU215" si="674">AB215*G215</f>
        <v>0</v>
      </c>
      <c r="AV215" s="402">
        <f t="shared" ref="AV215" si="675">AC215*H215</f>
        <v>0</v>
      </c>
      <c r="AW215" s="402">
        <f t="shared" ref="AW215" si="676">AD215*I215</f>
        <v>0</v>
      </c>
      <c r="AX215" s="402">
        <f t="shared" ref="AX215" si="677">AE215*J215</f>
        <v>0</v>
      </c>
      <c r="AY215" s="402">
        <f t="shared" ref="AY215" si="678">AF215*K215</f>
        <v>0</v>
      </c>
      <c r="AZ215" s="402">
        <f t="shared" ref="AZ215" si="679">AG215*L215</f>
        <v>0</v>
      </c>
      <c r="BA215" s="1199">
        <f t="shared" ref="BA215" si="680">AH215*M215</f>
        <v>0</v>
      </c>
      <c r="BB215" s="1199">
        <f t="shared" ref="BB215" si="681">AI215*N215</f>
        <v>200000</v>
      </c>
      <c r="BC215" s="402">
        <f t="shared" ref="BC215" si="682">AJ215*O215</f>
        <v>0</v>
      </c>
      <c r="BD215" s="402">
        <f t="shared" ref="BD215" si="683">AK215*P215</f>
        <v>0</v>
      </c>
      <c r="BE215" s="402"/>
      <c r="BF215" s="402"/>
      <c r="BG215" s="402"/>
      <c r="BH215" s="402"/>
      <c r="BI215" s="402"/>
      <c r="BJ215" s="402"/>
      <c r="BK215" s="403">
        <f t="shared" ref="BK215" si="684">SUM(AS215:BD215)</f>
        <v>200000</v>
      </c>
      <c r="BL215" s="402"/>
      <c r="BM215" s="402"/>
      <c r="BN215" s="402"/>
      <c r="BO215" s="1331">
        <f t="shared" ref="BO215" si="685">SUM(AV215*4%)</f>
        <v>0</v>
      </c>
      <c r="BP215" s="402">
        <f t="shared" ref="BP215" si="686">SUM(AW215*14%)</f>
        <v>0</v>
      </c>
      <c r="BQ215" s="402"/>
      <c r="BR215" s="402"/>
      <c r="BS215" s="402">
        <f t="shared" ref="BS215" si="687">SUM(AZ215*14%)</f>
        <v>0</v>
      </c>
      <c r="BT215" s="402"/>
      <c r="BU215" s="402"/>
      <c r="BV215" s="402">
        <f t="shared" ref="BV215" si="688">SUM(BC215*14%)</f>
        <v>0</v>
      </c>
      <c r="BW215" s="402">
        <f t="shared" ref="BW215" si="689">SUM(BD215*14%)</f>
        <v>0</v>
      </c>
      <c r="BX215" s="299">
        <f t="shared" si="451"/>
        <v>0</v>
      </c>
      <c r="BY215" s="790">
        <f t="shared" ref="BY215" si="690">AR215-BK215-BX215</f>
        <v>0</v>
      </c>
      <c r="BZ215" s="791">
        <f t="shared" ref="BZ215" si="691">Y215*D215</f>
        <v>200000</v>
      </c>
      <c r="CA215" s="792">
        <f t="shared" si="481"/>
        <v>3812960</v>
      </c>
      <c r="CB215" s="571">
        <f t="shared" ref="CB215" si="692">SUM(W215/D215)</f>
        <v>1</v>
      </c>
      <c r="CC215" s="1081"/>
      <c r="CD215" s="1081"/>
      <c r="CE215" s="1083"/>
      <c r="CF215" s="1084"/>
      <c r="CG215" s="862"/>
      <c r="CH215" s="862"/>
      <c r="CI215" s="862"/>
      <c r="CJ215" s="862"/>
      <c r="CK215" s="862"/>
      <c r="CL215" s="862"/>
      <c r="CM215" s="862"/>
      <c r="CN215" s="862"/>
      <c r="CO215" s="1081">
        <f t="shared" ref="CO215" si="693">SUM(AZ215*12.5%)</f>
        <v>0</v>
      </c>
      <c r="CP215" s="862"/>
      <c r="CQ215" s="862"/>
      <c r="CR215" s="862"/>
      <c r="CS215" s="862"/>
      <c r="CT215" s="862"/>
      <c r="CU215" s="862"/>
      <c r="CV215" s="862"/>
      <c r="CW215" s="862"/>
      <c r="CX215" s="862"/>
      <c r="CY215" s="73">
        <f t="shared" ref="CY215" si="694">SUM(CG215:CX215)</f>
        <v>0</v>
      </c>
      <c r="CZ215" s="862"/>
      <c r="DA215" s="862"/>
      <c r="DB215" s="862"/>
      <c r="DC215" s="862"/>
      <c r="DD215" s="862"/>
      <c r="DE215" s="862"/>
      <c r="DF215" s="862"/>
      <c r="DG215" s="862"/>
      <c r="DH215" s="1081"/>
      <c r="DI215" s="862"/>
      <c r="DJ215" s="862"/>
      <c r="DK215" s="862"/>
      <c r="DL215" s="862"/>
      <c r="DM215" s="862"/>
      <c r="DN215" s="862"/>
      <c r="DO215" s="862"/>
      <c r="DP215" s="862"/>
      <c r="DQ215" s="862"/>
      <c r="DR215" s="73">
        <f t="shared" ref="DR215" si="695">SUM(CZ215:DQ215)</f>
        <v>0</v>
      </c>
      <c r="DS215" s="412"/>
      <c r="DT215" s="412"/>
      <c r="DU215" s="420"/>
      <c r="DV215" s="412"/>
      <c r="DW215" s="412"/>
      <c r="DX215" s="412"/>
      <c r="DY215" s="277"/>
      <c r="DZ215" s="277"/>
      <c r="EA215" s="277"/>
      <c r="EB215" s="277"/>
      <c r="EC215" s="277"/>
      <c r="ED215" s="277"/>
      <c r="EE215" s="277"/>
      <c r="EF215" s="277"/>
      <c r="EG215" s="277"/>
      <c r="EH215" s="277"/>
      <c r="EI215" s="277"/>
    </row>
    <row r="216" spans="1:157" s="278" customFormat="1" ht="29.25" customHeight="1" x14ac:dyDescent="0.2">
      <c r="A216" s="786">
        <f t="shared" si="469"/>
        <v>37</v>
      </c>
      <c r="B216" s="900" t="s">
        <v>692</v>
      </c>
      <c r="C216" s="281" t="s">
        <v>128</v>
      </c>
      <c r="D216" s="573">
        <v>1</v>
      </c>
      <c r="E216" s="270"/>
      <c r="F216" s="270"/>
      <c r="G216" s="270"/>
      <c r="H216" s="342"/>
      <c r="I216" s="342"/>
      <c r="J216" s="342"/>
      <c r="K216" s="342"/>
      <c r="L216" s="342"/>
      <c r="M216" s="576"/>
      <c r="N216" s="576">
        <v>1</v>
      </c>
      <c r="O216" s="342"/>
      <c r="P216" s="342"/>
      <c r="Q216" s="342"/>
      <c r="R216" s="342"/>
      <c r="S216" s="342"/>
      <c r="T216" s="342"/>
      <c r="U216" s="342"/>
      <c r="V216" s="342"/>
      <c r="W216" s="343">
        <f t="shared" ref="W216" si="696">SUM(E216:P216)</f>
        <v>1</v>
      </c>
      <c r="X216" s="574" t="s">
        <v>14</v>
      </c>
      <c r="Y216" s="828">
        <v>1000000</v>
      </c>
      <c r="Z216" s="1018"/>
      <c r="AA216" s="828"/>
      <c r="AB216" s="828"/>
      <c r="AC216" s="569"/>
      <c r="AD216" s="569"/>
      <c r="AE216" s="828"/>
      <c r="AF216" s="828"/>
      <c r="AG216" s="828"/>
      <c r="AH216" s="1007"/>
      <c r="AI216" s="1007">
        <f>SUM(Y216)</f>
        <v>1000000</v>
      </c>
      <c r="AJ216" s="569"/>
      <c r="AK216" s="569"/>
      <c r="AL216" s="569"/>
      <c r="AM216" s="569"/>
      <c r="AN216" s="569"/>
      <c r="AO216" s="569"/>
      <c r="AP216" s="569"/>
      <c r="AQ216" s="569"/>
      <c r="AR216" s="570">
        <f>SUM(W216*Y216)</f>
        <v>1000000</v>
      </c>
      <c r="AS216" s="1352">
        <f t="shared" ref="AS216" si="697">Z216*E216</f>
        <v>0</v>
      </c>
      <c r="AT216" s="402"/>
      <c r="AU216" s="402">
        <f t="shared" ref="AU216" si="698">AB216*G216</f>
        <v>0</v>
      </c>
      <c r="AV216" s="402">
        <f t="shared" ref="AV216" si="699">AC216*H216</f>
        <v>0</v>
      </c>
      <c r="AW216" s="402">
        <f t="shared" ref="AW216" si="700">AD216*I216</f>
        <v>0</v>
      </c>
      <c r="AX216" s="402">
        <f t="shared" ref="AX216" si="701">AE216*J216</f>
        <v>0</v>
      </c>
      <c r="AY216" s="402">
        <f t="shared" ref="AY216" si="702">AF216*K216</f>
        <v>0</v>
      </c>
      <c r="AZ216" s="402">
        <f t="shared" ref="AZ216" si="703">AG216*L216</f>
        <v>0</v>
      </c>
      <c r="BA216" s="1199">
        <f t="shared" ref="BA216" si="704">AH216*M216</f>
        <v>0</v>
      </c>
      <c r="BB216" s="1199">
        <f t="shared" ref="BB216" si="705">AI216*N216</f>
        <v>1000000</v>
      </c>
      <c r="BC216" s="402">
        <f t="shared" ref="BC216" si="706">AJ216*O216</f>
        <v>0</v>
      </c>
      <c r="BD216" s="402">
        <f t="shared" ref="BD216" si="707">AK216*P216</f>
        <v>0</v>
      </c>
      <c r="BE216" s="402"/>
      <c r="BF216" s="402"/>
      <c r="BG216" s="402"/>
      <c r="BH216" s="402"/>
      <c r="BI216" s="402"/>
      <c r="BJ216" s="402"/>
      <c r="BK216" s="403">
        <f t="shared" ref="BK216" si="708">SUM(AS216:BD216)</f>
        <v>1000000</v>
      </c>
      <c r="BL216" s="402"/>
      <c r="BM216" s="402"/>
      <c r="BN216" s="402"/>
      <c r="BO216" s="1331">
        <f t="shared" ref="BO216" si="709">SUM(AV216*4%)</f>
        <v>0</v>
      </c>
      <c r="BP216" s="402">
        <f t="shared" ref="BP216" si="710">SUM(AW216*14%)</f>
        <v>0</v>
      </c>
      <c r="BQ216" s="402"/>
      <c r="BR216" s="402"/>
      <c r="BS216" s="402">
        <f t="shared" ref="BS216" si="711">SUM(AZ216*14%)</f>
        <v>0</v>
      </c>
      <c r="BT216" s="402"/>
      <c r="BU216" s="402"/>
      <c r="BV216" s="402">
        <f t="shared" ref="BV216" si="712">SUM(BC216*14%)</f>
        <v>0</v>
      </c>
      <c r="BW216" s="402">
        <f t="shared" ref="BW216" si="713">SUM(BD216*14%)</f>
        <v>0</v>
      </c>
      <c r="BX216" s="299">
        <f t="shared" si="451"/>
        <v>0</v>
      </c>
      <c r="BY216" s="790">
        <f t="shared" ref="BY216" si="714">AR216-BK216-BX216</f>
        <v>0</v>
      </c>
      <c r="BZ216" s="791">
        <f t="shared" ref="BZ216" si="715">Y216*D216</f>
        <v>1000000</v>
      </c>
      <c r="CA216" s="792">
        <f t="shared" si="481"/>
        <v>2812960</v>
      </c>
      <c r="CB216" s="571">
        <f t="shared" ref="CB216" si="716">SUM(W216/D216)</f>
        <v>1</v>
      </c>
      <c r="CC216" s="1081"/>
      <c r="CD216" s="1081"/>
      <c r="CE216" s="1083"/>
      <c r="CF216" s="1084"/>
      <c r="CG216" s="862"/>
      <c r="CH216" s="862"/>
      <c r="CI216" s="862"/>
      <c r="CJ216" s="862"/>
      <c r="CK216" s="862"/>
      <c r="CL216" s="862"/>
      <c r="CM216" s="862"/>
      <c r="CN216" s="862"/>
      <c r="CO216" s="1081">
        <f t="shared" ref="CO216" si="717">SUM(AZ216*12.5%)</f>
        <v>0</v>
      </c>
      <c r="CP216" s="862"/>
      <c r="CQ216" s="862"/>
      <c r="CR216" s="862"/>
      <c r="CS216" s="862"/>
      <c r="CT216" s="862"/>
      <c r="CU216" s="862"/>
      <c r="CV216" s="862"/>
      <c r="CW216" s="862"/>
      <c r="CX216" s="862"/>
      <c r="CY216" s="73">
        <f t="shared" ref="CY216" si="718">SUM(CG216:CX216)</f>
        <v>0</v>
      </c>
      <c r="CZ216" s="862"/>
      <c r="DA216" s="862"/>
      <c r="DB216" s="862"/>
      <c r="DC216" s="862"/>
      <c r="DD216" s="862"/>
      <c r="DE216" s="862"/>
      <c r="DF216" s="862"/>
      <c r="DG216" s="862"/>
      <c r="DH216" s="1081"/>
      <c r="DI216" s="862"/>
      <c r="DJ216" s="862"/>
      <c r="DK216" s="862"/>
      <c r="DL216" s="862"/>
      <c r="DM216" s="862"/>
      <c r="DN216" s="862"/>
      <c r="DO216" s="862"/>
      <c r="DP216" s="862"/>
      <c r="DQ216" s="862"/>
      <c r="DR216" s="73">
        <f t="shared" ref="DR216" si="719">SUM(CZ216:DQ216)</f>
        <v>0</v>
      </c>
      <c r="DS216" s="412"/>
      <c r="DT216" s="412"/>
      <c r="DU216" s="420"/>
      <c r="DV216" s="412"/>
      <c r="DW216" s="412"/>
      <c r="DX216" s="412"/>
      <c r="DY216" s="277"/>
      <c r="DZ216" s="277"/>
      <c r="EA216" s="277"/>
      <c r="EB216" s="277"/>
      <c r="EC216" s="277"/>
      <c r="ED216" s="277"/>
      <c r="EE216" s="277"/>
      <c r="EF216" s="277"/>
      <c r="EG216" s="277"/>
      <c r="EH216" s="277"/>
      <c r="EI216" s="277"/>
    </row>
    <row r="217" spans="1:157" s="278" customFormat="1" ht="29.25" customHeight="1" x14ac:dyDescent="0.2">
      <c r="A217" s="786">
        <f>A214+1</f>
        <v>36</v>
      </c>
      <c r="B217" s="900" t="s">
        <v>691</v>
      </c>
      <c r="C217" s="281" t="s">
        <v>128</v>
      </c>
      <c r="D217" s="573">
        <v>1</v>
      </c>
      <c r="E217" s="270"/>
      <c r="F217" s="270"/>
      <c r="G217" s="270"/>
      <c r="H217" s="342"/>
      <c r="I217" s="342"/>
      <c r="J217" s="342"/>
      <c r="K217" s="342"/>
      <c r="L217" s="342"/>
      <c r="M217" s="576"/>
      <c r="N217" s="576">
        <v>1</v>
      </c>
      <c r="O217" s="342"/>
      <c r="P217" s="342"/>
      <c r="Q217" s="342"/>
      <c r="R217" s="342"/>
      <c r="S217" s="342"/>
      <c r="T217" s="342"/>
      <c r="U217" s="342"/>
      <c r="V217" s="342"/>
      <c r="W217" s="343">
        <f t="shared" si="662"/>
        <v>1</v>
      </c>
      <c r="X217" s="574" t="s">
        <v>14</v>
      </c>
      <c r="Y217" s="828">
        <v>1289000</v>
      </c>
      <c r="Z217" s="1018"/>
      <c r="AA217" s="828"/>
      <c r="AB217" s="828"/>
      <c r="AC217" s="569"/>
      <c r="AD217" s="569"/>
      <c r="AE217" s="828"/>
      <c r="AF217" s="828"/>
      <c r="AG217" s="828"/>
      <c r="AH217" s="1007"/>
      <c r="AI217" s="1007">
        <f>SUM(Y217)</f>
        <v>1289000</v>
      </c>
      <c r="AJ217" s="569"/>
      <c r="AK217" s="569"/>
      <c r="AL217" s="569"/>
      <c r="AM217" s="569"/>
      <c r="AN217" s="569"/>
      <c r="AO217" s="569"/>
      <c r="AP217" s="569"/>
      <c r="AQ217" s="569"/>
      <c r="AR217" s="570">
        <f t="shared" si="663"/>
        <v>1289000</v>
      </c>
      <c r="AS217" s="1352">
        <f t="shared" si="495"/>
        <v>0</v>
      </c>
      <c r="AT217" s="402"/>
      <c r="AU217" s="402">
        <f t="shared" si="496"/>
        <v>0</v>
      </c>
      <c r="AV217" s="402">
        <f t="shared" si="497"/>
        <v>0</v>
      </c>
      <c r="AW217" s="402">
        <f t="shared" si="498"/>
        <v>0</v>
      </c>
      <c r="AX217" s="402">
        <f t="shared" si="499"/>
        <v>0</v>
      </c>
      <c r="AY217" s="402">
        <f t="shared" si="500"/>
        <v>0</v>
      </c>
      <c r="AZ217" s="402">
        <f t="shared" si="501"/>
        <v>0</v>
      </c>
      <c r="BA217" s="1199">
        <f t="shared" si="502"/>
        <v>0</v>
      </c>
      <c r="BB217" s="1199">
        <f t="shared" si="503"/>
        <v>1289000</v>
      </c>
      <c r="BC217" s="402">
        <f t="shared" si="504"/>
        <v>0</v>
      </c>
      <c r="BD217" s="402">
        <f t="shared" si="505"/>
        <v>0</v>
      </c>
      <c r="BE217" s="402"/>
      <c r="BF217" s="402"/>
      <c r="BG217" s="402"/>
      <c r="BH217" s="402"/>
      <c r="BI217" s="402"/>
      <c r="BJ217" s="402"/>
      <c r="BK217" s="403">
        <f t="shared" si="664"/>
        <v>1289000</v>
      </c>
      <c r="BL217" s="402"/>
      <c r="BM217" s="402"/>
      <c r="BN217" s="402"/>
      <c r="BO217" s="1331">
        <f t="shared" si="665"/>
        <v>0</v>
      </c>
      <c r="BP217" s="402">
        <f t="shared" si="666"/>
        <v>0</v>
      </c>
      <c r="BQ217" s="402"/>
      <c r="BR217" s="402"/>
      <c r="BS217" s="402">
        <f t="shared" si="667"/>
        <v>0</v>
      </c>
      <c r="BT217" s="402"/>
      <c r="BU217" s="1199">
        <v>0</v>
      </c>
      <c r="BV217" s="402">
        <f t="shared" si="669"/>
        <v>0</v>
      </c>
      <c r="BW217" s="402">
        <f t="shared" si="670"/>
        <v>0</v>
      </c>
      <c r="BX217" s="299">
        <f t="shared" si="451"/>
        <v>0</v>
      </c>
      <c r="BY217" s="790">
        <f>AR217-BK217</f>
        <v>0</v>
      </c>
      <c r="BZ217" s="791">
        <f t="shared" si="452"/>
        <v>1289000</v>
      </c>
      <c r="CA217" s="792">
        <f t="shared" si="481"/>
        <v>1523960</v>
      </c>
      <c r="CB217" s="571">
        <f t="shared" si="453"/>
        <v>1</v>
      </c>
      <c r="CC217" s="1081"/>
      <c r="CD217" s="1081"/>
      <c r="CE217" s="1083"/>
      <c r="CF217" s="1084"/>
      <c r="CG217" s="862"/>
      <c r="CH217" s="862"/>
      <c r="CI217" s="862"/>
      <c r="CJ217" s="862"/>
      <c r="CK217" s="862"/>
      <c r="CL217" s="862"/>
      <c r="CM217" s="862"/>
      <c r="CN217" s="862"/>
      <c r="CO217" s="1081">
        <f t="shared" si="671"/>
        <v>0</v>
      </c>
      <c r="CP217" s="862"/>
      <c r="CQ217" s="862"/>
      <c r="CR217" s="862"/>
      <c r="CS217" s="862"/>
      <c r="CT217" s="862"/>
      <c r="CU217" s="862"/>
      <c r="CV217" s="862"/>
      <c r="CW217" s="862"/>
      <c r="CX217" s="862"/>
      <c r="CY217" s="73">
        <f t="shared" si="455"/>
        <v>0</v>
      </c>
      <c r="CZ217" s="862"/>
      <c r="DA217" s="862"/>
      <c r="DB217" s="862"/>
      <c r="DC217" s="862"/>
      <c r="DD217" s="862"/>
      <c r="DE217" s="862"/>
      <c r="DF217" s="862"/>
      <c r="DG217" s="862"/>
      <c r="DH217" s="1081"/>
      <c r="DI217" s="862"/>
      <c r="DJ217" s="862"/>
      <c r="DK217" s="862"/>
      <c r="DL217" s="862"/>
      <c r="DM217" s="862"/>
      <c r="DN217" s="862"/>
      <c r="DO217" s="862"/>
      <c r="DP217" s="862"/>
      <c r="DQ217" s="862"/>
      <c r="DR217" s="73">
        <f t="shared" si="456"/>
        <v>0</v>
      </c>
      <c r="DS217" s="412"/>
      <c r="DT217" s="412"/>
      <c r="DU217" s="420"/>
      <c r="DV217" s="412"/>
      <c r="DW217" s="412"/>
      <c r="DX217" s="412"/>
      <c r="DY217" s="277"/>
      <c r="DZ217" s="277"/>
      <c r="EA217" s="277"/>
      <c r="EB217" s="277"/>
      <c r="EC217" s="277"/>
      <c r="ED217" s="277"/>
      <c r="EE217" s="277"/>
      <c r="EF217" s="277"/>
      <c r="EG217" s="277"/>
      <c r="EH217" s="277"/>
      <c r="EI217" s="277"/>
    </row>
    <row r="218" spans="1:157" s="278" customFormat="1" ht="29.25" customHeight="1" x14ac:dyDescent="0.2">
      <c r="A218" s="786">
        <f>A214+1</f>
        <v>36</v>
      </c>
      <c r="B218" s="900" t="s">
        <v>694</v>
      </c>
      <c r="C218" s="281" t="s">
        <v>128</v>
      </c>
      <c r="D218" s="573">
        <v>1</v>
      </c>
      <c r="E218" s="270"/>
      <c r="F218" s="270"/>
      <c r="G218" s="270"/>
      <c r="H218" s="342"/>
      <c r="I218" s="342"/>
      <c r="J218" s="342"/>
      <c r="K218" s="342"/>
      <c r="L218" s="342"/>
      <c r="M218" s="576"/>
      <c r="N218" s="576"/>
      <c r="O218" s="1344">
        <v>1</v>
      </c>
      <c r="P218" s="342"/>
      <c r="Q218" s="342"/>
      <c r="R218" s="342"/>
      <c r="S218" s="342"/>
      <c r="T218" s="342"/>
      <c r="U218" s="342"/>
      <c r="V218" s="342"/>
      <c r="W218" s="343">
        <f t="shared" ref="W218" si="720">SUM(E218:P218)</f>
        <v>1</v>
      </c>
      <c r="X218" s="574" t="s">
        <v>14</v>
      </c>
      <c r="Y218" s="828">
        <v>1000000</v>
      </c>
      <c r="Z218" s="1018"/>
      <c r="AA218" s="828"/>
      <c r="AB218" s="828"/>
      <c r="AC218" s="569"/>
      <c r="AD218" s="569"/>
      <c r="AE218" s="828"/>
      <c r="AF218" s="828"/>
      <c r="AG218" s="828"/>
      <c r="AH218" s="1007"/>
      <c r="AI218" s="1007"/>
      <c r="AJ218" s="1007">
        <v>1000000</v>
      </c>
      <c r="AK218" s="569"/>
      <c r="AL218" s="569"/>
      <c r="AM218" s="569"/>
      <c r="AN218" s="569"/>
      <c r="AO218" s="569"/>
      <c r="AP218" s="569"/>
      <c r="AQ218" s="569"/>
      <c r="AR218" s="570">
        <f t="shared" ref="AR218" si="721">SUM(W218*Y218)</f>
        <v>1000000</v>
      </c>
      <c r="AS218" s="1352">
        <f t="shared" si="495"/>
        <v>0</v>
      </c>
      <c r="AT218" s="402"/>
      <c r="AU218" s="402">
        <f t="shared" si="496"/>
        <v>0</v>
      </c>
      <c r="AV218" s="402">
        <f t="shared" si="497"/>
        <v>0</v>
      </c>
      <c r="AW218" s="402">
        <f t="shared" si="498"/>
        <v>0</v>
      </c>
      <c r="AX218" s="402">
        <f t="shared" si="499"/>
        <v>0</v>
      </c>
      <c r="AY218" s="402">
        <f t="shared" si="500"/>
        <v>0</v>
      </c>
      <c r="AZ218" s="402">
        <f t="shared" si="501"/>
        <v>0</v>
      </c>
      <c r="BA218" s="1199">
        <f t="shared" si="502"/>
        <v>0</v>
      </c>
      <c r="BB218" s="1199">
        <f t="shared" si="503"/>
        <v>0</v>
      </c>
      <c r="BC218" s="1211">
        <f t="shared" si="504"/>
        <v>1000000</v>
      </c>
      <c r="BD218" s="402">
        <f t="shared" si="505"/>
        <v>0</v>
      </c>
      <c r="BE218" s="402"/>
      <c r="BF218" s="402"/>
      <c r="BG218" s="402"/>
      <c r="BH218" s="402"/>
      <c r="BI218" s="402"/>
      <c r="BJ218" s="402"/>
      <c r="BK218" s="403">
        <f t="shared" ref="BK218" si="722">SUM(AS218:BD218)</f>
        <v>1000000</v>
      </c>
      <c r="BL218" s="402"/>
      <c r="BM218" s="402"/>
      <c r="BN218" s="402"/>
      <c r="BO218" s="1331">
        <f t="shared" ref="BO218" si="723">SUM(AV218*4%)</f>
        <v>0</v>
      </c>
      <c r="BP218" s="402">
        <f t="shared" ref="BP218" si="724">SUM(AW218*14%)</f>
        <v>0</v>
      </c>
      <c r="BQ218" s="402"/>
      <c r="BR218" s="402"/>
      <c r="BS218" s="402">
        <f t="shared" ref="BS218" si="725">SUM(AZ218*14%)</f>
        <v>0</v>
      </c>
      <c r="BT218" s="402"/>
      <c r="BU218" s="1199">
        <v>0</v>
      </c>
      <c r="BV218" s="402">
        <v>0</v>
      </c>
      <c r="BW218" s="402">
        <f t="shared" ref="BW218" si="726">SUM(BD218*14%)</f>
        <v>0</v>
      </c>
      <c r="BX218" s="299">
        <f t="shared" ref="BX218" si="727">SUM(BL218:BW218)</f>
        <v>0</v>
      </c>
      <c r="BY218" s="790">
        <f>AR218-BK218</f>
        <v>0</v>
      </c>
      <c r="BZ218" s="791">
        <f t="shared" si="452"/>
        <v>1000000</v>
      </c>
      <c r="CA218" s="792">
        <f t="shared" si="481"/>
        <v>523960</v>
      </c>
      <c r="CB218" s="571">
        <f t="shared" ref="CB218" si="728">SUM(W218/D218)</f>
        <v>1</v>
      </c>
      <c r="CC218" s="1081">
        <f>SUM(BB218-BU218)</f>
        <v>0</v>
      </c>
      <c r="CD218" s="1081"/>
      <c r="CE218" s="1083"/>
      <c r="CF218" s="1084"/>
      <c r="CG218" s="862"/>
      <c r="CH218" s="862"/>
      <c r="CI218" s="862"/>
      <c r="CJ218" s="862"/>
      <c r="CK218" s="862"/>
      <c r="CL218" s="862"/>
      <c r="CM218" s="862"/>
      <c r="CN218" s="862"/>
      <c r="CO218" s="1081">
        <f t="shared" ref="CO218" si="729">SUM(AZ218*12.5%)</f>
        <v>0</v>
      </c>
      <c r="CP218" s="862"/>
      <c r="CQ218" s="862"/>
      <c r="CR218" s="862"/>
      <c r="CS218" s="862"/>
      <c r="CT218" s="862"/>
      <c r="CU218" s="862"/>
      <c r="CV218" s="862"/>
      <c r="CW218" s="862"/>
      <c r="CX218" s="862"/>
      <c r="CY218" s="73">
        <f t="shared" si="455"/>
        <v>0</v>
      </c>
      <c r="CZ218" s="862"/>
      <c r="DA218" s="862"/>
      <c r="DB218" s="862"/>
      <c r="DC218" s="862"/>
      <c r="DD218" s="862"/>
      <c r="DE218" s="862"/>
      <c r="DF218" s="862"/>
      <c r="DG218" s="862"/>
      <c r="DH218" s="1081"/>
      <c r="DI218" s="862"/>
      <c r="DJ218" s="862"/>
      <c r="DK218" s="862"/>
      <c r="DL218" s="862"/>
      <c r="DM218" s="862"/>
      <c r="DN218" s="862"/>
      <c r="DO218" s="862"/>
      <c r="DP218" s="862"/>
      <c r="DQ218" s="862"/>
      <c r="DR218" s="73">
        <f t="shared" si="456"/>
        <v>0</v>
      </c>
      <c r="DS218" s="412"/>
      <c r="DT218" s="412"/>
      <c r="DU218" s="420"/>
      <c r="DV218" s="412"/>
      <c r="DW218" s="412"/>
      <c r="DX218" s="412"/>
      <c r="DY218" s="277"/>
      <c r="DZ218" s="277"/>
      <c r="EA218" s="277"/>
      <c r="EB218" s="277"/>
      <c r="EC218" s="277"/>
      <c r="ED218" s="277"/>
      <c r="EE218" s="277"/>
      <c r="EF218" s="277"/>
      <c r="EG218" s="277"/>
      <c r="EH218" s="277"/>
      <c r="EI218" s="277"/>
    </row>
    <row r="219" spans="1:157" s="278" customFormat="1" ht="29.25" customHeight="1" thickBot="1" x14ac:dyDescent="0.25">
      <c r="A219" s="786">
        <f>A215+1</f>
        <v>37</v>
      </c>
      <c r="B219" s="900" t="s">
        <v>742</v>
      </c>
      <c r="C219" s="281" t="s">
        <v>128</v>
      </c>
      <c r="D219" s="573">
        <v>1</v>
      </c>
      <c r="E219" s="270"/>
      <c r="F219" s="270"/>
      <c r="G219" s="270"/>
      <c r="H219" s="342"/>
      <c r="I219" s="342"/>
      <c r="J219" s="342"/>
      <c r="K219" s="342"/>
      <c r="L219" s="342"/>
      <c r="M219" s="576"/>
      <c r="N219" s="576"/>
      <c r="O219" s="1344">
        <v>1</v>
      </c>
      <c r="P219" s="342">
        <v>1</v>
      </c>
      <c r="Q219" s="342"/>
      <c r="R219" s="342"/>
      <c r="S219" s="342"/>
      <c r="T219" s="342"/>
      <c r="U219" s="342"/>
      <c r="V219" s="342"/>
      <c r="W219" s="343">
        <f t="shared" ref="W219" si="730">SUM(E219:P219)</f>
        <v>2</v>
      </c>
      <c r="X219" s="574" t="s">
        <v>14</v>
      </c>
      <c r="Y219" s="828">
        <v>500000</v>
      </c>
      <c r="Z219" s="1018"/>
      <c r="AA219" s="828"/>
      <c r="AB219" s="828"/>
      <c r="AC219" s="569"/>
      <c r="AD219" s="569"/>
      <c r="AE219" s="828"/>
      <c r="AF219" s="828"/>
      <c r="AG219" s="828"/>
      <c r="AH219" s="1007"/>
      <c r="AI219" s="1007"/>
      <c r="AJ219" s="1007"/>
      <c r="AK219" s="569">
        <v>500000</v>
      </c>
      <c r="AL219" s="569"/>
      <c r="AM219" s="569"/>
      <c r="AN219" s="569"/>
      <c r="AO219" s="569"/>
      <c r="AP219" s="569"/>
      <c r="AQ219" s="569"/>
      <c r="AR219" s="570">
        <v>500000</v>
      </c>
      <c r="AS219" s="1352">
        <f t="shared" ref="AS219" si="731">Z219*E219</f>
        <v>0</v>
      </c>
      <c r="AT219" s="402"/>
      <c r="AU219" s="402">
        <f t="shared" ref="AU219" si="732">AB219*G219</f>
        <v>0</v>
      </c>
      <c r="AV219" s="402">
        <f t="shared" ref="AV219" si="733">AC219*H219</f>
        <v>0</v>
      </c>
      <c r="AW219" s="402">
        <f t="shared" ref="AW219" si="734">AD219*I219</f>
        <v>0</v>
      </c>
      <c r="AX219" s="402">
        <f t="shared" ref="AX219" si="735">AE219*J219</f>
        <v>0</v>
      </c>
      <c r="AY219" s="402">
        <f t="shared" ref="AY219" si="736">AF219*K219</f>
        <v>0</v>
      </c>
      <c r="AZ219" s="402">
        <f t="shared" ref="AZ219" si="737">AG219*L219</f>
        <v>0</v>
      </c>
      <c r="BA219" s="1199">
        <f t="shared" ref="BA219" si="738">AH219*M219</f>
        <v>0</v>
      </c>
      <c r="BB219" s="1199">
        <f t="shared" ref="BB219" si="739">AI219*N219</f>
        <v>0</v>
      </c>
      <c r="BC219" s="1211">
        <f t="shared" ref="BC219" si="740">AJ219*O219</f>
        <v>0</v>
      </c>
      <c r="BD219" s="402">
        <f t="shared" ref="BD219" si="741">AK219*P219</f>
        <v>500000</v>
      </c>
      <c r="BE219" s="402"/>
      <c r="BF219" s="402"/>
      <c r="BG219" s="402"/>
      <c r="BH219" s="402"/>
      <c r="BI219" s="402"/>
      <c r="BJ219" s="402"/>
      <c r="BK219" s="403">
        <f t="shared" ref="BK219" si="742">SUM(AS219:BD219)</f>
        <v>500000</v>
      </c>
      <c r="BL219" s="402"/>
      <c r="BM219" s="402"/>
      <c r="BN219" s="402"/>
      <c r="BO219" s="1331">
        <f t="shared" ref="BO219" si="743">SUM(AV219*4%)</f>
        <v>0</v>
      </c>
      <c r="BP219" s="402">
        <f t="shared" ref="BP219" si="744">SUM(AW219*14%)</f>
        <v>0</v>
      </c>
      <c r="BQ219" s="402"/>
      <c r="BR219" s="402"/>
      <c r="BS219" s="402">
        <f t="shared" ref="BS219" si="745">SUM(AZ219*14%)</f>
        <v>0</v>
      </c>
      <c r="BT219" s="402"/>
      <c r="BU219" s="1199">
        <v>0</v>
      </c>
      <c r="BV219" s="402">
        <v>0</v>
      </c>
      <c r="BW219" s="402"/>
      <c r="BX219" s="299">
        <f t="shared" si="451"/>
        <v>0</v>
      </c>
      <c r="BY219" s="790">
        <f>AR219-BK219</f>
        <v>0</v>
      </c>
      <c r="BZ219" s="791">
        <f t="shared" ref="BZ219" si="746">Y219*D219</f>
        <v>500000</v>
      </c>
      <c r="CA219" s="792">
        <f t="shared" si="481"/>
        <v>23960</v>
      </c>
      <c r="CB219" s="571">
        <f t="shared" ref="CB219" si="747">SUM(W219/D219)</f>
        <v>2</v>
      </c>
      <c r="CC219" s="1081">
        <f>SUM(BB219-BU219)</f>
        <v>0</v>
      </c>
      <c r="CD219" s="1081"/>
      <c r="CE219" s="1083"/>
      <c r="CF219" s="1084"/>
      <c r="CG219" s="862"/>
      <c r="CH219" s="862"/>
      <c r="CI219" s="862"/>
      <c r="CJ219" s="862"/>
      <c r="CK219" s="862"/>
      <c r="CL219" s="862"/>
      <c r="CM219" s="862"/>
      <c r="CN219" s="862"/>
      <c r="CO219" s="1081">
        <f t="shared" ref="CO219" si="748">SUM(AZ219*12.5%)</f>
        <v>0</v>
      </c>
      <c r="CP219" s="862"/>
      <c r="CQ219" s="862"/>
      <c r="CR219" s="862"/>
      <c r="CS219" s="862"/>
      <c r="CT219" s="862"/>
      <c r="CU219" s="862"/>
      <c r="CV219" s="862"/>
      <c r="CW219" s="862"/>
      <c r="CX219" s="862"/>
      <c r="CY219" s="73">
        <f t="shared" ref="CY219" si="749">SUM(CG219:CX219)</f>
        <v>0</v>
      </c>
      <c r="CZ219" s="862"/>
      <c r="DA219" s="862"/>
      <c r="DB219" s="862"/>
      <c r="DC219" s="862"/>
      <c r="DD219" s="862"/>
      <c r="DE219" s="862"/>
      <c r="DF219" s="862"/>
      <c r="DG219" s="862"/>
      <c r="DH219" s="1081"/>
      <c r="DI219" s="862"/>
      <c r="DJ219" s="862"/>
      <c r="DK219" s="862"/>
      <c r="DL219" s="862"/>
      <c r="DM219" s="862"/>
      <c r="DN219" s="862"/>
      <c r="DO219" s="862"/>
      <c r="DP219" s="862"/>
      <c r="DQ219" s="862"/>
      <c r="DR219" s="73">
        <f t="shared" ref="DR219" si="750">SUM(CZ219:DQ219)</f>
        <v>0</v>
      </c>
      <c r="DS219" s="412"/>
      <c r="DT219" s="412"/>
      <c r="DU219" s="420"/>
      <c r="DV219" s="412"/>
      <c r="DW219" s="412"/>
      <c r="DX219" s="412"/>
      <c r="DY219" s="277"/>
      <c r="DZ219" s="277"/>
      <c r="EA219" s="277"/>
      <c r="EB219" s="277"/>
      <c r="EC219" s="277"/>
      <c r="ED219" s="277"/>
      <c r="EE219" s="277"/>
      <c r="EF219" s="277"/>
      <c r="EG219" s="277"/>
      <c r="EH219" s="277"/>
      <c r="EI219" s="277"/>
    </row>
    <row r="220" spans="1:157" s="282" customFormat="1" ht="24.75" customHeight="1" thickBot="1" x14ac:dyDescent="0.25">
      <c r="A220" s="577">
        <v>9</v>
      </c>
      <c r="B220" s="308" t="s">
        <v>4</v>
      </c>
      <c r="C220" s="308"/>
      <c r="D220" s="309"/>
      <c r="E220" s="465"/>
      <c r="F220" s="310"/>
      <c r="G220" s="399"/>
      <c r="H220" s="310"/>
      <c r="I220" s="465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0"/>
      <c r="U220" s="310"/>
      <c r="V220" s="310"/>
      <c r="W220" s="311"/>
      <c r="X220" s="312"/>
      <c r="Y220" s="313"/>
      <c r="Z220" s="997"/>
      <c r="AA220" s="314"/>
      <c r="AB220" s="314"/>
      <c r="AC220" s="314"/>
      <c r="AD220" s="314"/>
      <c r="AE220" s="989"/>
      <c r="AF220" s="314"/>
      <c r="AG220" s="314"/>
      <c r="AH220" s="314"/>
      <c r="AI220" s="314"/>
      <c r="AJ220" s="314"/>
      <c r="AK220" s="314"/>
      <c r="AL220" s="314"/>
      <c r="AM220" s="314"/>
      <c r="AN220" s="314"/>
      <c r="AO220" s="314"/>
      <c r="AP220" s="314"/>
      <c r="AQ220" s="314"/>
      <c r="AR220" s="315">
        <f>SUM(AR180)</f>
        <v>37410360</v>
      </c>
      <c r="AS220" s="1353">
        <f t="shared" ref="AS220:AX220" si="751">SUM(AS181:AS207)</f>
        <v>1880000</v>
      </c>
      <c r="AT220" s="315">
        <f t="shared" si="751"/>
        <v>500000</v>
      </c>
      <c r="AU220" s="315">
        <f t="shared" si="751"/>
        <v>6950000</v>
      </c>
      <c r="AV220" s="315">
        <f t="shared" si="751"/>
        <v>2620000</v>
      </c>
      <c r="AW220" s="315">
        <f t="shared" si="751"/>
        <v>3860000</v>
      </c>
      <c r="AX220" s="315">
        <f t="shared" si="751"/>
        <v>8591000</v>
      </c>
      <c r="AY220" s="315">
        <f>SUM(AY208:AY213)</f>
        <v>4040000</v>
      </c>
      <c r="AZ220" s="315">
        <f>SUM(AZ208:AZ213)</f>
        <v>685000</v>
      </c>
      <c r="BA220" s="315">
        <f>SUM(BA208:BA217)</f>
        <v>4150000</v>
      </c>
      <c r="BB220" s="315">
        <f>SUM(BB214:BB219)</f>
        <v>2489000</v>
      </c>
      <c r="BC220" s="315">
        <f>SUM(BC180:BC219)</f>
        <v>1000000</v>
      </c>
      <c r="BD220" s="315">
        <f>SUM(BD181:BD207)</f>
        <v>0</v>
      </c>
      <c r="BE220" s="315"/>
      <c r="BF220" s="315"/>
      <c r="BG220" s="315"/>
      <c r="BH220" s="315"/>
      <c r="BI220" s="315"/>
      <c r="BJ220" s="315"/>
      <c r="BK220" s="315">
        <f>SUM(BK181:BK213)-3000000</f>
        <v>28626000</v>
      </c>
      <c r="BL220" s="315">
        <f t="shared" ref="BL220:BQ220" si="752">SUM(BL181:BL207)</f>
        <v>25200</v>
      </c>
      <c r="BM220" s="315">
        <f t="shared" si="752"/>
        <v>0</v>
      </c>
      <c r="BN220" s="315">
        <f t="shared" si="752"/>
        <v>20000</v>
      </c>
      <c r="BO220" s="1337">
        <f t="shared" si="752"/>
        <v>94800</v>
      </c>
      <c r="BP220" s="315">
        <f t="shared" si="752"/>
        <v>0</v>
      </c>
      <c r="BQ220" s="315">
        <f t="shared" si="752"/>
        <v>0</v>
      </c>
      <c r="BR220" s="315">
        <f>SUM(BR181:BR213)</f>
        <v>12600</v>
      </c>
      <c r="BS220" s="315">
        <f>SUM(BS181:BS213)</f>
        <v>95900.000000000015</v>
      </c>
      <c r="BT220" s="315">
        <f>SUM(BT181:BT207)</f>
        <v>0</v>
      </c>
      <c r="BU220" s="1232">
        <f>SUM(BU217)</f>
        <v>0</v>
      </c>
      <c r="BV220" s="315">
        <f>SUM(BV181:BV207)</f>
        <v>0</v>
      </c>
      <c r="BW220" s="315">
        <f>SUM(BW181:BW207)</f>
        <v>0</v>
      </c>
      <c r="BX220" s="315">
        <f>SUM(BX181:BX213)</f>
        <v>248500</v>
      </c>
      <c r="BY220" s="315">
        <f>SUM(BY180:BY219)</f>
        <v>0</v>
      </c>
      <c r="BZ220" s="315">
        <f>SUM(BZ180)</f>
        <v>37410360</v>
      </c>
      <c r="CA220" s="315">
        <f>CA219</f>
        <v>23960</v>
      </c>
      <c r="CB220" s="279">
        <f>SUM(CB180:CB207)/27</f>
        <v>1</v>
      </c>
      <c r="CC220" s="1081"/>
      <c r="CD220" s="1081"/>
      <c r="CE220" s="1083"/>
      <c r="CF220" s="1084"/>
      <c r="CG220" s="862"/>
      <c r="CH220" s="862"/>
      <c r="CI220" s="862"/>
      <c r="CJ220" s="862"/>
      <c r="CK220" s="862"/>
      <c r="CL220" s="862"/>
      <c r="CM220" s="862"/>
      <c r="CN220" s="862"/>
      <c r="CO220" s="1081">
        <f t="shared" si="482"/>
        <v>85625</v>
      </c>
      <c r="CP220" s="862"/>
      <c r="CQ220" s="862"/>
      <c r="CR220" s="862"/>
      <c r="CS220" s="862"/>
      <c r="CT220" s="862"/>
      <c r="CU220" s="862"/>
      <c r="CV220" s="862"/>
      <c r="CW220" s="862"/>
      <c r="CX220" s="862"/>
      <c r="CY220" s="73">
        <f t="shared" si="455"/>
        <v>85625</v>
      </c>
      <c r="CZ220" s="862"/>
      <c r="DA220" s="862"/>
      <c r="DB220" s="862"/>
      <c r="DC220" s="862"/>
      <c r="DD220" s="862"/>
      <c r="DE220" s="862"/>
      <c r="DF220" s="862"/>
      <c r="DG220" s="862"/>
      <c r="DH220" s="1081"/>
      <c r="DI220" s="862"/>
      <c r="DJ220" s="862"/>
      <c r="DK220" s="862"/>
      <c r="DL220" s="862"/>
      <c r="DM220" s="862"/>
      <c r="DN220" s="862"/>
      <c r="DO220" s="862"/>
      <c r="DP220" s="862"/>
      <c r="DQ220" s="862"/>
      <c r="DR220" s="73">
        <f t="shared" si="456"/>
        <v>0</v>
      </c>
      <c r="DS220" s="317"/>
      <c r="DT220" s="317"/>
      <c r="DU220" s="425"/>
      <c r="DV220" s="317"/>
      <c r="DW220" s="317"/>
      <c r="DX220" s="317"/>
      <c r="DY220" s="318"/>
      <c r="DZ220" s="318"/>
      <c r="EA220" s="318"/>
      <c r="EB220" s="318"/>
      <c r="EC220" s="318"/>
      <c r="ED220" s="318"/>
      <c r="EE220" s="318"/>
      <c r="EF220" s="318"/>
      <c r="EG220" s="318"/>
      <c r="EH220" s="318"/>
      <c r="EI220" s="318"/>
    </row>
    <row r="221" spans="1:157" s="262" customFormat="1" ht="24.75" customHeight="1" x14ac:dyDescent="0.2">
      <c r="A221" s="283"/>
      <c r="D221" s="283"/>
      <c r="E221" s="463"/>
      <c r="F221" s="283"/>
      <c r="G221" s="397"/>
      <c r="H221" s="283"/>
      <c r="I221" s="46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Z221" s="998"/>
      <c r="AS221" s="1354"/>
      <c r="BA221" s="469"/>
      <c r="BB221" s="469"/>
      <c r="BK221" s="291"/>
      <c r="BO221" s="1361"/>
      <c r="BX221" s="319">
        <f>SUM(BK220+BX220)</f>
        <v>28874500</v>
      </c>
      <c r="BY221" s="284"/>
      <c r="BZ221" s="320">
        <f>SUM(CA220+BK220+BX220)</f>
        <v>28898460</v>
      </c>
      <c r="CA221" s="285">
        <f>SUM(BY220)</f>
        <v>0</v>
      </c>
      <c r="CB221" s="280" t="s">
        <v>38</v>
      </c>
      <c r="CC221" s="1011"/>
      <c r="CD221" s="1012"/>
      <c r="CE221" s="260"/>
      <c r="CF221" s="409"/>
      <c r="CG221" s="417"/>
      <c r="CH221" s="409"/>
      <c r="CI221" s="409"/>
      <c r="CJ221" s="409"/>
      <c r="CK221" s="417"/>
      <c r="CL221" s="409"/>
      <c r="CM221" s="409"/>
      <c r="CN221" s="409"/>
      <c r="CO221" s="417"/>
      <c r="CP221" s="409"/>
      <c r="CQ221" s="409"/>
      <c r="CR221" s="409"/>
      <c r="CS221" s="409"/>
      <c r="CT221" s="409"/>
      <c r="CU221" s="409"/>
      <c r="CV221" s="409"/>
      <c r="CW221" s="409"/>
      <c r="CX221" s="409"/>
      <c r="CY221" s="417"/>
      <c r="CZ221" s="409"/>
      <c r="DA221" s="409"/>
      <c r="DB221" s="409"/>
      <c r="DC221" s="417"/>
      <c r="DD221" s="409"/>
      <c r="DE221" s="409"/>
      <c r="DF221" s="409"/>
      <c r="DG221" s="417"/>
      <c r="DH221" s="409"/>
      <c r="DI221" s="409"/>
      <c r="DJ221" s="409"/>
      <c r="DK221" s="409"/>
      <c r="DL221" s="409"/>
      <c r="DM221" s="409"/>
      <c r="DN221" s="409"/>
      <c r="DO221" s="409"/>
      <c r="DP221" s="409"/>
      <c r="DQ221" s="409"/>
      <c r="DR221" s="409"/>
      <c r="DS221" s="409"/>
      <c r="DT221" s="409"/>
      <c r="DU221" s="417"/>
      <c r="DV221" s="409"/>
      <c r="DW221" s="409"/>
      <c r="DX221" s="409"/>
      <c r="DY221" s="260"/>
      <c r="DZ221" s="260"/>
      <c r="EA221" s="260"/>
      <c r="EB221" s="260"/>
      <c r="EC221" s="260"/>
      <c r="ED221" s="260"/>
      <c r="EE221" s="260"/>
      <c r="EF221" s="260"/>
      <c r="EG221" s="260"/>
      <c r="EH221" s="260"/>
      <c r="EI221" s="260"/>
      <c r="EJ221" s="260"/>
    </row>
    <row r="222" spans="1:157" s="262" customFormat="1" ht="24.75" customHeight="1" x14ac:dyDescent="0.2">
      <c r="A222" s="283"/>
      <c r="D222" s="283"/>
      <c r="E222" s="463"/>
      <c r="F222" s="283"/>
      <c r="G222" s="397"/>
      <c r="H222" s="283"/>
      <c r="I222" s="46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Z222" s="998"/>
      <c r="AS222" s="1354"/>
      <c r="BB222" s="469"/>
      <c r="BK222" s="280"/>
      <c r="BL222" s="388">
        <f>SUM(AS220+BL220)</f>
        <v>1905200</v>
      </c>
      <c r="BM222" s="388">
        <f>SUM(AT220+BM220)</f>
        <v>500000</v>
      </c>
      <c r="BN222" s="388">
        <f t="shared" ref="BN222" si="753">SUM(AU220+BN220)</f>
        <v>6970000</v>
      </c>
      <c r="BO222" s="1362">
        <f t="shared" ref="BO222" si="754">SUM(AV220+BO220)</f>
        <v>2714800</v>
      </c>
      <c r="BP222" s="388">
        <f t="shared" ref="BP222" si="755">SUM(AW220+BP220)</f>
        <v>3860000</v>
      </c>
      <c r="BQ222" s="388">
        <f t="shared" ref="BQ222" si="756">SUM(AX220+BQ220)</f>
        <v>8591000</v>
      </c>
      <c r="BR222" s="388">
        <f>SUM(AY220+BR220)</f>
        <v>4052600</v>
      </c>
      <c r="BS222" s="1032">
        <f>SUM(AZ220+BS220)</f>
        <v>780900</v>
      </c>
      <c r="BT222" s="388">
        <f t="shared" ref="BT222" si="757">SUM(BA220+BT220)</f>
        <v>4150000</v>
      </c>
      <c r="BU222" s="388">
        <f t="shared" ref="BU222" si="758">SUM(BB220+BU220)</f>
        <v>2489000</v>
      </c>
      <c r="BV222" s="388">
        <f>SUM(BC220+BV220)</f>
        <v>1000000</v>
      </c>
      <c r="BW222" s="388">
        <f t="shared" ref="BW222" si="759">SUM(BD220+BW220)</f>
        <v>0</v>
      </c>
      <c r="BX222" s="388">
        <f>SUM(BL222:BW222)</f>
        <v>37013500</v>
      </c>
      <c r="BY222" s="388"/>
      <c r="BZ222" s="388"/>
      <c r="CA222" s="287">
        <f>SUM(CA220-CA221)</f>
        <v>23960</v>
      </c>
      <c r="CB222" s="280" t="s">
        <v>37</v>
      </c>
      <c r="CC222" s="1011"/>
      <c r="CD222" s="1012"/>
      <c r="CE222" s="260"/>
      <c r="CF222" s="409"/>
      <c r="CG222" s="417"/>
      <c r="CH222" s="409"/>
      <c r="CI222" s="409"/>
      <c r="CJ222" s="409"/>
      <c r="CK222" s="417"/>
      <c r="CL222" s="409"/>
      <c r="CM222" s="409"/>
      <c r="CN222" s="409"/>
      <c r="CO222" s="417"/>
      <c r="CP222" s="409"/>
      <c r="CQ222" s="409"/>
      <c r="CR222" s="409"/>
      <c r="CS222" s="409"/>
      <c r="CT222" s="409"/>
      <c r="CU222" s="409"/>
      <c r="CV222" s="409"/>
      <c r="CW222" s="409"/>
      <c r="CX222" s="409"/>
      <c r="CY222" s="417"/>
      <c r="CZ222" s="409"/>
      <c r="DA222" s="409"/>
      <c r="DB222" s="409"/>
      <c r="DC222" s="417"/>
      <c r="DD222" s="409"/>
      <c r="DE222" s="409"/>
      <c r="DF222" s="409"/>
      <c r="DG222" s="417"/>
      <c r="DH222" s="409"/>
      <c r="DI222" s="409"/>
      <c r="DJ222" s="409"/>
      <c r="DK222" s="409"/>
      <c r="DL222" s="409"/>
      <c r="DM222" s="409"/>
      <c r="DN222" s="409"/>
      <c r="DO222" s="409"/>
      <c r="DP222" s="409"/>
      <c r="DQ222" s="409"/>
      <c r="DR222" s="409"/>
      <c r="DS222" s="409"/>
      <c r="DT222" s="409"/>
      <c r="DU222" s="417"/>
      <c r="DV222" s="409"/>
      <c r="DW222" s="409"/>
      <c r="DX222" s="409"/>
      <c r="DY222" s="260"/>
      <c r="DZ222" s="260"/>
      <c r="EA222" s="260"/>
      <c r="EB222" s="260"/>
      <c r="EC222" s="260"/>
      <c r="ED222" s="260"/>
      <c r="EE222" s="260"/>
      <c r="EF222" s="260"/>
      <c r="EG222" s="260"/>
      <c r="EH222" s="260"/>
      <c r="EI222" s="260"/>
      <c r="EJ222" s="260"/>
    </row>
    <row r="223" spans="1:157" s="262" customFormat="1" ht="24.75" customHeight="1" x14ac:dyDescent="0.2">
      <c r="A223" s="1754" t="s">
        <v>8</v>
      </c>
      <c r="B223" s="1755"/>
      <c r="C223" s="244" t="s">
        <v>154</v>
      </c>
      <c r="D223" s="245"/>
      <c r="E223" s="462"/>
      <c r="F223" s="245"/>
      <c r="G223" s="292"/>
      <c r="H223" s="245"/>
      <c r="I223" s="462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994"/>
      <c r="AA223" s="246"/>
      <c r="AB223" s="246"/>
      <c r="AC223" s="246"/>
      <c r="AD223" s="246"/>
      <c r="AE223" s="246"/>
      <c r="AF223" s="246"/>
      <c r="AG223" s="246"/>
      <c r="AH223" s="246"/>
      <c r="AI223" s="246"/>
      <c r="AJ223" s="246"/>
      <c r="AK223" s="246"/>
      <c r="AL223" s="246"/>
      <c r="AM223" s="246"/>
      <c r="AN223" s="246"/>
      <c r="AO223" s="246"/>
      <c r="AP223" s="246"/>
      <c r="AQ223" s="246"/>
      <c r="AR223" s="245"/>
      <c r="AS223" s="1350"/>
      <c r="AT223" s="246"/>
      <c r="AU223" s="246"/>
      <c r="AV223" s="246"/>
      <c r="AW223" s="246"/>
      <c r="AX223" s="246"/>
      <c r="AY223" s="246"/>
      <c r="AZ223" s="246"/>
      <c r="BA223" s="246"/>
      <c r="BB223" s="246"/>
      <c r="BC223" s="246"/>
      <c r="BD223" s="246"/>
      <c r="BE223" s="246"/>
      <c r="BF223" s="246"/>
      <c r="BG223" s="246"/>
      <c r="BH223" s="246"/>
      <c r="BI223" s="246"/>
      <c r="BJ223" s="246"/>
      <c r="BK223" s="247"/>
      <c r="BL223" s="246"/>
      <c r="BM223" s="246"/>
      <c r="BN223" s="246"/>
      <c r="BO223" s="1359"/>
      <c r="BP223" s="246"/>
      <c r="BQ223" s="246"/>
      <c r="BR223" s="246"/>
      <c r="BS223" s="246"/>
      <c r="BT223" s="246"/>
      <c r="BU223" s="246"/>
      <c r="BV223" s="246"/>
      <c r="BW223" s="246"/>
      <c r="BX223" s="439"/>
      <c r="BY223" s="247"/>
      <c r="BZ223" s="243"/>
      <c r="CA223" s="248"/>
      <c r="CB223" s="245">
        <v>23960</v>
      </c>
      <c r="CC223" s="1008"/>
      <c r="CD223" s="1008"/>
      <c r="CE223" s="246"/>
      <c r="CF223" s="292"/>
      <c r="CG223" s="418"/>
      <c r="CH223" s="292"/>
      <c r="CI223" s="249"/>
      <c r="CJ223" s="292"/>
      <c r="CK223" s="418"/>
      <c r="CL223" s="292"/>
      <c r="CM223" s="249"/>
      <c r="CN223" s="292"/>
      <c r="CO223" s="418"/>
      <c r="CP223" s="292"/>
      <c r="CQ223" s="249"/>
      <c r="CR223" s="249"/>
      <c r="CS223" s="249"/>
      <c r="CT223" s="249"/>
      <c r="CU223" s="249"/>
      <c r="CV223" s="249"/>
      <c r="CW223" s="249"/>
      <c r="CX223" s="249"/>
      <c r="CY223" s="418"/>
      <c r="CZ223" s="292"/>
      <c r="DA223" s="249"/>
      <c r="DB223" s="292"/>
      <c r="DC223" s="418"/>
      <c r="DD223" s="292"/>
      <c r="DE223" s="249"/>
      <c r="DF223" s="292"/>
      <c r="DG223" s="418"/>
      <c r="DH223" s="292"/>
      <c r="DI223" s="249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49"/>
      <c r="DT223" s="292"/>
      <c r="DU223" s="418"/>
      <c r="DV223" s="292"/>
      <c r="DW223" s="249"/>
      <c r="DX223" s="292"/>
      <c r="DY223" s="246"/>
      <c r="DZ223" s="246"/>
      <c r="EA223" s="246"/>
      <c r="EB223" s="246"/>
      <c r="EC223" s="247"/>
      <c r="ED223" s="247"/>
      <c r="EE223" s="247"/>
      <c r="EF223" s="243"/>
      <c r="EG223" s="248"/>
      <c r="EH223" s="247"/>
      <c r="EI223" s="247"/>
      <c r="EJ223" s="260"/>
      <c r="EK223" s="260"/>
      <c r="EL223" s="260"/>
      <c r="EM223" s="260"/>
      <c r="EN223" s="260"/>
      <c r="EO223" s="261"/>
      <c r="EP223" s="260"/>
      <c r="EQ223" s="260"/>
      <c r="ER223" s="260"/>
      <c r="ES223" s="260"/>
      <c r="ET223" s="260"/>
      <c r="EU223" s="260"/>
      <c r="EV223" s="260"/>
      <c r="EW223" s="260"/>
      <c r="EX223" s="260"/>
      <c r="EY223" s="260"/>
      <c r="EZ223" s="260"/>
      <c r="FA223" s="260"/>
    </row>
    <row r="224" spans="1:157" s="264" customFormat="1" ht="48.75" customHeight="1" x14ac:dyDescent="0.2">
      <c r="A224" s="1756" t="s">
        <v>10</v>
      </c>
      <c r="B224" s="1759" t="s">
        <v>11</v>
      </c>
      <c r="C224" s="1759" t="s">
        <v>22</v>
      </c>
      <c r="D224" s="1775" t="s">
        <v>12</v>
      </c>
      <c r="E224" s="1776"/>
      <c r="F224" s="1776"/>
      <c r="G224" s="1776"/>
      <c r="H224" s="1776"/>
      <c r="I224" s="1776"/>
      <c r="J224" s="1776"/>
      <c r="K224" s="1776"/>
      <c r="L224" s="1776"/>
      <c r="M224" s="1776"/>
      <c r="N224" s="1776"/>
      <c r="O224" s="1776"/>
      <c r="P224" s="1776"/>
      <c r="Q224" s="1776"/>
      <c r="R224" s="1776"/>
      <c r="S224" s="1776"/>
      <c r="T224" s="1776"/>
      <c r="U224" s="1776"/>
      <c r="V224" s="1776"/>
      <c r="W224" s="1777"/>
      <c r="X224" s="1759" t="s">
        <v>20</v>
      </c>
      <c r="Y224" s="1763" t="s">
        <v>17</v>
      </c>
      <c r="Z224" s="1764"/>
      <c r="AA224" s="1764"/>
      <c r="AB224" s="1764"/>
      <c r="AC224" s="1764"/>
      <c r="AD224" s="1764"/>
      <c r="AE224" s="1764"/>
      <c r="AF224" s="1764"/>
      <c r="AG224" s="1764"/>
      <c r="AH224" s="1764"/>
      <c r="AI224" s="1764"/>
      <c r="AJ224" s="1764"/>
      <c r="AK224" s="1765"/>
      <c r="AL224" s="1178"/>
      <c r="AM224" s="1178"/>
      <c r="AN224" s="1178"/>
      <c r="AO224" s="1178"/>
      <c r="AP224" s="1178"/>
      <c r="AQ224" s="1178"/>
      <c r="AR224" s="1778" t="s">
        <v>6</v>
      </c>
      <c r="AS224" s="1779"/>
      <c r="AT224" s="1779"/>
      <c r="AU224" s="1779"/>
      <c r="AV224" s="1779"/>
      <c r="AW224" s="1779"/>
      <c r="AX224" s="1779"/>
      <c r="AY224" s="1779"/>
      <c r="AZ224" s="1779"/>
      <c r="BA224" s="1779"/>
      <c r="BB224" s="1779"/>
      <c r="BC224" s="1779"/>
      <c r="BD224" s="1779"/>
      <c r="BE224" s="1779"/>
      <c r="BF224" s="1779"/>
      <c r="BG224" s="1779"/>
      <c r="BH224" s="1779"/>
      <c r="BI224" s="1779"/>
      <c r="BJ224" s="1779"/>
      <c r="BK224" s="1780"/>
      <c r="BL224" s="1767" t="s">
        <v>41</v>
      </c>
      <c r="BM224" s="1768"/>
      <c r="BN224" s="1768"/>
      <c r="BO224" s="1768"/>
      <c r="BP224" s="1768"/>
      <c r="BQ224" s="1768"/>
      <c r="BR224" s="1768"/>
      <c r="BS224" s="1768"/>
      <c r="BT224" s="1768"/>
      <c r="BU224" s="1768"/>
      <c r="BV224" s="1768"/>
      <c r="BW224" s="1768"/>
      <c r="BX224" s="1769"/>
      <c r="BY224" s="1759" t="s">
        <v>38</v>
      </c>
      <c r="BZ224" s="1759" t="s">
        <v>256</v>
      </c>
      <c r="CA224" s="1746" t="s">
        <v>39</v>
      </c>
      <c r="CB224" s="436">
        <f>SUM(CA220-CB223)</f>
        <v>0</v>
      </c>
      <c r="CC224" s="135"/>
      <c r="CD224" s="135"/>
      <c r="CE224" s="135"/>
      <c r="CF224" s="135"/>
      <c r="CG224" s="1733" t="s">
        <v>41</v>
      </c>
      <c r="CH224" s="1734"/>
      <c r="CI224" s="1734"/>
      <c r="CJ224" s="1734"/>
      <c r="CK224" s="1734"/>
      <c r="CL224" s="1734"/>
      <c r="CM224" s="1734"/>
      <c r="CN224" s="1734"/>
      <c r="CO224" s="1734"/>
      <c r="CP224" s="1734"/>
      <c r="CQ224" s="1734"/>
      <c r="CR224" s="1734"/>
      <c r="CS224" s="1734"/>
      <c r="CT224" s="1734"/>
      <c r="CU224" s="1734"/>
      <c r="CV224" s="1734"/>
      <c r="CW224" s="1734"/>
      <c r="CX224" s="1734"/>
      <c r="CY224" s="1734"/>
      <c r="CZ224" s="1734"/>
      <c r="DA224" s="1734"/>
      <c r="DB224" s="1734"/>
      <c r="DC224" s="1734"/>
      <c r="DD224" s="1734"/>
      <c r="DE224" s="1734"/>
      <c r="DF224" s="1734"/>
      <c r="DG224" s="1734"/>
      <c r="DH224" s="1734"/>
      <c r="DI224" s="1734"/>
      <c r="DJ224" s="1734"/>
      <c r="DK224" s="1734"/>
      <c r="DL224" s="1734"/>
      <c r="DM224" s="1734"/>
      <c r="DN224" s="1734"/>
      <c r="DO224" s="1734"/>
      <c r="DP224" s="1734"/>
      <c r="DQ224" s="1734"/>
      <c r="DR224" s="1735"/>
      <c r="DS224" s="292"/>
      <c r="DT224" s="292"/>
      <c r="DU224" s="418"/>
      <c r="DV224" s="292"/>
      <c r="DW224" s="292"/>
      <c r="DX224" s="292"/>
      <c r="DY224" s="245"/>
      <c r="DZ224" s="245"/>
      <c r="EA224" s="245"/>
      <c r="EB224" s="245"/>
      <c r="EC224" s="245"/>
      <c r="ED224" s="245"/>
      <c r="EE224" s="245"/>
      <c r="EF224" s="245"/>
      <c r="EG224" s="245"/>
      <c r="EH224" s="263"/>
      <c r="EI224" s="263"/>
    </row>
    <row r="225" spans="1:139" s="264" customFormat="1" ht="48.75" customHeight="1" x14ac:dyDescent="0.2">
      <c r="A225" s="1757"/>
      <c r="B225" s="1760"/>
      <c r="C225" s="1760"/>
      <c r="D225" s="1749" t="s">
        <v>18</v>
      </c>
      <c r="E225" s="1751" t="s">
        <v>19</v>
      </c>
      <c r="F225" s="1752"/>
      <c r="G225" s="1752"/>
      <c r="H225" s="1752"/>
      <c r="I225" s="1752"/>
      <c r="J225" s="1752"/>
      <c r="K225" s="1752"/>
      <c r="L225" s="1752"/>
      <c r="M225" s="1752"/>
      <c r="N225" s="1752"/>
      <c r="O225" s="1752"/>
      <c r="P225" s="1752"/>
      <c r="Q225" s="1752"/>
      <c r="R225" s="1752"/>
      <c r="S225" s="1752"/>
      <c r="T225" s="1752"/>
      <c r="U225" s="1752"/>
      <c r="V225" s="1752"/>
      <c r="W225" s="1753"/>
      <c r="X225" s="1760"/>
      <c r="Y225" s="1749" t="s">
        <v>18</v>
      </c>
      <c r="Z225" s="1751" t="s">
        <v>19</v>
      </c>
      <c r="AA225" s="1752"/>
      <c r="AB225" s="1752"/>
      <c r="AC225" s="1752"/>
      <c r="AD225" s="1752"/>
      <c r="AE225" s="1752"/>
      <c r="AF225" s="1752"/>
      <c r="AG225" s="1752"/>
      <c r="AH225" s="1752"/>
      <c r="AI225" s="1752"/>
      <c r="AJ225" s="1752"/>
      <c r="AK225" s="1753"/>
      <c r="AL225" s="1183"/>
      <c r="AM225" s="1183"/>
      <c r="AN225" s="1183"/>
      <c r="AO225" s="1183"/>
      <c r="AP225" s="1183"/>
      <c r="AQ225" s="1183"/>
      <c r="AR225" s="1749" t="s">
        <v>18</v>
      </c>
      <c r="AS225" s="1751" t="s">
        <v>19</v>
      </c>
      <c r="AT225" s="1752"/>
      <c r="AU225" s="1752"/>
      <c r="AV225" s="1752"/>
      <c r="AW225" s="1752"/>
      <c r="AX225" s="1752"/>
      <c r="AY225" s="1752"/>
      <c r="AZ225" s="1752"/>
      <c r="BA225" s="1752"/>
      <c r="BB225" s="1752"/>
      <c r="BC225" s="1752"/>
      <c r="BD225" s="1752"/>
      <c r="BE225" s="1752"/>
      <c r="BF225" s="1752"/>
      <c r="BG225" s="1752"/>
      <c r="BH225" s="1752"/>
      <c r="BI225" s="1752"/>
      <c r="BJ225" s="1752"/>
      <c r="BK225" s="1753"/>
      <c r="BL225" s="1781"/>
      <c r="BM225" s="1782"/>
      <c r="BN225" s="1782"/>
      <c r="BO225" s="1782"/>
      <c r="BP225" s="1782"/>
      <c r="BQ225" s="1782"/>
      <c r="BR225" s="1782"/>
      <c r="BS225" s="1782"/>
      <c r="BT225" s="1782"/>
      <c r="BU225" s="1782"/>
      <c r="BV225" s="1782"/>
      <c r="BW225" s="1782"/>
      <c r="BX225" s="1783"/>
      <c r="BY225" s="1760"/>
      <c r="BZ225" s="1760"/>
      <c r="CA225" s="1747"/>
      <c r="CB225" s="243"/>
      <c r="CC225" s="1736">
        <f>SUM(CC227/60)</f>
        <v>0</v>
      </c>
      <c r="CD225" s="1736"/>
      <c r="CE225" s="1736"/>
      <c r="CF225" s="23"/>
      <c r="CG225" s="1737" t="s">
        <v>686</v>
      </c>
      <c r="CH225" s="1738"/>
      <c r="CI225" s="1738"/>
      <c r="CJ225" s="1738"/>
      <c r="CK225" s="1738"/>
      <c r="CL225" s="1738"/>
      <c r="CM225" s="1738"/>
      <c r="CN225" s="1738"/>
      <c r="CO225" s="1738"/>
      <c r="CP225" s="1738"/>
      <c r="CQ225" s="1738"/>
      <c r="CR225" s="1738"/>
      <c r="CS225" s="1738"/>
      <c r="CT225" s="1738"/>
      <c r="CU225" s="1738"/>
      <c r="CV225" s="1738"/>
      <c r="CW225" s="1738"/>
      <c r="CX225" s="1738"/>
      <c r="CY225" s="1739"/>
      <c r="CZ225" s="1740" t="s">
        <v>687</v>
      </c>
      <c r="DA225" s="1741"/>
      <c r="DB225" s="1741"/>
      <c r="DC225" s="1741"/>
      <c r="DD225" s="1741"/>
      <c r="DE225" s="1741"/>
      <c r="DF225" s="1741"/>
      <c r="DG225" s="1741"/>
      <c r="DH225" s="1741"/>
      <c r="DI225" s="1741"/>
      <c r="DJ225" s="1741"/>
      <c r="DK225" s="1741"/>
      <c r="DL225" s="1741"/>
      <c r="DM225" s="1741"/>
      <c r="DN225" s="1741"/>
      <c r="DO225" s="1741"/>
      <c r="DP225" s="1741"/>
      <c r="DQ225" s="1741"/>
      <c r="DR225" s="1742"/>
      <c r="DS225" s="292"/>
      <c r="DT225" s="292"/>
      <c r="DU225" s="418"/>
      <c r="DV225" s="292"/>
      <c r="DW225" s="292"/>
      <c r="DX225" s="292"/>
      <c r="DY225" s="245"/>
      <c r="DZ225" s="245"/>
      <c r="EA225" s="245"/>
      <c r="EB225" s="245"/>
      <c r="EC225" s="245"/>
      <c r="ED225" s="245"/>
      <c r="EE225" s="245"/>
      <c r="EF225" s="245"/>
      <c r="EG225" s="245"/>
      <c r="EH225" s="263"/>
      <c r="EI225" s="263"/>
    </row>
    <row r="226" spans="1:139" s="267" customFormat="1" ht="28.5" customHeight="1" x14ac:dyDescent="0.2">
      <c r="A226" s="1758"/>
      <c r="B226" s="1774"/>
      <c r="C226" s="1761"/>
      <c r="D226" s="1773"/>
      <c r="E226" s="265">
        <v>1</v>
      </c>
      <c r="F226" s="265">
        <v>2</v>
      </c>
      <c r="G226" s="265">
        <v>3</v>
      </c>
      <c r="H226" s="265">
        <v>4</v>
      </c>
      <c r="I226" s="265">
        <v>5</v>
      </c>
      <c r="J226" s="265">
        <v>6</v>
      </c>
      <c r="K226" s="265">
        <v>7</v>
      </c>
      <c r="L226" s="265">
        <v>8</v>
      </c>
      <c r="M226" s="265">
        <v>9</v>
      </c>
      <c r="N226" s="265">
        <v>10</v>
      </c>
      <c r="O226" s="265">
        <v>11</v>
      </c>
      <c r="P226" s="265">
        <v>12</v>
      </c>
      <c r="Q226" s="265"/>
      <c r="R226" s="265"/>
      <c r="S226" s="265"/>
      <c r="T226" s="265"/>
      <c r="U226" s="265"/>
      <c r="V226" s="265"/>
      <c r="W226" s="265" t="s">
        <v>21</v>
      </c>
      <c r="X226" s="1761"/>
      <c r="Y226" s="1750"/>
      <c r="Z226" s="265">
        <v>1</v>
      </c>
      <c r="AA226" s="265">
        <v>2</v>
      </c>
      <c r="AB226" s="265">
        <v>3</v>
      </c>
      <c r="AC226" s="265">
        <v>4</v>
      </c>
      <c r="AD226" s="265">
        <v>5</v>
      </c>
      <c r="AE226" s="265">
        <v>6</v>
      </c>
      <c r="AF226" s="265">
        <v>7</v>
      </c>
      <c r="AG226" s="265">
        <v>8</v>
      </c>
      <c r="AH226" s="265">
        <v>9</v>
      </c>
      <c r="AI226" s="265">
        <v>10</v>
      </c>
      <c r="AJ226" s="265">
        <v>11</v>
      </c>
      <c r="AK226" s="265">
        <v>12</v>
      </c>
      <c r="AL226" s="266"/>
      <c r="AM226" s="266"/>
      <c r="AN226" s="266"/>
      <c r="AO226" s="266"/>
      <c r="AP226" s="266"/>
      <c r="AQ226" s="266"/>
      <c r="AR226" s="1750"/>
      <c r="AS226" s="1351">
        <v>1</v>
      </c>
      <c r="AT226" s="265">
        <v>2</v>
      </c>
      <c r="AU226" s="265">
        <v>3</v>
      </c>
      <c r="AV226" s="265">
        <v>4</v>
      </c>
      <c r="AW226" s="265">
        <v>5</v>
      </c>
      <c r="AX226" s="265">
        <v>6</v>
      </c>
      <c r="AY226" s="265">
        <v>7</v>
      </c>
      <c r="AZ226" s="265">
        <v>8</v>
      </c>
      <c r="BA226" s="265">
        <v>9</v>
      </c>
      <c r="BB226" s="265">
        <v>10</v>
      </c>
      <c r="BC226" s="265">
        <v>11</v>
      </c>
      <c r="BD226" s="265">
        <v>12</v>
      </c>
      <c r="BE226" s="265"/>
      <c r="BF226" s="265"/>
      <c r="BG226" s="265"/>
      <c r="BH226" s="265"/>
      <c r="BI226" s="265"/>
      <c r="BJ226" s="265"/>
      <c r="BK226" s="265" t="s">
        <v>13</v>
      </c>
      <c r="BL226" s="266">
        <v>1</v>
      </c>
      <c r="BM226" s="266">
        <v>2</v>
      </c>
      <c r="BN226" s="266">
        <v>3</v>
      </c>
      <c r="BO226" s="1360">
        <v>4</v>
      </c>
      <c r="BP226" s="266">
        <v>5</v>
      </c>
      <c r="BQ226" s="266">
        <v>6</v>
      </c>
      <c r="BR226" s="266">
        <v>7</v>
      </c>
      <c r="BS226" s="266">
        <v>8</v>
      </c>
      <c r="BT226" s="266">
        <v>9</v>
      </c>
      <c r="BU226" s="266">
        <v>10</v>
      </c>
      <c r="BV226" s="266">
        <v>11</v>
      </c>
      <c r="BW226" s="266">
        <v>12</v>
      </c>
      <c r="BX226" s="265" t="s">
        <v>13</v>
      </c>
      <c r="BY226" s="1761"/>
      <c r="BZ226" s="1761"/>
      <c r="CA226" s="1748"/>
      <c r="CC226" s="1743" t="s">
        <v>19</v>
      </c>
      <c r="CD226" s="1744"/>
      <c r="CE226" s="1745"/>
      <c r="CF226" s="621"/>
      <c r="CG226" s="173">
        <v>1</v>
      </c>
      <c r="CH226" s="173">
        <v>2</v>
      </c>
      <c r="CI226" s="173">
        <v>3</v>
      </c>
      <c r="CJ226" s="173">
        <v>4</v>
      </c>
      <c r="CK226" s="173">
        <v>5</v>
      </c>
      <c r="CL226" s="173">
        <v>6</v>
      </c>
      <c r="CM226" s="173">
        <v>7</v>
      </c>
      <c r="CN226" s="173">
        <v>8</v>
      </c>
      <c r="CO226" s="173">
        <v>9</v>
      </c>
      <c r="CP226" s="173">
        <v>10</v>
      </c>
      <c r="CQ226" s="173">
        <v>11</v>
      </c>
      <c r="CR226" s="173"/>
      <c r="CS226" s="173"/>
      <c r="CT226" s="173"/>
      <c r="CU226" s="173"/>
      <c r="CV226" s="173"/>
      <c r="CW226" s="173"/>
      <c r="CX226" s="173"/>
      <c r="CY226" s="26" t="s">
        <v>13</v>
      </c>
      <c r="CZ226" s="173">
        <v>1</v>
      </c>
      <c r="DA226" s="173">
        <v>2</v>
      </c>
      <c r="DB226" s="173">
        <v>3</v>
      </c>
      <c r="DC226" s="173">
        <v>4</v>
      </c>
      <c r="DD226" s="173">
        <v>5</v>
      </c>
      <c r="DE226" s="173">
        <v>6</v>
      </c>
      <c r="DF226" s="173">
        <v>7</v>
      </c>
      <c r="DG226" s="173">
        <v>8</v>
      </c>
      <c r="DH226" s="173">
        <v>9</v>
      </c>
      <c r="DI226" s="173">
        <v>10</v>
      </c>
      <c r="DJ226" s="173">
        <v>11</v>
      </c>
      <c r="DK226" s="173"/>
      <c r="DL226" s="173"/>
      <c r="DM226" s="173"/>
      <c r="DN226" s="173"/>
      <c r="DO226" s="173"/>
      <c r="DP226" s="173"/>
      <c r="DQ226" s="173"/>
      <c r="DR226" s="26" t="s">
        <v>13</v>
      </c>
      <c r="DS226" s="413"/>
      <c r="DT226" s="413"/>
      <c r="DU226" s="422"/>
      <c r="DV226" s="413"/>
      <c r="DW226" s="413"/>
      <c r="DX226" s="413"/>
      <c r="DY226" s="395"/>
      <c r="DZ226" s="395"/>
      <c r="EA226" s="395"/>
      <c r="EB226" s="395"/>
      <c r="EC226" s="395"/>
      <c r="ED226" s="395"/>
      <c r="EE226" s="395"/>
      <c r="EF226" s="395"/>
      <c r="EG226" s="395"/>
      <c r="EH226" s="395"/>
      <c r="EI226" s="395"/>
    </row>
    <row r="227" spans="1:139" s="278" customFormat="1" ht="24.75" customHeight="1" x14ac:dyDescent="0.2">
      <c r="A227" s="786">
        <v>1</v>
      </c>
      <c r="B227" s="141" t="s">
        <v>384</v>
      </c>
      <c r="C227" s="281" t="s">
        <v>383</v>
      </c>
      <c r="D227" s="596">
        <v>10</v>
      </c>
      <c r="E227" s="992">
        <v>10</v>
      </c>
      <c r="F227" s="342"/>
      <c r="G227" s="270"/>
      <c r="H227" s="342"/>
      <c r="I227" s="576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3">
        <f t="shared" ref="W227:W243" si="760">SUM(E227:P227)</f>
        <v>10</v>
      </c>
      <c r="X227" s="597" t="s">
        <v>185</v>
      </c>
      <c r="Y227" s="787">
        <v>78000</v>
      </c>
      <c r="Z227" s="995">
        <v>58000</v>
      </c>
      <c r="AA227" s="789"/>
      <c r="AB227" s="789"/>
      <c r="AC227" s="789"/>
      <c r="AD227" s="789"/>
      <c r="AE227" s="569"/>
      <c r="AF227" s="789"/>
      <c r="AG227" s="789"/>
      <c r="AH227" s="789"/>
      <c r="AI227" s="789"/>
      <c r="AJ227" s="789"/>
      <c r="AK227" s="789"/>
      <c r="AL227" s="789"/>
      <c r="AM227" s="789"/>
      <c r="AN227" s="789"/>
      <c r="AO227" s="789"/>
      <c r="AP227" s="789"/>
      <c r="AQ227" s="789"/>
      <c r="AR227" s="570">
        <f>SUM(W227*Y227)</f>
        <v>780000</v>
      </c>
      <c r="AS227" s="1352">
        <f t="shared" ref="AS227:AS243" si="761">Z227*E227</f>
        <v>580000</v>
      </c>
      <c r="AT227" s="272">
        <f t="shared" ref="AT227:AT243" si="762">AA227*F227</f>
        <v>0</v>
      </c>
      <c r="AU227" s="272">
        <f t="shared" ref="AU227:AU243" si="763">AB227*G227</f>
        <v>0</v>
      </c>
      <c r="AV227" s="272">
        <f t="shared" ref="AV227:AV243" si="764">AC227*H227</f>
        <v>0</v>
      </c>
      <c r="AW227" s="402">
        <f t="shared" ref="AW227:AW243" si="765">AD227*I227</f>
        <v>0</v>
      </c>
      <c r="AX227" s="272">
        <f t="shared" ref="AX227:AX243" si="766">AE227*J227</f>
        <v>0</v>
      </c>
      <c r="AY227" s="272">
        <f t="shared" ref="AY227:AY243" si="767">AF227*K227</f>
        <v>0</v>
      </c>
      <c r="AZ227" s="272">
        <f t="shared" ref="AZ227:AZ243" si="768">AG227*L227</f>
        <v>0</v>
      </c>
      <c r="BA227" s="272">
        <f t="shared" ref="BA227:BA243" si="769">AH227*M227</f>
        <v>0</v>
      </c>
      <c r="BB227" s="272">
        <f t="shared" ref="BB227:BB243" si="770">AI227*N227</f>
        <v>0</v>
      </c>
      <c r="BC227" s="272">
        <f t="shared" ref="BC227:BC243" si="771">AJ227*O227</f>
        <v>0</v>
      </c>
      <c r="BD227" s="272">
        <f t="shared" ref="BD227:BD243" si="772">AK227*P227</f>
        <v>0</v>
      </c>
      <c r="BE227" s="272"/>
      <c r="BF227" s="272"/>
      <c r="BG227" s="272"/>
      <c r="BH227" s="272"/>
      <c r="BI227" s="272"/>
      <c r="BJ227" s="272"/>
      <c r="BK227" s="273">
        <f>SUM(AS227:BD227)</f>
        <v>580000</v>
      </c>
      <c r="BL227" s="272">
        <f>SUM(AS227*3%)</f>
        <v>17400</v>
      </c>
      <c r="BM227" s="272">
        <f t="shared" ref="BM227:BW227" si="773">SUM(AT227*14%)</f>
        <v>0</v>
      </c>
      <c r="BN227" s="272">
        <f t="shared" si="773"/>
        <v>0</v>
      </c>
      <c r="BO227" s="1331">
        <f t="shared" si="773"/>
        <v>0</v>
      </c>
      <c r="BP227" s="272">
        <f t="shared" si="773"/>
        <v>0</v>
      </c>
      <c r="BQ227" s="272">
        <f t="shared" si="773"/>
        <v>0</v>
      </c>
      <c r="BR227" s="272">
        <f t="shared" si="773"/>
        <v>0</v>
      </c>
      <c r="BS227" s="272">
        <f t="shared" si="773"/>
        <v>0</v>
      </c>
      <c r="BT227" s="272">
        <f t="shared" si="773"/>
        <v>0</v>
      </c>
      <c r="BU227" s="272">
        <f t="shared" si="773"/>
        <v>0</v>
      </c>
      <c r="BV227" s="272">
        <f t="shared" si="773"/>
        <v>0</v>
      </c>
      <c r="BW227" s="272">
        <f t="shared" si="773"/>
        <v>0</v>
      </c>
      <c r="BX227" s="299">
        <f>SUM(BL227:BW227)</f>
        <v>17400</v>
      </c>
      <c r="BY227" s="790">
        <f>AR227-BK227-BX227</f>
        <v>182600</v>
      </c>
      <c r="BZ227" s="791">
        <f t="shared" ref="BZ227:BZ243" si="774">Y227*D227</f>
        <v>780000</v>
      </c>
      <c r="CA227" s="792">
        <f>BZ227-BK227-BX227</f>
        <v>182600</v>
      </c>
      <c r="CB227" s="571">
        <f t="shared" ref="CB227:CB243" si="775">SUM(W227/D227)</f>
        <v>1</v>
      </c>
      <c r="CC227" s="1081"/>
      <c r="CD227" s="1081"/>
      <c r="CE227" s="1083"/>
      <c r="CF227" s="1084"/>
      <c r="CG227" s="862"/>
      <c r="CH227" s="862"/>
      <c r="CI227" s="862"/>
      <c r="CJ227" s="862"/>
      <c r="CK227" s="862"/>
      <c r="CL227" s="862"/>
      <c r="CM227" s="862"/>
      <c r="CN227" s="862"/>
      <c r="CO227" s="1081">
        <f t="shared" ref="CO227:CO228" si="776">SUM(AZ227*12.5%)</f>
        <v>0</v>
      </c>
      <c r="CP227" s="862"/>
      <c r="CQ227" s="862"/>
      <c r="CR227" s="862"/>
      <c r="CS227" s="862"/>
      <c r="CT227" s="862"/>
      <c r="CU227" s="862"/>
      <c r="CV227" s="862"/>
      <c r="CW227" s="862"/>
      <c r="CX227" s="862"/>
      <c r="CY227" s="73">
        <f t="shared" ref="CY227:CY249" si="777">SUM(CG227:CX227)</f>
        <v>0</v>
      </c>
      <c r="CZ227" s="862"/>
      <c r="DA227" s="862"/>
      <c r="DB227" s="862"/>
      <c r="DC227" s="862"/>
      <c r="DD227" s="862"/>
      <c r="DE227" s="862"/>
      <c r="DF227" s="862"/>
      <c r="DG227" s="862"/>
      <c r="DH227" s="1081"/>
      <c r="DI227" s="862"/>
      <c r="DJ227" s="862"/>
      <c r="DK227" s="862"/>
      <c r="DL227" s="862"/>
      <c r="DM227" s="862"/>
      <c r="DN227" s="862"/>
      <c r="DO227" s="862"/>
      <c r="DP227" s="862"/>
      <c r="DQ227" s="862"/>
      <c r="DR227" s="73">
        <f t="shared" ref="DR227:DR249" si="778">SUM(CZ227:DQ227)</f>
        <v>0</v>
      </c>
      <c r="DS227" s="412"/>
      <c r="DT227" s="412"/>
      <c r="DU227" s="420"/>
      <c r="DV227" s="412"/>
      <c r="DW227" s="412"/>
      <c r="DX227" s="412"/>
      <c r="DY227" s="277"/>
      <c r="DZ227" s="277"/>
      <c r="EA227" s="277"/>
      <c r="EB227" s="277"/>
      <c r="EC227" s="277"/>
      <c r="ED227" s="277"/>
      <c r="EE227" s="277"/>
      <c r="EF227" s="277"/>
      <c r="EG227" s="277"/>
      <c r="EH227" s="277"/>
      <c r="EI227" s="277"/>
    </row>
    <row r="228" spans="1:139" s="278" customFormat="1" ht="24.75" customHeight="1" x14ac:dyDescent="0.2">
      <c r="A228" s="786">
        <f>A227+1</f>
        <v>2</v>
      </c>
      <c r="B228" s="141" t="s">
        <v>155</v>
      </c>
      <c r="C228" s="281" t="s">
        <v>383</v>
      </c>
      <c r="D228" s="568">
        <v>3</v>
      </c>
      <c r="E228" s="992">
        <v>3</v>
      </c>
      <c r="F228" s="342"/>
      <c r="G228" s="270"/>
      <c r="H228" s="342"/>
      <c r="I228" s="576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3">
        <f t="shared" si="760"/>
        <v>3</v>
      </c>
      <c r="X228" s="598" t="s">
        <v>130</v>
      </c>
      <c r="Y228" s="599">
        <v>124900</v>
      </c>
      <c r="Z228" s="995">
        <v>110000</v>
      </c>
      <c r="AA228" s="789"/>
      <c r="AB228" s="789"/>
      <c r="AC228" s="789"/>
      <c r="AD228" s="789"/>
      <c r="AE228" s="569"/>
      <c r="AF228" s="789"/>
      <c r="AG228" s="789"/>
      <c r="AH228" s="789"/>
      <c r="AI228" s="789"/>
      <c r="AJ228" s="789"/>
      <c r="AK228" s="789"/>
      <c r="AL228" s="789"/>
      <c r="AM228" s="789"/>
      <c r="AN228" s="789"/>
      <c r="AO228" s="789"/>
      <c r="AP228" s="789"/>
      <c r="AQ228" s="789"/>
      <c r="AR228" s="570">
        <f t="shared" ref="AR228:AR241" si="779">SUM(W228*Y228)</f>
        <v>374700</v>
      </c>
      <c r="AS228" s="1352">
        <f t="shared" si="761"/>
        <v>330000</v>
      </c>
      <c r="AT228" s="272">
        <f t="shared" si="762"/>
        <v>0</v>
      </c>
      <c r="AU228" s="272">
        <f t="shared" si="763"/>
        <v>0</v>
      </c>
      <c r="AV228" s="272">
        <f t="shared" si="764"/>
        <v>0</v>
      </c>
      <c r="AW228" s="402">
        <f t="shared" si="765"/>
        <v>0</v>
      </c>
      <c r="AX228" s="272">
        <f t="shared" si="766"/>
        <v>0</v>
      </c>
      <c r="AY228" s="272">
        <f t="shared" si="767"/>
        <v>0</v>
      </c>
      <c r="AZ228" s="272">
        <f t="shared" si="768"/>
        <v>0</v>
      </c>
      <c r="BA228" s="272">
        <f t="shared" si="769"/>
        <v>0</v>
      </c>
      <c r="BB228" s="272">
        <f t="shared" si="770"/>
        <v>0</v>
      </c>
      <c r="BC228" s="272">
        <f t="shared" si="771"/>
        <v>0</v>
      </c>
      <c r="BD228" s="272">
        <f t="shared" si="772"/>
        <v>0</v>
      </c>
      <c r="BE228" s="272"/>
      <c r="BF228" s="272"/>
      <c r="BG228" s="272"/>
      <c r="BH228" s="272"/>
      <c r="BI228" s="272"/>
      <c r="BJ228" s="272"/>
      <c r="BK228" s="273">
        <f t="shared" ref="BK228:BK241" si="780">SUM(AS228:BD228)</f>
        <v>330000</v>
      </c>
      <c r="BL228" s="272">
        <f t="shared" ref="BL228:BL231" si="781">SUM(AS228*3%)</f>
        <v>9900</v>
      </c>
      <c r="BM228" s="272">
        <f t="shared" ref="BM228:BM241" si="782">SUM(AT228*14%)</f>
        <v>0</v>
      </c>
      <c r="BN228" s="272">
        <f t="shared" ref="BN228:BN240" si="783">SUM(AU228*14%)</f>
        <v>0</v>
      </c>
      <c r="BO228" s="1331">
        <f t="shared" ref="BO228:BO240" si="784">SUM(AV228*14%)</f>
        <v>0</v>
      </c>
      <c r="BP228" s="272">
        <f t="shared" ref="BP228:BP241" si="785">SUM(AW228*14%)</f>
        <v>0</v>
      </c>
      <c r="BQ228" s="272">
        <f t="shared" ref="BQ228:BQ241" si="786">SUM(AX228*14%)</f>
        <v>0</v>
      </c>
      <c r="BR228" s="272">
        <f t="shared" ref="BR228:BR241" si="787">SUM(AY228*14%)</f>
        <v>0</v>
      </c>
      <c r="BS228" s="272">
        <f t="shared" ref="BS228:BS241" si="788">SUM(AZ228*14%)</f>
        <v>0</v>
      </c>
      <c r="BT228" s="272">
        <f t="shared" ref="BT228:BT241" si="789">SUM(BA228*14%)</f>
        <v>0</v>
      </c>
      <c r="BU228" s="272">
        <f t="shared" ref="BU228:BU241" si="790">SUM(BB228*14%)</f>
        <v>0</v>
      </c>
      <c r="BV228" s="272">
        <f t="shared" ref="BV228:BV241" si="791">SUM(BC228*14%)</f>
        <v>0</v>
      </c>
      <c r="BW228" s="272">
        <f t="shared" ref="BW228:BW241" si="792">SUM(BD228*14%)</f>
        <v>0</v>
      </c>
      <c r="BX228" s="299">
        <f t="shared" ref="BX228:BX241" si="793">SUM(BL228:BW228)</f>
        <v>9900</v>
      </c>
      <c r="BY228" s="790">
        <f t="shared" ref="BY228:BY241" si="794">AR228-BK228-BX228</f>
        <v>34800</v>
      </c>
      <c r="BZ228" s="791">
        <f t="shared" si="774"/>
        <v>374700</v>
      </c>
      <c r="CA228" s="792">
        <f t="shared" ref="CA228:CA240" si="795">BZ228-BK228-BX228</f>
        <v>34800</v>
      </c>
      <c r="CB228" s="571">
        <f t="shared" si="775"/>
        <v>1</v>
      </c>
      <c r="CC228" s="1081"/>
      <c r="CD228" s="1081"/>
      <c r="CE228" s="1083"/>
      <c r="CF228" s="1084"/>
      <c r="CG228" s="862"/>
      <c r="CH228" s="862"/>
      <c r="CI228" s="862"/>
      <c r="CJ228" s="862"/>
      <c r="CK228" s="862"/>
      <c r="CL228" s="862"/>
      <c r="CM228" s="862"/>
      <c r="CN228" s="862"/>
      <c r="CO228" s="1081">
        <f t="shared" si="776"/>
        <v>0</v>
      </c>
      <c r="CP228" s="862"/>
      <c r="CQ228" s="862"/>
      <c r="CR228" s="862"/>
      <c r="CS228" s="862"/>
      <c r="CT228" s="862"/>
      <c r="CU228" s="862"/>
      <c r="CV228" s="862"/>
      <c r="CW228" s="862"/>
      <c r="CX228" s="862"/>
      <c r="CY228" s="73">
        <f t="shared" si="777"/>
        <v>0</v>
      </c>
      <c r="CZ228" s="862"/>
      <c r="DA228" s="862"/>
      <c r="DB228" s="862"/>
      <c r="DC228" s="862"/>
      <c r="DD228" s="862"/>
      <c r="DE228" s="862"/>
      <c r="DF228" s="862"/>
      <c r="DG228" s="862"/>
      <c r="DH228" s="1081"/>
      <c r="DI228" s="862"/>
      <c r="DJ228" s="862"/>
      <c r="DK228" s="862"/>
      <c r="DL228" s="862"/>
      <c r="DM228" s="862"/>
      <c r="DN228" s="862"/>
      <c r="DO228" s="862"/>
      <c r="DP228" s="862"/>
      <c r="DQ228" s="862"/>
      <c r="DR228" s="73">
        <f t="shared" si="778"/>
        <v>0</v>
      </c>
      <c r="DS228" s="412"/>
      <c r="DT228" s="412"/>
      <c r="DU228" s="420"/>
      <c r="DV228" s="412"/>
      <c r="DW228" s="412"/>
      <c r="DX228" s="412"/>
      <c r="DY228" s="277"/>
      <c r="DZ228" s="277"/>
      <c r="EA228" s="277"/>
      <c r="EB228" s="277"/>
      <c r="EC228" s="277"/>
      <c r="ED228" s="277"/>
      <c r="EE228" s="277"/>
      <c r="EF228" s="277"/>
      <c r="EG228" s="277"/>
      <c r="EH228" s="277"/>
      <c r="EI228" s="277"/>
    </row>
    <row r="229" spans="1:139" s="278" customFormat="1" ht="24.75" customHeight="1" x14ac:dyDescent="0.2">
      <c r="A229" s="786">
        <f t="shared" ref="A229:A248" si="796">A228+1</f>
        <v>3</v>
      </c>
      <c r="B229" s="141" t="s">
        <v>156</v>
      </c>
      <c r="C229" s="281" t="s">
        <v>383</v>
      </c>
      <c r="D229" s="568">
        <v>2</v>
      </c>
      <c r="E229" s="992">
        <v>2</v>
      </c>
      <c r="F229" s="342"/>
      <c r="G229" s="270"/>
      <c r="H229" s="342"/>
      <c r="I229" s="576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3">
        <f t="shared" si="760"/>
        <v>2</v>
      </c>
      <c r="X229" s="598" t="s">
        <v>130</v>
      </c>
      <c r="Y229" s="599">
        <v>153200</v>
      </c>
      <c r="Z229" s="995">
        <v>110000</v>
      </c>
      <c r="AA229" s="789"/>
      <c r="AB229" s="789"/>
      <c r="AC229" s="789"/>
      <c r="AD229" s="789"/>
      <c r="AE229" s="569"/>
      <c r="AF229" s="789"/>
      <c r="AG229" s="789"/>
      <c r="AH229" s="789"/>
      <c r="AI229" s="789"/>
      <c r="AJ229" s="789"/>
      <c r="AK229" s="789"/>
      <c r="AL229" s="789"/>
      <c r="AM229" s="789"/>
      <c r="AN229" s="789"/>
      <c r="AO229" s="789"/>
      <c r="AP229" s="789"/>
      <c r="AQ229" s="789"/>
      <c r="AR229" s="570">
        <f t="shared" si="779"/>
        <v>306400</v>
      </c>
      <c r="AS229" s="1352">
        <f t="shared" si="761"/>
        <v>220000</v>
      </c>
      <c r="AT229" s="272">
        <f t="shared" si="762"/>
        <v>0</v>
      </c>
      <c r="AU229" s="272">
        <f t="shared" si="763"/>
        <v>0</v>
      </c>
      <c r="AV229" s="272">
        <f t="shared" si="764"/>
        <v>0</v>
      </c>
      <c r="AW229" s="402">
        <f t="shared" si="765"/>
        <v>0</v>
      </c>
      <c r="AX229" s="272">
        <f t="shared" si="766"/>
        <v>0</v>
      </c>
      <c r="AY229" s="272">
        <f t="shared" si="767"/>
        <v>0</v>
      </c>
      <c r="AZ229" s="272">
        <f t="shared" si="768"/>
        <v>0</v>
      </c>
      <c r="BA229" s="272">
        <f t="shared" si="769"/>
        <v>0</v>
      </c>
      <c r="BB229" s="272">
        <f t="shared" si="770"/>
        <v>0</v>
      </c>
      <c r="BC229" s="272">
        <f t="shared" si="771"/>
        <v>0</v>
      </c>
      <c r="BD229" s="272">
        <f t="shared" si="772"/>
        <v>0</v>
      </c>
      <c r="BE229" s="272"/>
      <c r="BF229" s="272"/>
      <c r="BG229" s="272"/>
      <c r="BH229" s="272"/>
      <c r="BI229" s="272"/>
      <c r="BJ229" s="272"/>
      <c r="BK229" s="273">
        <f t="shared" si="780"/>
        <v>220000</v>
      </c>
      <c r="BL229" s="272">
        <f t="shared" si="781"/>
        <v>6600</v>
      </c>
      <c r="BM229" s="272">
        <f t="shared" si="782"/>
        <v>0</v>
      </c>
      <c r="BN229" s="272">
        <f t="shared" si="783"/>
        <v>0</v>
      </c>
      <c r="BO229" s="1331">
        <f t="shared" si="784"/>
        <v>0</v>
      </c>
      <c r="BP229" s="272">
        <f t="shared" si="785"/>
        <v>0</v>
      </c>
      <c r="BQ229" s="272">
        <f t="shared" si="786"/>
        <v>0</v>
      </c>
      <c r="BR229" s="272">
        <f t="shared" si="787"/>
        <v>0</v>
      </c>
      <c r="BS229" s="272">
        <f t="shared" si="788"/>
        <v>0</v>
      </c>
      <c r="BT229" s="272">
        <f t="shared" si="789"/>
        <v>0</v>
      </c>
      <c r="BU229" s="272">
        <f t="shared" si="790"/>
        <v>0</v>
      </c>
      <c r="BV229" s="272">
        <f t="shared" si="791"/>
        <v>0</v>
      </c>
      <c r="BW229" s="272">
        <f t="shared" si="792"/>
        <v>0</v>
      </c>
      <c r="BX229" s="299">
        <f t="shared" si="793"/>
        <v>6600</v>
      </c>
      <c r="BY229" s="790">
        <f t="shared" si="794"/>
        <v>79800</v>
      </c>
      <c r="BZ229" s="791">
        <f t="shared" si="774"/>
        <v>306400</v>
      </c>
      <c r="CA229" s="792">
        <f t="shared" si="795"/>
        <v>79800</v>
      </c>
      <c r="CB229" s="571">
        <f t="shared" si="775"/>
        <v>1</v>
      </c>
      <c r="CC229" s="1081"/>
      <c r="CD229" s="1081"/>
      <c r="CE229" s="1083"/>
      <c r="CF229" s="1084"/>
      <c r="CG229" s="862"/>
      <c r="CH229" s="862"/>
      <c r="CI229" s="862"/>
      <c r="CJ229" s="862"/>
      <c r="CK229" s="862"/>
      <c r="CL229" s="862"/>
      <c r="CM229" s="862"/>
      <c r="CN229" s="862"/>
      <c r="CO229" s="1081">
        <f t="shared" ref="CO229:CO249" si="797">SUM(AZ229*12.5%)</f>
        <v>0</v>
      </c>
      <c r="CP229" s="862"/>
      <c r="CQ229" s="862"/>
      <c r="CR229" s="862"/>
      <c r="CS229" s="862"/>
      <c r="CT229" s="862"/>
      <c r="CU229" s="862"/>
      <c r="CV229" s="862"/>
      <c r="CW229" s="862"/>
      <c r="CX229" s="862"/>
      <c r="CY229" s="73">
        <f t="shared" si="777"/>
        <v>0</v>
      </c>
      <c r="CZ229" s="862"/>
      <c r="DA229" s="862"/>
      <c r="DB229" s="862"/>
      <c r="DC229" s="862"/>
      <c r="DD229" s="862"/>
      <c r="DE229" s="862"/>
      <c r="DF229" s="862"/>
      <c r="DG229" s="862"/>
      <c r="DH229" s="1081"/>
      <c r="DI229" s="862"/>
      <c r="DJ229" s="862"/>
      <c r="DK229" s="862"/>
      <c r="DL229" s="862"/>
      <c r="DM229" s="862"/>
      <c r="DN229" s="862"/>
      <c r="DO229" s="862"/>
      <c r="DP229" s="862"/>
      <c r="DQ229" s="862"/>
      <c r="DR229" s="73">
        <f t="shared" si="778"/>
        <v>0</v>
      </c>
      <c r="DS229" s="412"/>
      <c r="DT229" s="412"/>
      <c r="DU229" s="420"/>
      <c r="DV229" s="412"/>
      <c r="DW229" s="412"/>
      <c r="DX229" s="412"/>
      <c r="DY229" s="277"/>
      <c r="DZ229" s="277"/>
      <c r="EA229" s="277"/>
      <c r="EB229" s="277"/>
      <c r="EC229" s="277"/>
      <c r="ED229" s="277"/>
      <c r="EE229" s="277"/>
      <c r="EF229" s="277"/>
      <c r="EG229" s="277"/>
      <c r="EH229" s="277"/>
      <c r="EI229" s="277"/>
    </row>
    <row r="230" spans="1:139" s="278" customFormat="1" ht="24.75" customHeight="1" x14ac:dyDescent="0.2">
      <c r="A230" s="786">
        <f t="shared" si="796"/>
        <v>4</v>
      </c>
      <c r="B230" s="141" t="s">
        <v>157</v>
      </c>
      <c r="C230" s="281" t="s">
        <v>383</v>
      </c>
      <c r="D230" s="568">
        <v>2</v>
      </c>
      <c r="E230" s="992">
        <v>2</v>
      </c>
      <c r="F230" s="342"/>
      <c r="G230" s="270"/>
      <c r="H230" s="342"/>
      <c r="I230" s="576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3">
        <f t="shared" si="760"/>
        <v>2</v>
      </c>
      <c r="X230" s="598" t="s">
        <v>130</v>
      </c>
      <c r="Y230" s="599">
        <v>153200</v>
      </c>
      <c r="Z230" s="995">
        <v>110000</v>
      </c>
      <c r="AA230" s="789"/>
      <c r="AB230" s="789"/>
      <c r="AC230" s="789"/>
      <c r="AD230" s="789"/>
      <c r="AE230" s="569"/>
      <c r="AF230" s="789"/>
      <c r="AG230" s="789"/>
      <c r="AH230" s="789"/>
      <c r="AI230" s="789"/>
      <c r="AJ230" s="789"/>
      <c r="AK230" s="789"/>
      <c r="AL230" s="789"/>
      <c r="AM230" s="789"/>
      <c r="AN230" s="789"/>
      <c r="AO230" s="789"/>
      <c r="AP230" s="789"/>
      <c r="AQ230" s="789"/>
      <c r="AR230" s="570">
        <f t="shared" si="779"/>
        <v>306400</v>
      </c>
      <c r="AS230" s="1352">
        <f t="shared" si="761"/>
        <v>220000</v>
      </c>
      <c r="AT230" s="272">
        <f t="shared" si="762"/>
        <v>0</v>
      </c>
      <c r="AU230" s="272">
        <f t="shared" si="763"/>
        <v>0</v>
      </c>
      <c r="AV230" s="272">
        <f t="shared" si="764"/>
        <v>0</v>
      </c>
      <c r="AW230" s="402">
        <f t="shared" si="765"/>
        <v>0</v>
      </c>
      <c r="AX230" s="272">
        <f t="shared" si="766"/>
        <v>0</v>
      </c>
      <c r="AY230" s="272">
        <f t="shared" si="767"/>
        <v>0</v>
      </c>
      <c r="AZ230" s="272">
        <f t="shared" si="768"/>
        <v>0</v>
      </c>
      <c r="BA230" s="272">
        <f t="shared" si="769"/>
        <v>0</v>
      </c>
      <c r="BB230" s="272">
        <f t="shared" si="770"/>
        <v>0</v>
      </c>
      <c r="BC230" s="272">
        <f t="shared" si="771"/>
        <v>0</v>
      </c>
      <c r="BD230" s="272">
        <f t="shared" si="772"/>
        <v>0</v>
      </c>
      <c r="BE230" s="272"/>
      <c r="BF230" s="272"/>
      <c r="BG230" s="272"/>
      <c r="BH230" s="272"/>
      <c r="BI230" s="272"/>
      <c r="BJ230" s="272"/>
      <c r="BK230" s="273">
        <f t="shared" si="780"/>
        <v>220000</v>
      </c>
      <c r="BL230" s="272">
        <f t="shared" si="781"/>
        <v>6600</v>
      </c>
      <c r="BM230" s="272">
        <f t="shared" si="782"/>
        <v>0</v>
      </c>
      <c r="BN230" s="272">
        <f t="shared" si="783"/>
        <v>0</v>
      </c>
      <c r="BO230" s="1331">
        <f t="shared" si="784"/>
        <v>0</v>
      </c>
      <c r="BP230" s="272">
        <f t="shared" si="785"/>
        <v>0</v>
      </c>
      <c r="BQ230" s="272">
        <f t="shared" si="786"/>
        <v>0</v>
      </c>
      <c r="BR230" s="272">
        <f t="shared" si="787"/>
        <v>0</v>
      </c>
      <c r="BS230" s="272">
        <f t="shared" si="788"/>
        <v>0</v>
      </c>
      <c r="BT230" s="272">
        <f t="shared" si="789"/>
        <v>0</v>
      </c>
      <c r="BU230" s="272">
        <f t="shared" si="790"/>
        <v>0</v>
      </c>
      <c r="BV230" s="272">
        <f t="shared" si="791"/>
        <v>0</v>
      </c>
      <c r="BW230" s="272">
        <f t="shared" si="792"/>
        <v>0</v>
      </c>
      <c r="BX230" s="299">
        <f t="shared" si="793"/>
        <v>6600</v>
      </c>
      <c r="BY230" s="790">
        <f t="shared" si="794"/>
        <v>79800</v>
      </c>
      <c r="BZ230" s="791">
        <f t="shared" si="774"/>
        <v>306400</v>
      </c>
      <c r="CA230" s="792">
        <f t="shared" si="795"/>
        <v>79800</v>
      </c>
      <c r="CB230" s="571">
        <f t="shared" si="775"/>
        <v>1</v>
      </c>
      <c r="CC230" s="1081"/>
      <c r="CD230" s="1081"/>
      <c r="CE230" s="1083"/>
      <c r="CF230" s="1084"/>
      <c r="CG230" s="862"/>
      <c r="CH230" s="862"/>
      <c r="CI230" s="862"/>
      <c r="CJ230" s="862"/>
      <c r="CK230" s="862"/>
      <c r="CL230" s="862"/>
      <c r="CM230" s="862"/>
      <c r="CN230" s="862"/>
      <c r="CO230" s="1081">
        <f t="shared" si="797"/>
        <v>0</v>
      </c>
      <c r="CP230" s="862"/>
      <c r="CQ230" s="862"/>
      <c r="CR230" s="862"/>
      <c r="CS230" s="862"/>
      <c r="CT230" s="862"/>
      <c r="CU230" s="862"/>
      <c r="CV230" s="862"/>
      <c r="CW230" s="862"/>
      <c r="CX230" s="862"/>
      <c r="CY230" s="73">
        <f t="shared" si="777"/>
        <v>0</v>
      </c>
      <c r="CZ230" s="862"/>
      <c r="DA230" s="862"/>
      <c r="DB230" s="862"/>
      <c r="DC230" s="862"/>
      <c r="DD230" s="862"/>
      <c r="DE230" s="862"/>
      <c r="DF230" s="862"/>
      <c r="DG230" s="862"/>
      <c r="DH230" s="1081"/>
      <c r="DI230" s="862"/>
      <c r="DJ230" s="862"/>
      <c r="DK230" s="862"/>
      <c r="DL230" s="862"/>
      <c r="DM230" s="862"/>
      <c r="DN230" s="862"/>
      <c r="DO230" s="862"/>
      <c r="DP230" s="862"/>
      <c r="DQ230" s="862"/>
      <c r="DR230" s="73">
        <f t="shared" si="778"/>
        <v>0</v>
      </c>
      <c r="DS230" s="412"/>
      <c r="DT230" s="412"/>
      <c r="DU230" s="420"/>
      <c r="DV230" s="412"/>
      <c r="DW230" s="412"/>
      <c r="DX230" s="412"/>
      <c r="DY230" s="277"/>
      <c r="DZ230" s="277"/>
      <c r="EA230" s="277"/>
      <c r="EB230" s="277"/>
      <c r="EC230" s="277"/>
      <c r="ED230" s="277"/>
      <c r="EE230" s="277"/>
      <c r="EF230" s="277"/>
      <c r="EG230" s="277"/>
      <c r="EH230" s="277"/>
      <c r="EI230" s="277"/>
    </row>
    <row r="231" spans="1:139" s="278" customFormat="1" ht="24.75" customHeight="1" x14ac:dyDescent="0.2">
      <c r="A231" s="786">
        <f t="shared" si="796"/>
        <v>5</v>
      </c>
      <c r="B231" s="141" t="s">
        <v>158</v>
      </c>
      <c r="C231" s="281" t="s">
        <v>383</v>
      </c>
      <c r="D231" s="568">
        <v>2</v>
      </c>
      <c r="E231" s="992">
        <v>2</v>
      </c>
      <c r="F231" s="342"/>
      <c r="G231" s="270"/>
      <c r="H231" s="342"/>
      <c r="I231" s="576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3">
        <f t="shared" si="760"/>
        <v>2</v>
      </c>
      <c r="X231" s="598" t="s">
        <v>130</v>
      </c>
      <c r="Y231" s="599">
        <v>153200</v>
      </c>
      <c r="Z231" s="995">
        <v>110000</v>
      </c>
      <c r="AA231" s="789"/>
      <c r="AB231" s="789"/>
      <c r="AC231" s="789"/>
      <c r="AD231" s="789"/>
      <c r="AE231" s="569"/>
      <c r="AF231" s="789"/>
      <c r="AG231" s="789"/>
      <c r="AH231" s="789"/>
      <c r="AI231" s="789"/>
      <c r="AJ231" s="789"/>
      <c r="AK231" s="789"/>
      <c r="AL231" s="789"/>
      <c r="AM231" s="789"/>
      <c r="AN231" s="789"/>
      <c r="AO231" s="789"/>
      <c r="AP231" s="789"/>
      <c r="AQ231" s="789"/>
      <c r="AR231" s="570">
        <f t="shared" si="779"/>
        <v>306400</v>
      </c>
      <c r="AS231" s="1352">
        <f t="shared" si="761"/>
        <v>220000</v>
      </c>
      <c r="AT231" s="272">
        <f t="shared" si="762"/>
        <v>0</v>
      </c>
      <c r="AU231" s="272">
        <f t="shared" si="763"/>
        <v>0</v>
      </c>
      <c r="AV231" s="272">
        <f t="shared" si="764"/>
        <v>0</v>
      </c>
      <c r="AW231" s="402">
        <f t="shared" si="765"/>
        <v>0</v>
      </c>
      <c r="AX231" s="272">
        <f t="shared" si="766"/>
        <v>0</v>
      </c>
      <c r="AY231" s="272">
        <f t="shared" si="767"/>
        <v>0</v>
      </c>
      <c r="AZ231" s="272">
        <f t="shared" si="768"/>
        <v>0</v>
      </c>
      <c r="BA231" s="272">
        <f t="shared" si="769"/>
        <v>0</v>
      </c>
      <c r="BB231" s="272">
        <f t="shared" si="770"/>
        <v>0</v>
      </c>
      <c r="BC231" s="272">
        <f t="shared" si="771"/>
        <v>0</v>
      </c>
      <c r="BD231" s="272">
        <f t="shared" si="772"/>
        <v>0</v>
      </c>
      <c r="BE231" s="272"/>
      <c r="BF231" s="272"/>
      <c r="BG231" s="272"/>
      <c r="BH231" s="272"/>
      <c r="BI231" s="272"/>
      <c r="BJ231" s="272"/>
      <c r="BK231" s="273">
        <f t="shared" si="780"/>
        <v>220000</v>
      </c>
      <c r="BL231" s="272">
        <f t="shared" si="781"/>
        <v>6600</v>
      </c>
      <c r="BM231" s="272">
        <f t="shared" si="782"/>
        <v>0</v>
      </c>
      <c r="BN231" s="272">
        <f t="shared" si="783"/>
        <v>0</v>
      </c>
      <c r="BO231" s="1331">
        <f t="shared" si="784"/>
        <v>0</v>
      </c>
      <c r="BP231" s="272">
        <f t="shared" si="785"/>
        <v>0</v>
      </c>
      <c r="BQ231" s="272">
        <f t="shared" si="786"/>
        <v>0</v>
      </c>
      <c r="BR231" s="272">
        <f t="shared" si="787"/>
        <v>0</v>
      </c>
      <c r="BS231" s="272">
        <f t="shared" si="788"/>
        <v>0</v>
      </c>
      <c r="BT231" s="272">
        <f t="shared" si="789"/>
        <v>0</v>
      </c>
      <c r="BU231" s="272">
        <f t="shared" si="790"/>
        <v>0</v>
      </c>
      <c r="BV231" s="272">
        <f t="shared" si="791"/>
        <v>0</v>
      </c>
      <c r="BW231" s="272">
        <f t="shared" si="792"/>
        <v>0</v>
      </c>
      <c r="BX231" s="299">
        <f t="shared" si="793"/>
        <v>6600</v>
      </c>
      <c r="BY231" s="790">
        <f t="shared" si="794"/>
        <v>79800</v>
      </c>
      <c r="BZ231" s="791">
        <f t="shared" si="774"/>
        <v>306400</v>
      </c>
      <c r="CA231" s="792">
        <f t="shared" si="795"/>
        <v>79800</v>
      </c>
      <c r="CB231" s="571">
        <f t="shared" si="775"/>
        <v>1</v>
      </c>
      <c r="CC231" s="1081"/>
      <c r="CD231" s="1081"/>
      <c r="CE231" s="1083"/>
      <c r="CF231" s="1084"/>
      <c r="CG231" s="862"/>
      <c r="CH231" s="862"/>
      <c r="CI231" s="862"/>
      <c r="CJ231" s="862"/>
      <c r="CK231" s="862"/>
      <c r="CL231" s="862"/>
      <c r="CM231" s="862"/>
      <c r="CN231" s="862"/>
      <c r="CO231" s="1081">
        <f t="shared" si="797"/>
        <v>0</v>
      </c>
      <c r="CP231" s="862"/>
      <c r="CQ231" s="862"/>
      <c r="CR231" s="862"/>
      <c r="CS231" s="862"/>
      <c r="CT231" s="862"/>
      <c r="CU231" s="862"/>
      <c r="CV231" s="862"/>
      <c r="CW231" s="862"/>
      <c r="CX231" s="862"/>
      <c r="CY231" s="73">
        <f t="shared" si="777"/>
        <v>0</v>
      </c>
      <c r="CZ231" s="862"/>
      <c r="DA231" s="862"/>
      <c r="DB231" s="862"/>
      <c r="DC231" s="862"/>
      <c r="DD231" s="862"/>
      <c r="DE231" s="862"/>
      <c r="DF231" s="862"/>
      <c r="DG231" s="862"/>
      <c r="DH231" s="1081"/>
      <c r="DI231" s="862"/>
      <c r="DJ231" s="862"/>
      <c r="DK231" s="862"/>
      <c r="DL231" s="862"/>
      <c r="DM231" s="862"/>
      <c r="DN231" s="862"/>
      <c r="DO231" s="862"/>
      <c r="DP231" s="862"/>
      <c r="DQ231" s="862"/>
      <c r="DR231" s="73">
        <f t="shared" si="778"/>
        <v>0</v>
      </c>
      <c r="DS231" s="412"/>
      <c r="DT231" s="412"/>
      <c r="DU231" s="420"/>
      <c r="DV231" s="412"/>
      <c r="DW231" s="412"/>
      <c r="DX231" s="412"/>
      <c r="DY231" s="277"/>
      <c r="DZ231" s="277"/>
      <c r="EA231" s="277"/>
      <c r="EB231" s="277"/>
      <c r="EC231" s="277"/>
      <c r="ED231" s="277"/>
      <c r="EE231" s="277"/>
      <c r="EF231" s="277"/>
      <c r="EG231" s="277"/>
      <c r="EH231" s="277"/>
      <c r="EI231" s="277"/>
    </row>
    <row r="232" spans="1:139" s="278" customFormat="1" ht="24.75" customHeight="1" x14ac:dyDescent="0.25">
      <c r="A232" s="786">
        <f t="shared" si="796"/>
        <v>6</v>
      </c>
      <c r="B232" s="141" t="s">
        <v>163</v>
      </c>
      <c r="C232" s="281" t="s">
        <v>383</v>
      </c>
      <c r="D232" s="793">
        <v>5</v>
      </c>
      <c r="E232" s="992"/>
      <c r="F232" s="342">
        <v>5</v>
      </c>
      <c r="G232" s="270"/>
      <c r="H232" s="342"/>
      <c r="I232" s="576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3">
        <f t="shared" si="760"/>
        <v>5</v>
      </c>
      <c r="X232" s="794" t="s">
        <v>0</v>
      </c>
      <c r="Y232" s="795">
        <v>49500</v>
      </c>
      <c r="Z232" s="995"/>
      <c r="AA232" s="789">
        <v>40000</v>
      </c>
      <c r="AB232" s="789"/>
      <c r="AC232" s="789"/>
      <c r="AD232" s="789"/>
      <c r="AE232" s="569"/>
      <c r="AF232" s="789"/>
      <c r="AG232" s="789"/>
      <c r="AH232" s="789"/>
      <c r="AI232" s="789"/>
      <c r="AJ232" s="789"/>
      <c r="AK232" s="789"/>
      <c r="AL232" s="789"/>
      <c r="AM232" s="789"/>
      <c r="AN232" s="789"/>
      <c r="AO232" s="789"/>
      <c r="AP232" s="789"/>
      <c r="AQ232" s="789"/>
      <c r="AR232" s="570">
        <f t="shared" si="779"/>
        <v>247500</v>
      </c>
      <c r="AS232" s="1352">
        <f t="shared" si="761"/>
        <v>0</v>
      </c>
      <c r="AT232" s="272">
        <f t="shared" si="762"/>
        <v>200000</v>
      </c>
      <c r="AU232" s="272">
        <f t="shared" si="763"/>
        <v>0</v>
      </c>
      <c r="AV232" s="272">
        <f t="shared" si="764"/>
        <v>0</v>
      </c>
      <c r="AW232" s="402">
        <f t="shared" si="765"/>
        <v>0</v>
      </c>
      <c r="AX232" s="272">
        <f t="shared" si="766"/>
        <v>0</v>
      </c>
      <c r="AY232" s="272">
        <f t="shared" si="767"/>
        <v>0</v>
      </c>
      <c r="AZ232" s="272">
        <f t="shared" si="768"/>
        <v>0</v>
      </c>
      <c r="BA232" s="272">
        <f t="shared" si="769"/>
        <v>0</v>
      </c>
      <c r="BB232" s="272">
        <f t="shared" si="770"/>
        <v>0</v>
      </c>
      <c r="BC232" s="272">
        <f t="shared" si="771"/>
        <v>0</v>
      </c>
      <c r="BD232" s="272">
        <f t="shared" si="772"/>
        <v>0</v>
      </c>
      <c r="BE232" s="272"/>
      <c r="BF232" s="272"/>
      <c r="BG232" s="272"/>
      <c r="BH232" s="272"/>
      <c r="BI232" s="272"/>
      <c r="BJ232" s="272"/>
      <c r="BK232" s="273">
        <f t="shared" si="780"/>
        <v>200000</v>
      </c>
      <c r="BL232" s="272">
        <f t="shared" ref="BL232:BL241" si="798">SUM(AS232*14%)</f>
        <v>0</v>
      </c>
      <c r="BM232" s="272"/>
      <c r="BN232" s="272">
        <f t="shared" si="783"/>
        <v>0</v>
      </c>
      <c r="BO232" s="1331">
        <f t="shared" si="784"/>
        <v>0</v>
      </c>
      <c r="BP232" s="272">
        <f t="shared" si="785"/>
        <v>0</v>
      </c>
      <c r="BQ232" s="272">
        <f t="shared" si="786"/>
        <v>0</v>
      </c>
      <c r="BR232" s="272">
        <f t="shared" si="787"/>
        <v>0</v>
      </c>
      <c r="BS232" s="272">
        <f t="shared" si="788"/>
        <v>0</v>
      </c>
      <c r="BT232" s="272">
        <f t="shared" si="789"/>
        <v>0</v>
      </c>
      <c r="BU232" s="272">
        <f t="shared" si="790"/>
        <v>0</v>
      </c>
      <c r="BV232" s="272">
        <f t="shared" si="791"/>
        <v>0</v>
      </c>
      <c r="BW232" s="272">
        <f t="shared" si="792"/>
        <v>0</v>
      </c>
      <c r="BX232" s="299">
        <f t="shared" si="793"/>
        <v>0</v>
      </c>
      <c r="BY232" s="790">
        <f t="shared" si="794"/>
        <v>47500</v>
      </c>
      <c r="BZ232" s="791">
        <f t="shared" si="774"/>
        <v>247500</v>
      </c>
      <c r="CA232" s="792">
        <f t="shared" si="795"/>
        <v>47500</v>
      </c>
      <c r="CB232" s="571">
        <f t="shared" si="775"/>
        <v>1</v>
      </c>
      <c r="CC232" s="1081"/>
      <c r="CD232" s="1081"/>
      <c r="CE232" s="1083"/>
      <c r="CF232" s="1084"/>
      <c r="CG232" s="862"/>
      <c r="CH232" s="862"/>
      <c r="CI232" s="862"/>
      <c r="CJ232" s="862"/>
      <c r="CK232" s="862"/>
      <c r="CL232" s="862"/>
      <c r="CM232" s="862"/>
      <c r="CN232" s="862"/>
      <c r="CO232" s="1081">
        <f t="shared" si="797"/>
        <v>0</v>
      </c>
      <c r="CP232" s="862"/>
      <c r="CQ232" s="862"/>
      <c r="CR232" s="862"/>
      <c r="CS232" s="862"/>
      <c r="CT232" s="862"/>
      <c r="CU232" s="862"/>
      <c r="CV232" s="862"/>
      <c r="CW232" s="862"/>
      <c r="CX232" s="862"/>
      <c r="CY232" s="73">
        <f t="shared" si="777"/>
        <v>0</v>
      </c>
      <c r="CZ232" s="862"/>
      <c r="DA232" s="862"/>
      <c r="DB232" s="862"/>
      <c r="DC232" s="862"/>
      <c r="DD232" s="862"/>
      <c r="DE232" s="862"/>
      <c r="DF232" s="862"/>
      <c r="DG232" s="862"/>
      <c r="DH232" s="1081"/>
      <c r="DI232" s="862"/>
      <c r="DJ232" s="862"/>
      <c r="DK232" s="862"/>
      <c r="DL232" s="862"/>
      <c r="DM232" s="862"/>
      <c r="DN232" s="862"/>
      <c r="DO232" s="862"/>
      <c r="DP232" s="862"/>
      <c r="DQ232" s="862"/>
      <c r="DR232" s="73">
        <f t="shared" si="778"/>
        <v>0</v>
      </c>
      <c r="DS232" s="412"/>
      <c r="DT232" s="412"/>
      <c r="DU232" s="420"/>
      <c r="DV232" s="412"/>
      <c r="DW232" s="412"/>
      <c r="DX232" s="412"/>
      <c r="DY232" s="277"/>
      <c r="DZ232" s="277"/>
      <c r="EA232" s="277"/>
      <c r="EB232" s="277"/>
      <c r="EC232" s="277"/>
      <c r="ED232" s="277"/>
      <c r="EE232" s="277"/>
      <c r="EF232" s="277"/>
      <c r="EG232" s="277"/>
      <c r="EH232" s="277"/>
      <c r="EI232" s="277"/>
    </row>
    <row r="233" spans="1:139" s="278" customFormat="1" ht="24.75" customHeight="1" x14ac:dyDescent="0.2">
      <c r="A233" s="786">
        <f t="shared" si="796"/>
        <v>7</v>
      </c>
      <c r="B233" s="141" t="s">
        <v>385</v>
      </c>
      <c r="C233" s="281" t="s">
        <v>383</v>
      </c>
      <c r="D233" s="596">
        <v>3</v>
      </c>
      <c r="E233" s="992"/>
      <c r="F233" s="342">
        <v>3</v>
      </c>
      <c r="G233" s="270"/>
      <c r="H233" s="342"/>
      <c r="I233" s="576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3">
        <f t="shared" si="760"/>
        <v>3</v>
      </c>
      <c r="X233" s="598" t="s">
        <v>2</v>
      </c>
      <c r="Y233" s="599">
        <v>34100</v>
      </c>
      <c r="Z233" s="995"/>
      <c r="AA233" s="789">
        <v>30000</v>
      </c>
      <c r="AB233" s="789"/>
      <c r="AC233" s="789"/>
      <c r="AD233" s="789"/>
      <c r="AE233" s="569"/>
      <c r="AF233" s="789"/>
      <c r="AG233" s="789"/>
      <c r="AH233" s="789"/>
      <c r="AI233" s="789"/>
      <c r="AJ233" s="789"/>
      <c r="AK233" s="789"/>
      <c r="AL233" s="789"/>
      <c r="AM233" s="789"/>
      <c r="AN233" s="789"/>
      <c r="AO233" s="789"/>
      <c r="AP233" s="789"/>
      <c r="AQ233" s="789"/>
      <c r="AR233" s="570">
        <f t="shared" si="779"/>
        <v>102300</v>
      </c>
      <c r="AS233" s="1352">
        <f t="shared" si="761"/>
        <v>0</v>
      </c>
      <c r="AT233" s="272">
        <f t="shared" si="762"/>
        <v>90000</v>
      </c>
      <c r="AU233" s="272">
        <f t="shared" si="763"/>
        <v>0</v>
      </c>
      <c r="AV233" s="272">
        <f t="shared" si="764"/>
        <v>0</v>
      </c>
      <c r="AW233" s="402">
        <f t="shared" si="765"/>
        <v>0</v>
      </c>
      <c r="AX233" s="272">
        <f t="shared" si="766"/>
        <v>0</v>
      </c>
      <c r="AY233" s="272">
        <f t="shared" si="767"/>
        <v>0</v>
      </c>
      <c r="AZ233" s="272">
        <f t="shared" si="768"/>
        <v>0</v>
      </c>
      <c r="BA233" s="272">
        <f t="shared" si="769"/>
        <v>0</v>
      </c>
      <c r="BB233" s="272">
        <f t="shared" si="770"/>
        <v>0</v>
      </c>
      <c r="BC233" s="272">
        <f t="shared" si="771"/>
        <v>0</v>
      </c>
      <c r="BD233" s="272">
        <f t="shared" si="772"/>
        <v>0</v>
      </c>
      <c r="BE233" s="272"/>
      <c r="BF233" s="272"/>
      <c r="BG233" s="272"/>
      <c r="BH233" s="272"/>
      <c r="BI233" s="272"/>
      <c r="BJ233" s="272"/>
      <c r="BK233" s="273">
        <f t="shared" si="780"/>
        <v>90000</v>
      </c>
      <c r="BL233" s="272">
        <f t="shared" si="798"/>
        <v>0</v>
      </c>
      <c r="BM233" s="272"/>
      <c r="BN233" s="272">
        <f t="shared" si="783"/>
        <v>0</v>
      </c>
      <c r="BO233" s="1331">
        <f t="shared" si="784"/>
        <v>0</v>
      </c>
      <c r="BP233" s="272">
        <f t="shared" si="785"/>
        <v>0</v>
      </c>
      <c r="BQ233" s="272">
        <f t="shared" si="786"/>
        <v>0</v>
      </c>
      <c r="BR233" s="272">
        <f t="shared" si="787"/>
        <v>0</v>
      </c>
      <c r="BS233" s="272">
        <f t="shared" si="788"/>
        <v>0</v>
      </c>
      <c r="BT233" s="272">
        <f t="shared" si="789"/>
        <v>0</v>
      </c>
      <c r="BU233" s="272">
        <f t="shared" si="790"/>
        <v>0</v>
      </c>
      <c r="BV233" s="272">
        <f t="shared" si="791"/>
        <v>0</v>
      </c>
      <c r="BW233" s="272">
        <f t="shared" si="792"/>
        <v>0</v>
      </c>
      <c r="BX233" s="299">
        <f t="shared" si="793"/>
        <v>0</v>
      </c>
      <c r="BY233" s="790">
        <f t="shared" si="794"/>
        <v>12300</v>
      </c>
      <c r="BZ233" s="791">
        <f t="shared" si="774"/>
        <v>102300</v>
      </c>
      <c r="CA233" s="792">
        <f t="shared" si="795"/>
        <v>12300</v>
      </c>
      <c r="CB233" s="571">
        <f t="shared" si="775"/>
        <v>1</v>
      </c>
      <c r="CC233" s="1081"/>
      <c r="CD233" s="1081"/>
      <c r="CE233" s="1083"/>
      <c r="CF233" s="1084"/>
      <c r="CG233" s="862"/>
      <c r="CH233" s="862"/>
      <c r="CI233" s="862"/>
      <c r="CJ233" s="862"/>
      <c r="CK233" s="862"/>
      <c r="CL233" s="862"/>
      <c r="CM233" s="862"/>
      <c r="CN233" s="862"/>
      <c r="CO233" s="1081">
        <f t="shared" si="797"/>
        <v>0</v>
      </c>
      <c r="CP233" s="862"/>
      <c r="CQ233" s="862"/>
      <c r="CR233" s="862"/>
      <c r="CS233" s="862"/>
      <c r="CT233" s="862"/>
      <c r="CU233" s="862"/>
      <c r="CV233" s="862"/>
      <c r="CW233" s="862"/>
      <c r="CX233" s="862"/>
      <c r="CY233" s="73">
        <f t="shared" si="777"/>
        <v>0</v>
      </c>
      <c r="CZ233" s="862"/>
      <c r="DA233" s="862"/>
      <c r="DB233" s="862"/>
      <c r="DC233" s="862"/>
      <c r="DD233" s="862"/>
      <c r="DE233" s="862"/>
      <c r="DF233" s="862"/>
      <c r="DG233" s="862"/>
      <c r="DH233" s="1081"/>
      <c r="DI233" s="862"/>
      <c r="DJ233" s="862"/>
      <c r="DK233" s="862"/>
      <c r="DL233" s="862"/>
      <c r="DM233" s="862"/>
      <c r="DN233" s="862"/>
      <c r="DO233" s="862"/>
      <c r="DP233" s="862"/>
      <c r="DQ233" s="862"/>
      <c r="DR233" s="73">
        <f t="shared" si="778"/>
        <v>0</v>
      </c>
      <c r="DS233" s="412"/>
      <c r="DT233" s="412"/>
      <c r="DU233" s="420"/>
      <c r="DV233" s="412"/>
      <c r="DW233" s="412"/>
      <c r="DX233" s="412"/>
      <c r="DY233" s="277"/>
      <c r="DZ233" s="277"/>
      <c r="EA233" s="277"/>
      <c r="EB233" s="277"/>
      <c r="EC233" s="277"/>
      <c r="ED233" s="277"/>
      <c r="EE233" s="277"/>
      <c r="EF233" s="277"/>
      <c r="EG233" s="277"/>
      <c r="EH233" s="277"/>
      <c r="EI233" s="277"/>
    </row>
    <row r="234" spans="1:139" s="278" customFormat="1" ht="24.75" customHeight="1" x14ac:dyDescent="0.2">
      <c r="A234" s="786">
        <f t="shared" si="796"/>
        <v>8</v>
      </c>
      <c r="B234" s="141" t="s">
        <v>386</v>
      </c>
      <c r="C234" s="281" t="s">
        <v>383</v>
      </c>
      <c r="D234" s="596">
        <v>4</v>
      </c>
      <c r="E234" s="992"/>
      <c r="F234" s="342">
        <v>4</v>
      </c>
      <c r="G234" s="270"/>
      <c r="H234" s="342"/>
      <c r="I234" s="576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3">
        <f t="shared" si="760"/>
        <v>4</v>
      </c>
      <c r="X234" s="598" t="s">
        <v>0</v>
      </c>
      <c r="Y234" s="599">
        <v>35000</v>
      </c>
      <c r="Z234" s="995"/>
      <c r="AA234" s="789">
        <v>25000</v>
      </c>
      <c r="AB234" s="789"/>
      <c r="AC234" s="789"/>
      <c r="AD234" s="789"/>
      <c r="AE234" s="569"/>
      <c r="AF234" s="789"/>
      <c r="AG234" s="789"/>
      <c r="AH234" s="789"/>
      <c r="AI234" s="789"/>
      <c r="AJ234" s="789"/>
      <c r="AK234" s="789"/>
      <c r="AL234" s="789"/>
      <c r="AM234" s="789"/>
      <c r="AN234" s="789"/>
      <c r="AO234" s="789"/>
      <c r="AP234" s="789"/>
      <c r="AQ234" s="789"/>
      <c r="AR234" s="570">
        <f t="shared" si="779"/>
        <v>140000</v>
      </c>
      <c r="AS234" s="1352">
        <f t="shared" si="761"/>
        <v>0</v>
      </c>
      <c r="AT234" s="272">
        <f t="shared" si="762"/>
        <v>100000</v>
      </c>
      <c r="AU234" s="272">
        <f t="shared" si="763"/>
        <v>0</v>
      </c>
      <c r="AV234" s="272">
        <f t="shared" si="764"/>
        <v>0</v>
      </c>
      <c r="AW234" s="402">
        <f t="shared" si="765"/>
        <v>0</v>
      </c>
      <c r="AX234" s="272">
        <f t="shared" si="766"/>
        <v>0</v>
      </c>
      <c r="AY234" s="272">
        <f t="shared" si="767"/>
        <v>0</v>
      </c>
      <c r="AZ234" s="272">
        <f t="shared" si="768"/>
        <v>0</v>
      </c>
      <c r="BA234" s="272">
        <f t="shared" si="769"/>
        <v>0</v>
      </c>
      <c r="BB234" s="272">
        <f t="shared" si="770"/>
        <v>0</v>
      </c>
      <c r="BC234" s="272">
        <f t="shared" si="771"/>
        <v>0</v>
      </c>
      <c r="BD234" s="272">
        <f t="shared" si="772"/>
        <v>0</v>
      </c>
      <c r="BE234" s="272"/>
      <c r="BF234" s="272"/>
      <c r="BG234" s="272"/>
      <c r="BH234" s="272"/>
      <c r="BI234" s="272"/>
      <c r="BJ234" s="272"/>
      <c r="BK234" s="273">
        <f t="shared" si="780"/>
        <v>100000</v>
      </c>
      <c r="BL234" s="272">
        <f t="shared" si="798"/>
        <v>0</v>
      </c>
      <c r="BM234" s="272"/>
      <c r="BN234" s="272">
        <f t="shared" si="783"/>
        <v>0</v>
      </c>
      <c r="BO234" s="1331">
        <f t="shared" si="784"/>
        <v>0</v>
      </c>
      <c r="BP234" s="272">
        <f t="shared" si="785"/>
        <v>0</v>
      </c>
      <c r="BQ234" s="272">
        <f t="shared" si="786"/>
        <v>0</v>
      </c>
      <c r="BR234" s="272">
        <f t="shared" si="787"/>
        <v>0</v>
      </c>
      <c r="BS234" s="272">
        <f t="shared" si="788"/>
        <v>0</v>
      </c>
      <c r="BT234" s="272">
        <f t="shared" si="789"/>
        <v>0</v>
      </c>
      <c r="BU234" s="272">
        <f t="shared" si="790"/>
        <v>0</v>
      </c>
      <c r="BV234" s="272">
        <f t="shared" si="791"/>
        <v>0</v>
      </c>
      <c r="BW234" s="272">
        <f t="shared" si="792"/>
        <v>0</v>
      </c>
      <c r="BX234" s="299">
        <f t="shared" si="793"/>
        <v>0</v>
      </c>
      <c r="BY234" s="790">
        <f t="shared" si="794"/>
        <v>40000</v>
      </c>
      <c r="BZ234" s="791">
        <f t="shared" si="774"/>
        <v>140000</v>
      </c>
      <c r="CA234" s="792">
        <f t="shared" si="795"/>
        <v>40000</v>
      </c>
      <c r="CB234" s="571">
        <f t="shared" si="775"/>
        <v>1</v>
      </c>
      <c r="CC234" s="1081"/>
      <c r="CD234" s="1081"/>
      <c r="CE234" s="1083"/>
      <c r="CF234" s="1084"/>
      <c r="CG234" s="862"/>
      <c r="CH234" s="862"/>
      <c r="CI234" s="862"/>
      <c r="CJ234" s="862"/>
      <c r="CK234" s="862"/>
      <c r="CL234" s="862"/>
      <c r="CM234" s="862"/>
      <c r="CN234" s="862"/>
      <c r="CO234" s="1081">
        <f t="shared" si="797"/>
        <v>0</v>
      </c>
      <c r="CP234" s="862"/>
      <c r="CQ234" s="862"/>
      <c r="CR234" s="862"/>
      <c r="CS234" s="862"/>
      <c r="CT234" s="862"/>
      <c r="CU234" s="862"/>
      <c r="CV234" s="862"/>
      <c r="CW234" s="862"/>
      <c r="CX234" s="862"/>
      <c r="CY234" s="73">
        <f t="shared" si="777"/>
        <v>0</v>
      </c>
      <c r="CZ234" s="862"/>
      <c r="DA234" s="862"/>
      <c r="DB234" s="862"/>
      <c r="DC234" s="862"/>
      <c r="DD234" s="862"/>
      <c r="DE234" s="862"/>
      <c r="DF234" s="862"/>
      <c r="DG234" s="862"/>
      <c r="DH234" s="1081"/>
      <c r="DI234" s="862"/>
      <c r="DJ234" s="862"/>
      <c r="DK234" s="862"/>
      <c r="DL234" s="862"/>
      <c r="DM234" s="862"/>
      <c r="DN234" s="862"/>
      <c r="DO234" s="862"/>
      <c r="DP234" s="862"/>
      <c r="DQ234" s="862"/>
      <c r="DR234" s="73">
        <f t="shared" si="778"/>
        <v>0</v>
      </c>
      <c r="DS234" s="412"/>
      <c r="DT234" s="412"/>
      <c r="DU234" s="420"/>
      <c r="DV234" s="412"/>
      <c r="DW234" s="412"/>
      <c r="DX234" s="412"/>
      <c r="DY234" s="277"/>
      <c r="DZ234" s="277"/>
      <c r="EA234" s="277"/>
      <c r="EB234" s="277"/>
      <c r="EC234" s="277"/>
      <c r="ED234" s="277"/>
      <c r="EE234" s="277"/>
      <c r="EF234" s="277"/>
      <c r="EG234" s="277"/>
      <c r="EH234" s="277"/>
      <c r="EI234" s="277"/>
    </row>
    <row r="235" spans="1:139" s="278" customFormat="1" ht="24.75" customHeight="1" x14ac:dyDescent="0.2">
      <c r="A235" s="786">
        <f t="shared" si="796"/>
        <v>9</v>
      </c>
      <c r="B235" s="141" t="s">
        <v>387</v>
      </c>
      <c r="C235" s="281" t="s">
        <v>383</v>
      </c>
      <c r="D235" s="596">
        <v>4</v>
      </c>
      <c r="E235" s="992"/>
      <c r="F235" s="342">
        <v>2</v>
      </c>
      <c r="G235" s="270"/>
      <c r="H235" s="342"/>
      <c r="I235" s="576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3">
        <f t="shared" si="760"/>
        <v>2</v>
      </c>
      <c r="X235" s="598" t="s">
        <v>0</v>
      </c>
      <c r="Y235" s="599">
        <v>50000</v>
      </c>
      <c r="Z235" s="995"/>
      <c r="AA235" s="789">
        <v>50000</v>
      </c>
      <c r="AB235" s="789"/>
      <c r="AC235" s="789"/>
      <c r="AD235" s="789"/>
      <c r="AE235" s="569"/>
      <c r="AF235" s="789"/>
      <c r="AG235" s="789"/>
      <c r="AH235" s="789"/>
      <c r="AI235" s="789"/>
      <c r="AJ235" s="789"/>
      <c r="AK235" s="789"/>
      <c r="AL235" s="789"/>
      <c r="AM235" s="789"/>
      <c r="AN235" s="789"/>
      <c r="AO235" s="789"/>
      <c r="AP235" s="789"/>
      <c r="AQ235" s="789"/>
      <c r="AR235" s="570">
        <f t="shared" si="779"/>
        <v>100000</v>
      </c>
      <c r="AS235" s="1352">
        <f t="shared" si="761"/>
        <v>0</v>
      </c>
      <c r="AT235" s="272">
        <f t="shared" si="762"/>
        <v>100000</v>
      </c>
      <c r="AU235" s="272">
        <f t="shared" si="763"/>
        <v>0</v>
      </c>
      <c r="AV235" s="272">
        <f t="shared" si="764"/>
        <v>0</v>
      </c>
      <c r="AW235" s="402">
        <f t="shared" si="765"/>
        <v>0</v>
      </c>
      <c r="AX235" s="272">
        <f t="shared" si="766"/>
        <v>0</v>
      </c>
      <c r="AY235" s="272">
        <f t="shared" si="767"/>
        <v>0</v>
      </c>
      <c r="AZ235" s="272">
        <f t="shared" si="768"/>
        <v>0</v>
      </c>
      <c r="BA235" s="272">
        <f t="shared" si="769"/>
        <v>0</v>
      </c>
      <c r="BB235" s="272">
        <f t="shared" si="770"/>
        <v>0</v>
      </c>
      <c r="BC235" s="272">
        <f t="shared" si="771"/>
        <v>0</v>
      </c>
      <c r="BD235" s="272">
        <f t="shared" si="772"/>
        <v>0</v>
      </c>
      <c r="BE235" s="272"/>
      <c r="BF235" s="272"/>
      <c r="BG235" s="272"/>
      <c r="BH235" s="272"/>
      <c r="BI235" s="272"/>
      <c r="BJ235" s="272"/>
      <c r="BK235" s="273">
        <f t="shared" si="780"/>
        <v>100000</v>
      </c>
      <c r="BL235" s="272">
        <f t="shared" si="798"/>
        <v>0</v>
      </c>
      <c r="BM235" s="272"/>
      <c r="BN235" s="272">
        <f t="shared" si="783"/>
        <v>0</v>
      </c>
      <c r="BO235" s="1331">
        <f t="shared" si="784"/>
        <v>0</v>
      </c>
      <c r="BP235" s="272">
        <f t="shared" si="785"/>
        <v>0</v>
      </c>
      <c r="BQ235" s="272">
        <f t="shared" si="786"/>
        <v>0</v>
      </c>
      <c r="BR235" s="272">
        <f t="shared" si="787"/>
        <v>0</v>
      </c>
      <c r="BS235" s="272">
        <f t="shared" si="788"/>
        <v>0</v>
      </c>
      <c r="BT235" s="272">
        <f t="shared" si="789"/>
        <v>0</v>
      </c>
      <c r="BU235" s="272">
        <f t="shared" si="790"/>
        <v>0</v>
      </c>
      <c r="BV235" s="272">
        <f t="shared" si="791"/>
        <v>0</v>
      </c>
      <c r="BW235" s="272">
        <f t="shared" si="792"/>
        <v>0</v>
      </c>
      <c r="BX235" s="299">
        <f t="shared" si="793"/>
        <v>0</v>
      </c>
      <c r="BY235" s="790">
        <f t="shared" si="794"/>
        <v>0</v>
      </c>
      <c r="BZ235" s="791">
        <f t="shared" si="774"/>
        <v>200000</v>
      </c>
      <c r="CA235" s="792">
        <f t="shared" si="795"/>
        <v>100000</v>
      </c>
      <c r="CB235" s="571">
        <f t="shared" si="775"/>
        <v>0.5</v>
      </c>
      <c r="CC235" s="1081"/>
      <c r="CD235" s="1081"/>
      <c r="CE235" s="1083"/>
      <c r="CF235" s="1084"/>
      <c r="CG235" s="862"/>
      <c r="CH235" s="862"/>
      <c r="CI235" s="862"/>
      <c r="CJ235" s="862"/>
      <c r="CK235" s="862"/>
      <c r="CL235" s="862"/>
      <c r="CM235" s="862"/>
      <c r="CN235" s="862"/>
      <c r="CO235" s="1081">
        <f t="shared" si="797"/>
        <v>0</v>
      </c>
      <c r="CP235" s="862"/>
      <c r="CQ235" s="862"/>
      <c r="CR235" s="862"/>
      <c r="CS235" s="862"/>
      <c r="CT235" s="862"/>
      <c r="CU235" s="862"/>
      <c r="CV235" s="862"/>
      <c r="CW235" s="862"/>
      <c r="CX235" s="862"/>
      <c r="CY235" s="73">
        <f t="shared" si="777"/>
        <v>0</v>
      </c>
      <c r="CZ235" s="862"/>
      <c r="DA235" s="862"/>
      <c r="DB235" s="862"/>
      <c r="DC235" s="862"/>
      <c r="DD235" s="862"/>
      <c r="DE235" s="862"/>
      <c r="DF235" s="862"/>
      <c r="DG235" s="862"/>
      <c r="DH235" s="1081"/>
      <c r="DI235" s="862"/>
      <c r="DJ235" s="862"/>
      <c r="DK235" s="862"/>
      <c r="DL235" s="862"/>
      <c r="DM235" s="862"/>
      <c r="DN235" s="862"/>
      <c r="DO235" s="862"/>
      <c r="DP235" s="862"/>
      <c r="DQ235" s="862"/>
      <c r="DR235" s="73">
        <f t="shared" si="778"/>
        <v>0</v>
      </c>
      <c r="DS235" s="412"/>
      <c r="DT235" s="412"/>
      <c r="DU235" s="420"/>
      <c r="DV235" s="412"/>
      <c r="DW235" s="412"/>
      <c r="DX235" s="412"/>
      <c r="DY235" s="277"/>
      <c r="DZ235" s="277"/>
      <c r="EA235" s="277"/>
      <c r="EB235" s="277"/>
      <c r="EC235" s="277"/>
      <c r="ED235" s="277"/>
      <c r="EE235" s="277"/>
      <c r="EF235" s="277"/>
      <c r="EG235" s="277"/>
      <c r="EH235" s="277"/>
      <c r="EI235" s="277"/>
    </row>
    <row r="236" spans="1:139" s="278" customFormat="1" ht="24.75" customHeight="1" x14ac:dyDescent="0.2">
      <c r="A236" s="786">
        <f t="shared" si="796"/>
        <v>10</v>
      </c>
      <c r="B236" s="141" t="s">
        <v>388</v>
      </c>
      <c r="C236" s="281" t="s">
        <v>383</v>
      </c>
      <c r="D236" s="596">
        <v>2</v>
      </c>
      <c r="E236" s="992"/>
      <c r="F236" s="342">
        <v>2</v>
      </c>
      <c r="G236" s="270"/>
      <c r="H236" s="342"/>
      <c r="I236" s="576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3">
        <f t="shared" si="760"/>
        <v>2</v>
      </c>
      <c r="X236" s="598" t="s">
        <v>34</v>
      </c>
      <c r="Y236" s="599">
        <v>62400</v>
      </c>
      <c r="Z236" s="995"/>
      <c r="AA236" s="789">
        <v>50000</v>
      </c>
      <c r="AB236" s="789"/>
      <c r="AC236" s="789"/>
      <c r="AD236" s="789"/>
      <c r="AE236" s="569"/>
      <c r="AF236" s="789"/>
      <c r="AG236" s="789"/>
      <c r="AH236" s="789"/>
      <c r="AI236" s="789"/>
      <c r="AJ236" s="789"/>
      <c r="AK236" s="789"/>
      <c r="AL236" s="789"/>
      <c r="AM236" s="789"/>
      <c r="AN236" s="789"/>
      <c r="AO236" s="789"/>
      <c r="AP236" s="789"/>
      <c r="AQ236" s="789"/>
      <c r="AR236" s="570">
        <f t="shared" si="779"/>
        <v>124800</v>
      </c>
      <c r="AS236" s="1352">
        <f t="shared" si="761"/>
        <v>0</v>
      </c>
      <c r="AT236" s="272">
        <f t="shared" si="762"/>
        <v>100000</v>
      </c>
      <c r="AU236" s="272">
        <f t="shared" si="763"/>
        <v>0</v>
      </c>
      <c r="AV236" s="272">
        <f t="shared" si="764"/>
        <v>0</v>
      </c>
      <c r="AW236" s="402">
        <f t="shared" si="765"/>
        <v>0</v>
      </c>
      <c r="AX236" s="272">
        <f t="shared" si="766"/>
        <v>0</v>
      </c>
      <c r="AY236" s="272">
        <f t="shared" si="767"/>
        <v>0</v>
      </c>
      <c r="AZ236" s="272">
        <f t="shared" si="768"/>
        <v>0</v>
      </c>
      <c r="BA236" s="272">
        <f t="shared" si="769"/>
        <v>0</v>
      </c>
      <c r="BB236" s="272">
        <f t="shared" si="770"/>
        <v>0</v>
      </c>
      <c r="BC236" s="272">
        <f t="shared" si="771"/>
        <v>0</v>
      </c>
      <c r="BD236" s="272">
        <f t="shared" si="772"/>
        <v>0</v>
      </c>
      <c r="BE236" s="272"/>
      <c r="BF236" s="272"/>
      <c r="BG236" s="272"/>
      <c r="BH236" s="272"/>
      <c r="BI236" s="272"/>
      <c r="BJ236" s="272"/>
      <c r="BK236" s="273">
        <f t="shared" si="780"/>
        <v>100000</v>
      </c>
      <c r="BL236" s="272">
        <f t="shared" si="798"/>
        <v>0</v>
      </c>
      <c r="BM236" s="272"/>
      <c r="BN236" s="272">
        <f t="shared" si="783"/>
        <v>0</v>
      </c>
      <c r="BO236" s="1331">
        <f t="shared" si="784"/>
        <v>0</v>
      </c>
      <c r="BP236" s="272">
        <f t="shared" si="785"/>
        <v>0</v>
      </c>
      <c r="BQ236" s="272">
        <f t="shared" si="786"/>
        <v>0</v>
      </c>
      <c r="BR236" s="272">
        <f t="shared" si="787"/>
        <v>0</v>
      </c>
      <c r="BS236" s="272">
        <f t="shared" si="788"/>
        <v>0</v>
      </c>
      <c r="BT236" s="272">
        <f t="shared" si="789"/>
        <v>0</v>
      </c>
      <c r="BU236" s="272">
        <f t="shared" si="790"/>
        <v>0</v>
      </c>
      <c r="BV236" s="272">
        <f t="shared" si="791"/>
        <v>0</v>
      </c>
      <c r="BW236" s="272">
        <f t="shared" si="792"/>
        <v>0</v>
      </c>
      <c r="BX236" s="299">
        <f t="shared" si="793"/>
        <v>0</v>
      </c>
      <c r="BY236" s="790">
        <f t="shared" si="794"/>
        <v>24800</v>
      </c>
      <c r="BZ236" s="791">
        <f t="shared" si="774"/>
        <v>124800</v>
      </c>
      <c r="CA236" s="792">
        <f t="shared" si="795"/>
        <v>24800</v>
      </c>
      <c r="CB236" s="571">
        <f t="shared" si="775"/>
        <v>1</v>
      </c>
      <c r="CC236" s="1081"/>
      <c r="CD236" s="1081"/>
      <c r="CE236" s="1083"/>
      <c r="CF236" s="1084"/>
      <c r="CG236" s="862"/>
      <c r="CH236" s="862"/>
      <c r="CI236" s="862"/>
      <c r="CJ236" s="862"/>
      <c r="CK236" s="862"/>
      <c r="CL236" s="862"/>
      <c r="CM236" s="862"/>
      <c r="CN236" s="862"/>
      <c r="CO236" s="1081">
        <f t="shared" si="797"/>
        <v>0</v>
      </c>
      <c r="CP236" s="862"/>
      <c r="CQ236" s="862"/>
      <c r="CR236" s="862"/>
      <c r="CS236" s="862"/>
      <c r="CT236" s="862"/>
      <c r="CU236" s="862"/>
      <c r="CV236" s="862"/>
      <c r="CW236" s="862"/>
      <c r="CX236" s="862"/>
      <c r="CY236" s="73">
        <f t="shared" si="777"/>
        <v>0</v>
      </c>
      <c r="CZ236" s="862"/>
      <c r="DA236" s="862"/>
      <c r="DB236" s="862"/>
      <c r="DC236" s="862"/>
      <c r="DD236" s="862"/>
      <c r="DE236" s="862"/>
      <c r="DF236" s="862"/>
      <c r="DG236" s="862"/>
      <c r="DH236" s="1081"/>
      <c r="DI236" s="862"/>
      <c r="DJ236" s="862"/>
      <c r="DK236" s="862"/>
      <c r="DL236" s="862"/>
      <c r="DM236" s="862"/>
      <c r="DN236" s="862"/>
      <c r="DO236" s="862"/>
      <c r="DP236" s="862"/>
      <c r="DQ236" s="862"/>
      <c r="DR236" s="73">
        <f t="shared" si="778"/>
        <v>0</v>
      </c>
      <c r="DS236" s="412"/>
      <c r="DT236" s="412"/>
      <c r="DU236" s="420"/>
      <c r="DV236" s="412"/>
      <c r="DW236" s="412"/>
      <c r="DX236" s="412"/>
      <c r="DY236" s="277"/>
      <c r="DZ236" s="277"/>
      <c r="EA236" s="277"/>
      <c r="EB236" s="277"/>
      <c r="EC236" s="277"/>
      <c r="ED236" s="277"/>
      <c r="EE236" s="277"/>
      <c r="EF236" s="277"/>
      <c r="EG236" s="277"/>
      <c r="EH236" s="277"/>
      <c r="EI236" s="277"/>
    </row>
    <row r="237" spans="1:139" s="278" customFormat="1" ht="24.75" customHeight="1" x14ac:dyDescent="0.2">
      <c r="A237" s="786">
        <f t="shared" si="796"/>
        <v>11</v>
      </c>
      <c r="B237" s="141" t="s">
        <v>389</v>
      </c>
      <c r="C237" s="281" t="s">
        <v>383</v>
      </c>
      <c r="D237" s="596">
        <v>2</v>
      </c>
      <c r="E237" s="992"/>
      <c r="F237" s="342">
        <v>2</v>
      </c>
      <c r="G237" s="270"/>
      <c r="H237" s="342"/>
      <c r="I237" s="576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3">
        <f t="shared" si="760"/>
        <v>2</v>
      </c>
      <c r="X237" s="598" t="s">
        <v>34</v>
      </c>
      <c r="Y237" s="599">
        <v>62400</v>
      </c>
      <c r="Z237" s="995"/>
      <c r="AA237" s="789">
        <v>40000</v>
      </c>
      <c r="AB237" s="789"/>
      <c r="AC237" s="789"/>
      <c r="AD237" s="789"/>
      <c r="AE237" s="569"/>
      <c r="AF237" s="789"/>
      <c r="AG237" s="789"/>
      <c r="AH237" s="789"/>
      <c r="AI237" s="789"/>
      <c r="AJ237" s="789"/>
      <c r="AK237" s="789"/>
      <c r="AL237" s="789"/>
      <c r="AM237" s="789"/>
      <c r="AN237" s="789"/>
      <c r="AO237" s="789"/>
      <c r="AP237" s="789"/>
      <c r="AQ237" s="789"/>
      <c r="AR237" s="570">
        <f t="shared" si="779"/>
        <v>124800</v>
      </c>
      <c r="AS237" s="1352">
        <f t="shared" si="761"/>
        <v>0</v>
      </c>
      <c r="AT237" s="272">
        <f t="shared" si="762"/>
        <v>80000</v>
      </c>
      <c r="AU237" s="272">
        <f t="shared" si="763"/>
        <v>0</v>
      </c>
      <c r="AV237" s="272">
        <f t="shared" si="764"/>
        <v>0</v>
      </c>
      <c r="AW237" s="402">
        <f t="shared" si="765"/>
        <v>0</v>
      </c>
      <c r="AX237" s="272">
        <f t="shared" si="766"/>
        <v>0</v>
      </c>
      <c r="AY237" s="272">
        <f t="shared" si="767"/>
        <v>0</v>
      </c>
      <c r="AZ237" s="272">
        <f t="shared" si="768"/>
        <v>0</v>
      </c>
      <c r="BA237" s="272">
        <f t="shared" si="769"/>
        <v>0</v>
      </c>
      <c r="BB237" s="272">
        <f t="shared" si="770"/>
        <v>0</v>
      </c>
      <c r="BC237" s="272">
        <f t="shared" si="771"/>
        <v>0</v>
      </c>
      <c r="BD237" s="272">
        <f t="shared" si="772"/>
        <v>0</v>
      </c>
      <c r="BE237" s="272"/>
      <c r="BF237" s="272"/>
      <c r="BG237" s="272"/>
      <c r="BH237" s="272"/>
      <c r="BI237" s="272"/>
      <c r="BJ237" s="272"/>
      <c r="BK237" s="273">
        <f t="shared" si="780"/>
        <v>80000</v>
      </c>
      <c r="BL237" s="272">
        <f t="shared" si="798"/>
        <v>0</v>
      </c>
      <c r="BM237" s="272"/>
      <c r="BN237" s="272">
        <f t="shared" si="783"/>
        <v>0</v>
      </c>
      <c r="BO237" s="1331">
        <f t="shared" si="784"/>
        <v>0</v>
      </c>
      <c r="BP237" s="272">
        <f t="shared" si="785"/>
        <v>0</v>
      </c>
      <c r="BQ237" s="272">
        <f t="shared" si="786"/>
        <v>0</v>
      </c>
      <c r="BR237" s="272">
        <f t="shared" si="787"/>
        <v>0</v>
      </c>
      <c r="BS237" s="272">
        <f t="shared" si="788"/>
        <v>0</v>
      </c>
      <c r="BT237" s="272">
        <f t="shared" si="789"/>
        <v>0</v>
      </c>
      <c r="BU237" s="272">
        <f t="shared" si="790"/>
        <v>0</v>
      </c>
      <c r="BV237" s="272">
        <f t="shared" si="791"/>
        <v>0</v>
      </c>
      <c r="BW237" s="272">
        <f t="shared" si="792"/>
        <v>0</v>
      </c>
      <c r="BX237" s="299">
        <f t="shared" si="793"/>
        <v>0</v>
      </c>
      <c r="BY237" s="790">
        <f t="shared" si="794"/>
        <v>44800</v>
      </c>
      <c r="BZ237" s="791">
        <f t="shared" si="774"/>
        <v>124800</v>
      </c>
      <c r="CA237" s="792">
        <f t="shared" si="795"/>
        <v>44800</v>
      </c>
      <c r="CB237" s="571">
        <f t="shared" si="775"/>
        <v>1</v>
      </c>
      <c r="CC237" s="1081"/>
      <c r="CD237" s="1081"/>
      <c r="CE237" s="1083"/>
      <c r="CF237" s="1084"/>
      <c r="CG237" s="862"/>
      <c r="CH237" s="862"/>
      <c r="CI237" s="862"/>
      <c r="CJ237" s="862"/>
      <c r="CK237" s="862"/>
      <c r="CL237" s="862"/>
      <c r="CM237" s="862"/>
      <c r="CN237" s="862"/>
      <c r="CO237" s="1081">
        <f t="shared" si="797"/>
        <v>0</v>
      </c>
      <c r="CP237" s="862"/>
      <c r="CQ237" s="862"/>
      <c r="CR237" s="862"/>
      <c r="CS237" s="862"/>
      <c r="CT237" s="862"/>
      <c r="CU237" s="862"/>
      <c r="CV237" s="862"/>
      <c r="CW237" s="862"/>
      <c r="CX237" s="862"/>
      <c r="CY237" s="73">
        <f t="shared" si="777"/>
        <v>0</v>
      </c>
      <c r="CZ237" s="862"/>
      <c r="DA237" s="862"/>
      <c r="DB237" s="862"/>
      <c r="DC237" s="862"/>
      <c r="DD237" s="862"/>
      <c r="DE237" s="862"/>
      <c r="DF237" s="862"/>
      <c r="DG237" s="862"/>
      <c r="DH237" s="1081"/>
      <c r="DI237" s="862"/>
      <c r="DJ237" s="862"/>
      <c r="DK237" s="862"/>
      <c r="DL237" s="862"/>
      <c r="DM237" s="862"/>
      <c r="DN237" s="862"/>
      <c r="DO237" s="862"/>
      <c r="DP237" s="862"/>
      <c r="DQ237" s="862"/>
      <c r="DR237" s="73">
        <f t="shared" si="778"/>
        <v>0</v>
      </c>
      <c r="DS237" s="412"/>
      <c r="DT237" s="412"/>
      <c r="DU237" s="420"/>
      <c r="DV237" s="412"/>
      <c r="DW237" s="412"/>
      <c r="DX237" s="412"/>
      <c r="DY237" s="277"/>
      <c r="DZ237" s="277"/>
      <c r="EA237" s="277"/>
      <c r="EB237" s="277"/>
      <c r="EC237" s="277"/>
      <c r="ED237" s="277"/>
      <c r="EE237" s="277"/>
      <c r="EF237" s="277"/>
      <c r="EG237" s="277"/>
      <c r="EH237" s="277"/>
      <c r="EI237" s="277"/>
    </row>
    <row r="238" spans="1:139" s="278" customFormat="1" ht="24.75" customHeight="1" x14ac:dyDescent="0.2">
      <c r="A238" s="786">
        <f t="shared" si="796"/>
        <v>12</v>
      </c>
      <c r="B238" s="141" t="s">
        <v>390</v>
      </c>
      <c r="C238" s="281" t="s">
        <v>383</v>
      </c>
      <c r="D238" s="596">
        <v>2</v>
      </c>
      <c r="E238" s="992"/>
      <c r="F238" s="342">
        <v>2</v>
      </c>
      <c r="G238" s="270"/>
      <c r="H238" s="342"/>
      <c r="I238" s="576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3">
        <f t="shared" si="760"/>
        <v>2</v>
      </c>
      <c r="X238" s="598" t="s">
        <v>34</v>
      </c>
      <c r="Y238" s="599">
        <v>78700</v>
      </c>
      <c r="Z238" s="995"/>
      <c r="AA238" s="789">
        <v>50000</v>
      </c>
      <c r="AB238" s="789"/>
      <c r="AC238" s="789"/>
      <c r="AD238" s="789"/>
      <c r="AE238" s="569"/>
      <c r="AF238" s="789"/>
      <c r="AG238" s="789"/>
      <c r="AH238" s="789"/>
      <c r="AI238" s="789"/>
      <c r="AJ238" s="789"/>
      <c r="AK238" s="789"/>
      <c r="AL238" s="789"/>
      <c r="AM238" s="789"/>
      <c r="AN238" s="789"/>
      <c r="AO238" s="789"/>
      <c r="AP238" s="789"/>
      <c r="AQ238" s="789"/>
      <c r="AR238" s="570">
        <f t="shared" si="779"/>
        <v>157400</v>
      </c>
      <c r="AS238" s="1352">
        <f t="shared" si="761"/>
        <v>0</v>
      </c>
      <c r="AT238" s="272">
        <f t="shared" si="762"/>
        <v>100000</v>
      </c>
      <c r="AU238" s="272">
        <f t="shared" si="763"/>
        <v>0</v>
      </c>
      <c r="AV238" s="272">
        <f t="shared" si="764"/>
        <v>0</v>
      </c>
      <c r="AW238" s="402">
        <f t="shared" si="765"/>
        <v>0</v>
      </c>
      <c r="AX238" s="272">
        <f t="shared" si="766"/>
        <v>0</v>
      </c>
      <c r="AY238" s="272">
        <f t="shared" si="767"/>
        <v>0</v>
      </c>
      <c r="AZ238" s="272">
        <f t="shared" si="768"/>
        <v>0</v>
      </c>
      <c r="BA238" s="272">
        <f t="shared" si="769"/>
        <v>0</v>
      </c>
      <c r="BB238" s="272">
        <f t="shared" si="770"/>
        <v>0</v>
      </c>
      <c r="BC238" s="272">
        <f t="shared" si="771"/>
        <v>0</v>
      </c>
      <c r="BD238" s="272">
        <f t="shared" si="772"/>
        <v>0</v>
      </c>
      <c r="BE238" s="272"/>
      <c r="BF238" s="272"/>
      <c r="BG238" s="272"/>
      <c r="BH238" s="272"/>
      <c r="BI238" s="272"/>
      <c r="BJ238" s="272"/>
      <c r="BK238" s="273">
        <f t="shared" si="780"/>
        <v>100000</v>
      </c>
      <c r="BL238" s="272">
        <f t="shared" si="798"/>
        <v>0</v>
      </c>
      <c r="BM238" s="272"/>
      <c r="BN238" s="272">
        <f t="shared" si="783"/>
        <v>0</v>
      </c>
      <c r="BO238" s="1331">
        <f t="shared" si="784"/>
        <v>0</v>
      </c>
      <c r="BP238" s="272">
        <f t="shared" si="785"/>
        <v>0</v>
      </c>
      <c r="BQ238" s="272">
        <f t="shared" si="786"/>
        <v>0</v>
      </c>
      <c r="BR238" s="272">
        <f t="shared" si="787"/>
        <v>0</v>
      </c>
      <c r="BS238" s="272">
        <f t="shared" si="788"/>
        <v>0</v>
      </c>
      <c r="BT238" s="272">
        <f t="shared" si="789"/>
        <v>0</v>
      </c>
      <c r="BU238" s="272">
        <f t="shared" si="790"/>
        <v>0</v>
      </c>
      <c r="BV238" s="272">
        <f t="shared" si="791"/>
        <v>0</v>
      </c>
      <c r="BW238" s="272">
        <f t="shared" si="792"/>
        <v>0</v>
      </c>
      <c r="BX238" s="299">
        <f t="shared" si="793"/>
        <v>0</v>
      </c>
      <c r="BY238" s="790">
        <f t="shared" si="794"/>
        <v>57400</v>
      </c>
      <c r="BZ238" s="791">
        <f t="shared" si="774"/>
        <v>157400</v>
      </c>
      <c r="CA238" s="792">
        <f t="shared" si="795"/>
        <v>57400</v>
      </c>
      <c r="CB238" s="571">
        <f t="shared" si="775"/>
        <v>1</v>
      </c>
      <c r="CC238" s="1081"/>
      <c r="CD238" s="1081"/>
      <c r="CE238" s="1083"/>
      <c r="CF238" s="1084"/>
      <c r="CG238" s="862"/>
      <c r="CH238" s="862"/>
      <c r="CI238" s="862"/>
      <c r="CJ238" s="862"/>
      <c r="CK238" s="862"/>
      <c r="CL238" s="862"/>
      <c r="CM238" s="862"/>
      <c r="CN238" s="862"/>
      <c r="CO238" s="1081">
        <f t="shared" si="797"/>
        <v>0</v>
      </c>
      <c r="CP238" s="862"/>
      <c r="CQ238" s="862"/>
      <c r="CR238" s="862"/>
      <c r="CS238" s="862"/>
      <c r="CT238" s="862"/>
      <c r="CU238" s="862"/>
      <c r="CV238" s="862"/>
      <c r="CW238" s="862"/>
      <c r="CX238" s="862"/>
      <c r="CY238" s="73">
        <f t="shared" si="777"/>
        <v>0</v>
      </c>
      <c r="CZ238" s="862"/>
      <c r="DA238" s="862"/>
      <c r="DB238" s="862"/>
      <c r="DC238" s="862"/>
      <c r="DD238" s="862"/>
      <c r="DE238" s="862"/>
      <c r="DF238" s="862"/>
      <c r="DG238" s="862"/>
      <c r="DH238" s="1081"/>
      <c r="DI238" s="862"/>
      <c r="DJ238" s="862"/>
      <c r="DK238" s="862"/>
      <c r="DL238" s="862"/>
      <c r="DM238" s="862"/>
      <c r="DN238" s="862"/>
      <c r="DO238" s="862"/>
      <c r="DP238" s="862"/>
      <c r="DQ238" s="862"/>
      <c r="DR238" s="73">
        <f t="shared" si="778"/>
        <v>0</v>
      </c>
      <c r="DS238" s="412"/>
      <c r="DT238" s="412"/>
      <c r="DU238" s="420"/>
      <c r="DV238" s="412"/>
      <c r="DW238" s="412"/>
      <c r="DX238" s="412"/>
      <c r="DY238" s="277"/>
      <c r="DZ238" s="277"/>
      <c r="EA238" s="277"/>
      <c r="EB238" s="277"/>
      <c r="EC238" s="277"/>
      <c r="ED238" s="277"/>
      <c r="EE238" s="277"/>
      <c r="EF238" s="277"/>
      <c r="EG238" s="277"/>
      <c r="EH238" s="277"/>
      <c r="EI238" s="277"/>
    </row>
    <row r="239" spans="1:139" s="278" customFormat="1" ht="24.75" customHeight="1" x14ac:dyDescent="0.2">
      <c r="A239" s="786">
        <f t="shared" si="796"/>
        <v>13</v>
      </c>
      <c r="B239" s="141" t="s">
        <v>47</v>
      </c>
      <c r="C239" s="281" t="s">
        <v>383</v>
      </c>
      <c r="D239" s="596">
        <v>3</v>
      </c>
      <c r="E239" s="992"/>
      <c r="F239" s="342">
        <v>3</v>
      </c>
      <c r="G239" s="270"/>
      <c r="H239" s="342"/>
      <c r="I239" s="576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3">
        <f t="shared" si="760"/>
        <v>3</v>
      </c>
      <c r="X239" s="598" t="s">
        <v>2</v>
      </c>
      <c r="Y239" s="599">
        <v>17000</v>
      </c>
      <c r="Z239" s="995"/>
      <c r="AA239" s="789">
        <v>15000</v>
      </c>
      <c r="AB239" s="789"/>
      <c r="AC239" s="789"/>
      <c r="AD239" s="789"/>
      <c r="AE239" s="569"/>
      <c r="AF239" s="789"/>
      <c r="AG239" s="789"/>
      <c r="AH239" s="789"/>
      <c r="AI239" s="789"/>
      <c r="AJ239" s="789"/>
      <c r="AK239" s="789"/>
      <c r="AL239" s="789"/>
      <c r="AM239" s="789"/>
      <c r="AN239" s="789"/>
      <c r="AO239" s="789"/>
      <c r="AP239" s="789"/>
      <c r="AQ239" s="789"/>
      <c r="AR239" s="570">
        <f t="shared" si="779"/>
        <v>51000</v>
      </c>
      <c r="AS239" s="1352">
        <f t="shared" si="761"/>
        <v>0</v>
      </c>
      <c r="AT239" s="272">
        <f t="shared" si="762"/>
        <v>45000</v>
      </c>
      <c r="AU239" s="272">
        <f t="shared" si="763"/>
        <v>0</v>
      </c>
      <c r="AV239" s="272">
        <f t="shared" si="764"/>
        <v>0</v>
      </c>
      <c r="AW239" s="402">
        <f t="shared" si="765"/>
        <v>0</v>
      </c>
      <c r="AX239" s="272">
        <f t="shared" si="766"/>
        <v>0</v>
      </c>
      <c r="AY239" s="272">
        <f t="shared" si="767"/>
        <v>0</v>
      </c>
      <c r="AZ239" s="272">
        <f t="shared" si="768"/>
        <v>0</v>
      </c>
      <c r="BA239" s="272">
        <f t="shared" si="769"/>
        <v>0</v>
      </c>
      <c r="BB239" s="272">
        <f t="shared" si="770"/>
        <v>0</v>
      </c>
      <c r="BC239" s="272">
        <f t="shared" si="771"/>
        <v>0</v>
      </c>
      <c r="BD239" s="272">
        <f t="shared" si="772"/>
        <v>0</v>
      </c>
      <c r="BE239" s="272"/>
      <c r="BF239" s="272"/>
      <c r="BG239" s="272"/>
      <c r="BH239" s="272"/>
      <c r="BI239" s="272"/>
      <c r="BJ239" s="272"/>
      <c r="BK239" s="273">
        <f t="shared" si="780"/>
        <v>45000</v>
      </c>
      <c r="BL239" s="272">
        <f t="shared" si="798"/>
        <v>0</v>
      </c>
      <c r="BM239" s="272"/>
      <c r="BN239" s="272">
        <f t="shared" si="783"/>
        <v>0</v>
      </c>
      <c r="BO239" s="1331">
        <f t="shared" si="784"/>
        <v>0</v>
      </c>
      <c r="BP239" s="272">
        <f t="shared" si="785"/>
        <v>0</v>
      </c>
      <c r="BQ239" s="272">
        <f t="shared" si="786"/>
        <v>0</v>
      </c>
      <c r="BR239" s="272">
        <f t="shared" si="787"/>
        <v>0</v>
      </c>
      <c r="BS239" s="272">
        <f t="shared" si="788"/>
        <v>0</v>
      </c>
      <c r="BT239" s="272">
        <f t="shared" si="789"/>
        <v>0</v>
      </c>
      <c r="BU239" s="272">
        <f t="shared" si="790"/>
        <v>0</v>
      </c>
      <c r="BV239" s="272">
        <f t="shared" si="791"/>
        <v>0</v>
      </c>
      <c r="BW239" s="272">
        <f t="shared" si="792"/>
        <v>0</v>
      </c>
      <c r="BX239" s="299">
        <f t="shared" si="793"/>
        <v>0</v>
      </c>
      <c r="BY239" s="790">
        <f t="shared" si="794"/>
        <v>6000</v>
      </c>
      <c r="BZ239" s="791">
        <f t="shared" si="774"/>
        <v>51000</v>
      </c>
      <c r="CA239" s="792">
        <f t="shared" si="795"/>
        <v>6000</v>
      </c>
      <c r="CB239" s="571">
        <f t="shared" si="775"/>
        <v>1</v>
      </c>
      <c r="CC239" s="1081"/>
      <c r="CD239" s="1081"/>
      <c r="CE239" s="1083"/>
      <c r="CF239" s="1084"/>
      <c r="CG239" s="862"/>
      <c r="CH239" s="862"/>
      <c r="CI239" s="862"/>
      <c r="CJ239" s="862"/>
      <c r="CK239" s="862"/>
      <c r="CL239" s="862"/>
      <c r="CM239" s="862"/>
      <c r="CN239" s="862"/>
      <c r="CO239" s="1081">
        <f t="shared" si="797"/>
        <v>0</v>
      </c>
      <c r="CP239" s="862"/>
      <c r="CQ239" s="862"/>
      <c r="CR239" s="862"/>
      <c r="CS239" s="862"/>
      <c r="CT239" s="862"/>
      <c r="CU239" s="862"/>
      <c r="CV239" s="862"/>
      <c r="CW239" s="862"/>
      <c r="CX239" s="862"/>
      <c r="CY239" s="73">
        <f t="shared" si="777"/>
        <v>0</v>
      </c>
      <c r="CZ239" s="862"/>
      <c r="DA239" s="862"/>
      <c r="DB239" s="862"/>
      <c r="DC239" s="862"/>
      <c r="DD239" s="862"/>
      <c r="DE239" s="862"/>
      <c r="DF239" s="862"/>
      <c r="DG239" s="862"/>
      <c r="DH239" s="1081"/>
      <c r="DI239" s="862"/>
      <c r="DJ239" s="862"/>
      <c r="DK239" s="862"/>
      <c r="DL239" s="862"/>
      <c r="DM239" s="862"/>
      <c r="DN239" s="862"/>
      <c r="DO239" s="862"/>
      <c r="DP239" s="862"/>
      <c r="DQ239" s="862"/>
      <c r="DR239" s="73">
        <f t="shared" si="778"/>
        <v>0</v>
      </c>
      <c r="DS239" s="412"/>
      <c r="DT239" s="412"/>
      <c r="DU239" s="420"/>
      <c r="DV239" s="412"/>
      <c r="DW239" s="412"/>
      <c r="DX239" s="412"/>
      <c r="DY239" s="277"/>
      <c r="DZ239" s="277"/>
      <c r="EA239" s="277"/>
      <c r="EB239" s="277"/>
      <c r="EC239" s="277"/>
      <c r="ED239" s="277"/>
      <c r="EE239" s="277"/>
      <c r="EF239" s="277"/>
      <c r="EG239" s="277"/>
      <c r="EH239" s="277"/>
      <c r="EI239" s="277"/>
    </row>
    <row r="240" spans="1:139" s="278" customFormat="1" ht="24.75" customHeight="1" x14ac:dyDescent="0.2">
      <c r="A240" s="786">
        <f t="shared" si="796"/>
        <v>14</v>
      </c>
      <c r="B240" s="141" t="s">
        <v>391</v>
      </c>
      <c r="C240" s="281" t="s">
        <v>383</v>
      </c>
      <c r="D240" s="596">
        <v>17</v>
      </c>
      <c r="E240" s="992"/>
      <c r="F240" s="342">
        <v>17</v>
      </c>
      <c r="G240" s="270"/>
      <c r="H240" s="342"/>
      <c r="I240" s="576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3">
        <f t="shared" si="760"/>
        <v>17</v>
      </c>
      <c r="X240" s="598" t="s">
        <v>0</v>
      </c>
      <c r="Y240" s="599">
        <v>5100</v>
      </c>
      <c r="Z240" s="995"/>
      <c r="AA240" s="789">
        <v>5000</v>
      </c>
      <c r="AB240" s="789"/>
      <c r="AC240" s="789"/>
      <c r="AD240" s="789"/>
      <c r="AE240" s="569"/>
      <c r="AF240" s="789"/>
      <c r="AG240" s="789"/>
      <c r="AH240" s="789"/>
      <c r="AI240" s="789"/>
      <c r="AJ240" s="789"/>
      <c r="AK240" s="789"/>
      <c r="AL240" s="789"/>
      <c r="AM240" s="789"/>
      <c r="AN240" s="789"/>
      <c r="AO240" s="789"/>
      <c r="AP240" s="789"/>
      <c r="AQ240" s="789"/>
      <c r="AR240" s="570">
        <f t="shared" si="779"/>
        <v>86700</v>
      </c>
      <c r="AS240" s="1352">
        <f t="shared" si="761"/>
        <v>0</v>
      </c>
      <c r="AT240" s="272">
        <f t="shared" si="762"/>
        <v>85000</v>
      </c>
      <c r="AU240" s="272">
        <f t="shared" si="763"/>
        <v>0</v>
      </c>
      <c r="AV240" s="272">
        <f t="shared" si="764"/>
        <v>0</v>
      </c>
      <c r="AW240" s="402">
        <f t="shared" si="765"/>
        <v>0</v>
      </c>
      <c r="AX240" s="272">
        <f t="shared" si="766"/>
        <v>0</v>
      </c>
      <c r="AY240" s="272">
        <f t="shared" si="767"/>
        <v>0</v>
      </c>
      <c r="AZ240" s="272">
        <f t="shared" si="768"/>
        <v>0</v>
      </c>
      <c r="BA240" s="272">
        <f t="shared" si="769"/>
        <v>0</v>
      </c>
      <c r="BB240" s="272">
        <f t="shared" si="770"/>
        <v>0</v>
      </c>
      <c r="BC240" s="272">
        <f t="shared" si="771"/>
        <v>0</v>
      </c>
      <c r="BD240" s="272">
        <f t="shared" si="772"/>
        <v>0</v>
      </c>
      <c r="BE240" s="272"/>
      <c r="BF240" s="272"/>
      <c r="BG240" s="272"/>
      <c r="BH240" s="272"/>
      <c r="BI240" s="272"/>
      <c r="BJ240" s="272"/>
      <c r="BK240" s="273">
        <f t="shared" si="780"/>
        <v>85000</v>
      </c>
      <c r="BL240" s="272">
        <f t="shared" si="798"/>
        <v>0</v>
      </c>
      <c r="BM240" s="272"/>
      <c r="BN240" s="272">
        <f t="shared" si="783"/>
        <v>0</v>
      </c>
      <c r="BO240" s="1331">
        <f t="shared" si="784"/>
        <v>0</v>
      </c>
      <c r="BP240" s="272">
        <f t="shared" si="785"/>
        <v>0</v>
      </c>
      <c r="BQ240" s="272">
        <f t="shared" si="786"/>
        <v>0</v>
      </c>
      <c r="BR240" s="272">
        <f t="shared" si="787"/>
        <v>0</v>
      </c>
      <c r="BS240" s="272">
        <f t="shared" si="788"/>
        <v>0</v>
      </c>
      <c r="BT240" s="272">
        <f t="shared" si="789"/>
        <v>0</v>
      </c>
      <c r="BU240" s="272">
        <f t="shared" si="790"/>
        <v>0</v>
      </c>
      <c r="BV240" s="272">
        <f t="shared" si="791"/>
        <v>0</v>
      </c>
      <c r="BW240" s="272">
        <f t="shared" si="792"/>
        <v>0</v>
      </c>
      <c r="BX240" s="299">
        <f t="shared" si="793"/>
        <v>0</v>
      </c>
      <c r="BY240" s="790">
        <f t="shared" si="794"/>
        <v>1700</v>
      </c>
      <c r="BZ240" s="791">
        <f t="shared" si="774"/>
        <v>86700</v>
      </c>
      <c r="CA240" s="792">
        <f t="shared" si="795"/>
        <v>1700</v>
      </c>
      <c r="CB240" s="571">
        <f t="shared" si="775"/>
        <v>1</v>
      </c>
      <c r="CC240" s="1081"/>
      <c r="CD240" s="1081"/>
      <c r="CE240" s="1083"/>
      <c r="CF240" s="1084"/>
      <c r="CG240" s="862"/>
      <c r="CH240" s="862"/>
      <c r="CI240" s="862"/>
      <c r="CJ240" s="862"/>
      <c r="CK240" s="862"/>
      <c r="CL240" s="862"/>
      <c r="CM240" s="862"/>
      <c r="CN240" s="862"/>
      <c r="CO240" s="1081">
        <f t="shared" si="797"/>
        <v>0</v>
      </c>
      <c r="CP240" s="862"/>
      <c r="CQ240" s="862"/>
      <c r="CR240" s="862"/>
      <c r="CS240" s="862"/>
      <c r="CT240" s="862"/>
      <c r="CU240" s="862"/>
      <c r="CV240" s="862"/>
      <c r="CW240" s="862"/>
      <c r="CX240" s="862"/>
      <c r="CY240" s="73">
        <f t="shared" si="777"/>
        <v>0</v>
      </c>
      <c r="CZ240" s="862"/>
      <c r="DA240" s="862"/>
      <c r="DB240" s="862"/>
      <c r="DC240" s="862"/>
      <c r="DD240" s="862"/>
      <c r="DE240" s="862"/>
      <c r="DF240" s="862"/>
      <c r="DG240" s="862"/>
      <c r="DH240" s="1081"/>
      <c r="DI240" s="862"/>
      <c r="DJ240" s="862"/>
      <c r="DK240" s="862"/>
      <c r="DL240" s="862"/>
      <c r="DM240" s="862"/>
      <c r="DN240" s="862"/>
      <c r="DO240" s="862"/>
      <c r="DP240" s="862"/>
      <c r="DQ240" s="862"/>
      <c r="DR240" s="73">
        <f t="shared" si="778"/>
        <v>0</v>
      </c>
      <c r="DS240" s="412"/>
      <c r="DT240" s="412"/>
      <c r="DU240" s="420"/>
      <c r="DV240" s="412"/>
      <c r="DW240" s="412"/>
      <c r="DX240" s="412"/>
      <c r="DY240" s="277"/>
      <c r="DZ240" s="277"/>
      <c r="EA240" s="277"/>
      <c r="EB240" s="277"/>
      <c r="EC240" s="277"/>
      <c r="ED240" s="277"/>
      <c r="EE240" s="277"/>
      <c r="EF240" s="277"/>
      <c r="EG240" s="277"/>
      <c r="EH240" s="277"/>
      <c r="EI240" s="277"/>
    </row>
    <row r="241" spans="1:157" s="278" customFormat="1" ht="24.75" customHeight="1" x14ac:dyDescent="0.2">
      <c r="A241" s="786">
        <f t="shared" si="796"/>
        <v>15</v>
      </c>
      <c r="B241" s="141" t="s">
        <v>392</v>
      </c>
      <c r="C241" s="281" t="s">
        <v>383</v>
      </c>
      <c r="D241" s="596">
        <v>11</v>
      </c>
      <c r="E241" s="992"/>
      <c r="F241" s="342"/>
      <c r="G241" s="270"/>
      <c r="H241" s="342">
        <v>9</v>
      </c>
      <c r="I241" s="576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3">
        <f t="shared" si="760"/>
        <v>9</v>
      </c>
      <c r="X241" s="598" t="s">
        <v>2</v>
      </c>
      <c r="Y241" s="599">
        <v>5000</v>
      </c>
      <c r="Z241" s="995"/>
      <c r="AA241" s="789"/>
      <c r="AB241" s="789"/>
      <c r="AC241" s="789">
        <v>5000</v>
      </c>
      <c r="AD241" s="789"/>
      <c r="AE241" s="569"/>
      <c r="AF241" s="789"/>
      <c r="AG241" s="789"/>
      <c r="AH241" s="789"/>
      <c r="AI241" s="789"/>
      <c r="AJ241" s="789"/>
      <c r="AK241" s="789"/>
      <c r="AL241" s="789"/>
      <c r="AM241" s="789"/>
      <c r="AN241" s="789"/>
      <c r="AO241" s="789"/>
      <c r="AP241" s="789"/>
      <c r="AQ241" s="789"/>
      <c r="AR241" s="570">
        <f t="shared" si="779"/>
        <v>45000</v>
      </c>
      <c r="AS241" s="1352">
        <f t="shared" si="761"/>
        <v>0</v>
      </c>
      <c r="AT241" s="272">
        <f t="shared" si="762"/>
        <v>0</v>
      </c>
      <c r="AU241" s="272">
        <f t="shared" si="763"/>
        <v>0</v>
      </c>
      <c r="AV241" s="272">
        <f t="shared" si="764"/>
        <v>45000</v>
      </c>
      <c r="AW241" s="402">
        <f t="shared" si="765"/>
        <v>0</v>
      </c>
      <c r="AX241" s="272">
        <f t="shared" si="766"/>
        <v>0</v>
      </c>
      <c r="AY241" s="272">
        <f t="shared" si="767"/>
        <v>0</v>
      </c>
      <c r="AZ241" s="272">
        <f t="shared" si="768"/>
        <v>0</v>
      </c>
      <c r="BA241" s="272">
        <f t="shared" si="769"/>
        <v>0</v>
      </c>
      <c r="BB241" s="272">
        <f t="shared" si="770"/>
        <v>0</v>
      </c>
      <c r="BC241" s="272">
        <f t="shared" si="771"/>
        <v>0</v>
      </c>
      <c r="BD241" s="272">
        <f t="shared" si="772"/>
        <v>0</v>
      </c>
      <c r="BE241" s="272"/>
      <c r="BF241" s="272"/>
      <c r="BG241" s="272"/>
      <c r="BH241" s="272"/>
      <c r="BI241" s="272"/>
      <c r="BJ241" s="272"/>
      <c r="BK241" s="273">
        <f t="shared" si="780"/>
        <v>45000</v>
      </c>
      <c r="BL241" s="272">
        <f t="shared" si="798"/>
        <v>0</v>
      </c>
      <c r="BM241" s="272">
        <f t="shared" si="782"/>
        <v>0</v>
      </c>
      <c r="BN241" s="272"/>
      <c r="BO241" s="1331"/>
      <c r="BP241" s="272">
        <f t="shared" si="785"/>
        <v>0</v>
      </c>
      <c r="BQ241" s="272">
        <f t="shared" si="786"/>
        <v>0</v>
      </c>
      <c r="BR241" s="272">
        <f t="shared" si="787"/>
        <v>0</v>
      </c>
      <c r="BS241" s="272">
        <f t="shared" si="788"/>
        <v>0</v>
      </c>
      <c r="BT241" s="272">
        <f t="shared" si="789"/>
        <v>0</v>
      </c>
      <c r="BU241" s="272">
        <f t="shared" si="790"/>
        <v>0</v>
      </c>
      <c r="BV241" s="272">
        <f t="shared" si="791"/>
        <v>0</v>
      </c>
      <c r="BW241" s="272">
        <f t="shared" si="792"/>
        <v>0</v>
      </c>
      <c r="BX241" s="299">
        <f t="shared" si="793"/>
        <v>0</v>
      </c>
      <c r="BY241" s="790">
        <f t="shared" si="794"/>
        <v>0</v>
      </c>
      <c r="BZ241" s="791">
        <f t="shared" si="774"/>
        <v>55000</v>
      </c>
      <c r="CA241" s="792">
        <f>BZ241-BK241-BX241-1560</f>
        <v>8440</v>
      </c>
      <c r="CB241" s="571">
        <f t="shared" si="775"/>
        <v>0.81818181818181823</v>
      </c>
      <c r="CC241" s="1081"/>
      <c r="CD241" s="1081"/>
      <c r="CE241" s="1083"/>
      <c r="CF241" s="1084"/>
      <c r="CG241" s="862"/>
      <c r="CH241" s="862"/>
      <c r="CI241" s="862"/>
      <c r="CJ241" s="862"/>
      <c r="CK241" s="862"/>
      <c r="CL241" s="862"/>
      <c r="CM241" s="862"/>
      <c r="CN241" s="862"/>
      <c r="CO241" s="1081">
        <f t="shared" si="797"/>
        <v>0</v>
      </c>
      <c r="CP241" s="862"/>
      <c r="CQ241" s="862"/>
      <c r="CR241" s="862"/>
      <c r="CS241" s="862"/>
      <c r="CT241" s="862"/>
      <c r="CU241" s="862"/>
      <c r="CV241" s="862"/>
      <c r="CW241" s="862"/>
      <c r="CX241" s="862"/>
      <c r="CY241" s="73">
        <f t="shared" si="777"/>
        <v>0</v>
      </c>
      <c r="CZ241" s="862"/>
      <c r="DA241" s="862"/>
      <c r="DB241" s="862"/>
      <c r="DC241" s="862"/>
      <c r="DD241" s="862"/>
      <c r="DE241" s="862"/>
      <c r="DF241" s="862"/>
      <c r="DG241" s="862"/>
      <c r="DH241" s="1081"/>
      <c r="DI241" s="862"/>
      <c r="DJ241" s="862"/>
      <c r="DK241" s="862"/>
      <c r="DL241" s="862"/>
      <c r="DM241" s="862"/>
      <c r="DN241" s="862"/>
      <c r="DO241" s="862"/>
      <c r="DP241" s="862"/>
      <c r="DQ241" s="862"/>
      <c r="DR241" s="73">
        <f t="shared" si="778"/>
        <v>0</v>
      </c>
      <c r="DS241" s="412"/>
      <c r="DT241" s="412"/>
      <c r="DU241" s="420"/>
      <c r="DV241" s="412"/>
      <c r="DW241" s="412"/>
      <c r="DX241" s="412"/>
      <c r="DY241" s="277"/>
      <c r="DZ241" s="277"/>
      <c r="EA241" s="277"/>
      <c r="EB241" s="277"/>
      <c r="EC241" s="277"/>
      <c r="ED241" s="277"/>
      <c r="EE241" s="277"/>
      <c r="EF241" s="277"/>
      <c r="EG241" s="277"/>
      <c r="EH241" s="277"/>
      <c r="EI241" s="277"/>
    </row>
    <row r="242" spans="1:157" s="278" customFormat="1" ht="24.75" customHeight="1" x14ac:dyDescent="0.2">
      <c r="A242" s="786">
        <f t="shared" si="796"/>
        <v>16</v>
      </c>
      <c r="B242" s="141" t="s">
        <v>393</v>
      </c>
      <c r="C242" s="281" t="s">
        <v>383</v>
      </c>
      <c r="D242" s="596">
        <v>7</v>
      </c>
      <c r="E242" s="992"/>
      <c r="F242" s="342">
        <v>7</v>
      </c>
      <c r="G242" s="270"/>
      <c r="H242" s="342"/>
      <c r="I242" s="576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3">
        <f t="shared" si="760"/>
        <v>7</v>
      </c>
      <c r="X242" s="600" t="s">
        <v>2</v>
      </c>
      <c r="Y242" s="601">
        <v>5912</v>
      </c>
      <c r="Z242" s="995"/>
      <c r="AA242" s="789">
        <v>5000</v>
      </c>
      <c r="AB242" s="789"/>
      <c r="AC242" s="789"/>
      <c r="AD242" s="789"/>
      <c r="AE242" s="569"/>
      <c r="AF242" s="789"/>
      <c r="AG242" s="789"/>
      <c r="AH242" s="789"/>
      <c r="AI242" s="789"/>
      <c r="AJ242" s="789"/>
      <c r="AK242" s="789"/>
      <c r="AL242" s="789"/>
      <c r="AM242" s="789"/>
      <c r="AN242" s="789"/>
      <c r="AO242" s="789"/>
      <c r="AP242" s="789"/>
      <c r="AQ242" s="789"/>
      <c r="AR242" s="570">
        <f t="shared" ref="AR242:AR243" si="799">SUM(W242*Y242)</f>
        <v>41384</v>
      </c>
      <c r="AS242" s="1352">
        <f t="shared" si="761"/>
        <v>0</v>
      </c>
      <c r="AT242" s="272">
        <f t="shared" si="762"/>
        <v>35000</v>
      </c>
      <c r="AU242" s="272">
        <f t="shared" si="763"/>
        <v>0</v>
      </c>
      <c r="AV242" s="272">
        <f t="shared" si="764"/>
        <v>0</v>
      </c>
      <c r="AW242" s="402">
        <f t="shared" si="765"/>
        <v>0</v>
      </c>
      <c r="AX242" s="272">
        <f t="shared" si="766"/>
        <v>0</v>
      </c>
      <c r="AY242" s="272">
        <f t="shared" si="767"/>
        <v>0</v>
      </c>
      <c r="AZ242" s="272">
        <f t="shared" si="768"/>
        <v>0</v>
      </c>
      <c r="BA242" s="272">
        <f t="shared" si="769"/>
        <v>0</v>
      </c>
      <c r="BB242" s="272">
        <f t="shared" si="770"/>
        <v>0</v>
      </c>
      <c r="BC242" s="272">
        <f t="shared" si="771"/>
        <v>0</v>
      </c>
      <c r="BD242" s="272">
        <f t="shared" si="772"/>
        <v>0</v>
      </c>
      <c r="BE242" s="272"/>
      <c r="BF242" s="272"/>
      <c r="BG242" s="272"/>
      <c r="BH242" s="272"/>
      <c r="BI242" s="272"/>
      <c r="BJ242" s="272"/>
      <c r="BK242" s="273">
        <f t="shared" ref="BK242:BK243" si="800">SUM(AS242:BD242)</f>
        <v>35000</v>
      </c>
      <c r="BL242" s="272">
        <f t="shared" ref="BL242:BL243" si="801">SUM(AS242*14%)</f>
        <v>0</v>
      </c>
      <c r="BM242" s="272"/>
      <c r="BN242" s="272">
        <f t="shared" ref="BN242:BN243" si="802">SUM(AU242*14%)</f>
        <v>0</v>
      </c>
      <c r="BO242" s="1331">
        <f t="shared" ref="BO242:BO243" si="803">SUM(AV242*14%)</f>
        <v>0</v>
      </c>
      <c r="BP242" s="272">
        <f t="shared" ref="BP242:BP243" si="804">SUM(AW242*14%)</f>
        <v>0</v>
      </c>
      <c r="BQ242" s="272">
        <f t="shared" ref="BQ242:BQ243" si="805">SUM(AX242*14%)</f>
        <v>0</v>
      </c>
      <c r="BR242" s="272">
        <f t="shared" ref="BR242:BR243" si="806">SUM(AY242*14%)</f>
        <v>0</v>
      </c>
      <c r="BS242" s="272">
        <f t="shared" ref="BS242:BS243" si="807">SUM(AZ242*14%)</f>
        <v>0</v>
      </c>
      <c r="BT242" s="272">
        <f t="shared" ref="BT242:BT243" si="808">SUM(BA242*14%)</f>
        <v>0</v>
      </c>
      <c r="BU242" s="272">
        <f t="shared" ref="BU242:BU243" si="809">SUM(BB242*14%)</f>
        <v>0</v>
      </c>
      <c r="BV242" s="272">
        <f t="shared" ref="BV242:BV243" si="810">SUM(BC242*14%)</f>
        <v>0</v>
      </c>
      <c r="BW242" s="272">
        <f t="shared" ref="BW242:BW243" si="811">SUM(BD242*14%)</f>
        <v>0</v>
      </c>
      <c r="BX242" s="299">
        <f t="shared" ref="BX242:BX243" si="812">SUM(BL242:BW242)</f>
        <v>0</v>
      </c>
      <c r="BY242" s="790">
        <f t="shared" ref="BY242:BY243" si="813">AR242-BK242-BX242</f>
        <v>6384</v>
      </c>
      <c r="BZ242" s="791">
        <f t="shared" si="774"/>
        <v>41384</v>
      </c>
      <c r="CA242" s="792">
        <f t="shared" ref="CA242:CA243" si="814">BZ242-BK242-BX242</f>
        <v>6384</v>
      </c>
      <c r="CB242" s="571">
        <f t="shared" si="775"/>
        <v>1</v>
      </c>
      <c r="CC242" s="1081"/>
      <c r="CD242" s="1081"/>
      <c r="CE242" s="1083"/>
      <c r="CF242" s="1084"/>
      <c r="CG242" s="862"/>
      <c r="CH242" s="862"/>
      <c r="CI242" s="862"/>
      <c r="CJ242" s="862"/>
      <c r="CK242" s="862"/>
      <c r="CL242" s="862"/>
      <c r="CM242" s="862"/>
      <c r="CN242" s="862"/>
      <c r="CO242" s="1081">
        <f t="shared" si="797"/>
        <v>0</v>
      </c>
      <c r="CP242" s="862"/>
      <c r="CQ242" s="862"/>
      <c r="CR242" s="862"/>
      <c r="CS242" s="862"/>
      <c r="CT242" s="862"/>
      <c r="CU242" s="862"/>
      <c r="CV242" s="862"/>
      <c r="CW242" s="862"/>
      <c r="CX242" s="862"/>
      <c r="CY242" s="73">
        <f t="shared" si="777"/>
        <v>0</v>
      </c>
      <c r="CZ242" s="862"/>
      <c r="DA242" s="862"/>
      <c r="DB242" s="862"/>
      <c r="DC242" s="862"/>
      <c r="DD242" s="862"/>
      <c r="DE242" s="862"/>
      <c r="DF242" s="862"/>
      <c r="DG242" s="862"/>
      <c r="DH242" s="1081"/>
      <c r="DI242" s="862"/>
      <c r="DJ242" s="862"/>
      <c r="DK242" s="862"/>
      <c r="DL242" s="862"/>
      <c r="DM242" s="862"/>
      <c r="DN242" s="862"/>
      <c r="DO242" s="862"/>
      <c r="DP242" s="862"/>
      <c r="DQ242" s="862"/>
      <c r="DR242" s="73">
        <f t="shared" si="778"/>
        <v>0</v>
      </c>
      <c r="DS242" s="412"/>
      <c r="DT242" s="412"/>
      <c r="DU242" s="420"/>
      <c r="DV242" s="412"/>
      <c r="DW242" s="412"/>
      <c r="DX242" s="412"/>
      <c r="DY242" s="277"/>
      <c r="DZ242" s="277"/>
      <c r="EA242" s="277"/>
      <c r="EB242" s="277"/>
      <c r="EC242" s="277"/>
      <c r="ED242" s="277"/>
      <c r="EE242" s="277"/>
      <c r="EF242" s="277"/>
      <c r="EG242" s="277"/>
      <c r="EH242" s="277"/>
      <c r="EI242" s="277"/>
    </row>
    <row r="243" spans="1:157" s="278" customFormat="1" ht="24.75" customHeight="1" x14ac:dyDescent="0.2">
      <c r="A243" s="786">
        <f t="shared" si="796"/>
        <v>17</v>
      </c>
      <c r="B243" s="141" t="s">
        <v>562</v>
      </c>
      <c r="C243" s="281" t="s">
        <v>383</v>
      </c>
      <c r="D243" s="596">
        <v>1</v>
      </c>
      <c r="E243" s="992"/>
      <c r="F243" s="342"/>
      <c r="G243" s="270"/>
      <c r="H243" s="342"/>
      <c r="I243" s="576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3">
        <f t="shared" si="760"/>
        <v>0</v>
      </c>
      <c r="X243" s="600" t="s">
        <v>2</v>
      </c>
      <c r="Y243" s="601">
        <v>4452</v>
      </c>
      <c r="Z243" s="995"/>
      <c r="AA243" s="789"/>
      <c r="AB243" s="789"/>
      <c r="AC243" s="789"/>
      <c r="AD243" s="789"/>
      <c r="AE243" s="569"/>
      <c r="AF243" s="789"/>
      <c r="AG243" s="789"/>
      <c r="AH243" s="789"/>
      <c r="AI243" s="789"/>
      <c r="AJ243" s="789"/>
      <c r="AK243" s="789"/>
      <c r="AL243" s="789"/>
      <c r="AM243" s="789"/>
      <c r="AN243" s="789"/>
      <c r="AO243" s="789"/>
      <c r="AP243" s="789"/>
      <c r="AQ243" s="789"/>
      <c r="AR243" s="570">
        <f t="shared" si="799"/>
        <v>0</v>
      </c>
      <c r="AS243" s="1352">
        <f t="shared" si="761"/>
        <v>0</v>
      </c>
      <c r="AT243" s="272">
        <f t="shared" si="762"/>
        <v>0</v>
      </c>
      <c r="AU243" s="272">
        <f t="shared" si="763"/>
        <v>0</v>
      </c>
      <c r="AV243" s="272">
        <f t="shared" si="764"/>
        <v>0</v>
      </c>
      <c r="AW243" s="402">
        <f t="shared" si="765"/>
        <v>0</v>
      </c>
      <c r="AX243" s="272">
        <f t="shared" si="766"/>
        <v>0</v>
      </c>
      <c r="AY243" s="272">
        <f t="shared" si="767"/>
        <v>0</v>
      </c>
      <c r="AZ243" s="272">
        <f t="shared" si="768"/>
        <v>0</v>
      </c>
      <c r="BA243" s="272">
        <f t="shared" si="769"/>
        <v>0</v>
      </c>
      <c r="BB243" s="272">
        <f t="shared" si="770"/>
        <v>0</v>
      </c>
      <c r="BC243" s="272">
        <f t="shared" si="771"/>
        <v>0</v>
      </c>
      <c r="BD243" s="272">
        <f t="shared" si="772"/>
        <v>0</v>
      </c>
      <c r="BE243" s="272"/>
      <c r="BF243" s="272"/>
      <c r="BG243" s="272"/>
      <c r="BH243" s="272"/>
      <c r="BI243" s="272"/>
      <c r="BJ243" s="272"/>
      <c r="BK243" s="273">
        <f t="shared" si="800"/>
        <v>0</v>
      </c>
      <c r="BL243" s="272">
        <f t="shared" si="801"/>
        <v>0</v>
      </c>
      <c r="BM243" s="272">
        <f t="shared" ref="BM243" si="815">SUM(AT243*14%)</f>
        <v>0</v>
      </c>
      <c r="BN243" s="272">
        <f t="shared" si="802"/>
        <v>0</v>
      </c>
      <c r="BO243" s="1331">
        <f t="shared" si="803"/>
        <v>0</v>
      </c>
      <c r="BP243" s="272">
        <f t="shared" si="804"/>
        <v>0</v>
      </c>
      <c r="BQ243" s="272">
        <f t="shared" si="805"/>
        <v>0</v>
      </c>
      <c r="BR243" s="272">
        <f t="shared" si="806"/>
        <v>0</v>
      </c>
      <c r="BS243" s="272">
        <f t="shared" si="807"/>
        <v>0</v>
      </c>
      <c r="BT243" s="272">
        <f t="shared" si="808"/>
        <v>0</v>
      </c>
      <c r="BU243" s="272">
        <f t="shared" si="809"/>
        <v>0</v>
      </c>
      <c r="BV243" s="272">
        <f t="shared" si="810"/>
        <v>0</v>
      </c>
      <c r="BW243" s="272">
        <f t="shared" si="811"/>
        <v>0</v>
      </c>
      <c r="BX243" s="299">
        <f t="shared" si="812"/>
        <v>0</v>
      </c>
      <c r="BY243" s="790">
        <f t="shared" si="813"/>
        <v>0</v>
      </c>
      <c r="BZ243" s="791">
        <f t="shared" si="774"/>
        <v>4452</v>
      </c>
      <c r="CA243" s="792">
        <f t="shared" si="814"/>
        <v>4452</v>
      </c>
      <c r="CB243" s="571">
        <f t="shared" si="775"/>
        <v>0</v>
      </c>
      <c r="CC243" s="1081"/>
      <c r="CD243" s="1081"/>
      <c r="CE243" s="1083"/>
      <c r="CF243" s="1084"/>
      <c r="CG243" s="862"/>
      <c r="CH243" s="862"/>
      <c r="CI243" s="862"/>
      <c r="CJ243" s="862"/>
      <c r="CK243" s="862"/>
      <c r="CL243" s="862"/>
      <c r="CM243" s="862"/>
      <c r="CN243" s="862"/>
      <c r="CO243" s="1081">
        <f t="shared" si="797"/>
        <v>0</v>
      </c>
      <c r="CP243" s="862"/>
      <c r="CQ243" s="862"/>
      <c r="CR243" s="862"/>
      <c r="CS243" s="862"/>
      <c r="CT243" s="862"/>
      <c r="CU243" s="862"/>
      <c r="CV243" s="862"/>
      <c r="CW243" s="862"/>
      <c r="CX243" s="862"/>
      <c r="CY243" s="73">
        <f t="shared" si="777"/>
        <v>0</v>
      </c>
      <c r="CZ243" s="862"/>
      <c r="DA243" s="862"/>
      <c r="DB243" s="862"/>
      <c r="DC243" s="862"/>
      <c r="DD243" s="862"/>
      <c r="DE243" s="862"/>
      <c r="DF243" s="862"/>
      <c r="DG243" s="862"/>
      <c r="DH243" s="1081"/>
      <c r="DI243" s="862"/>
      <c r="DJ243" s="862"/>
      <c r="DK243" s="862"/>
      <c r="DL243" s="862"/>
      <c r="DM243" s="862"/>
      <c r="DN243" s="862"/>
      <c r="DO243" s="862"/>
      <c r="DP243" s="862"/>
      <c r="DQ243" s="862"/>
      <c r="DR243" s="73">
        <f t="shared" si="778"/>
        <v>0</v>
      </c>
      <c r="DS243" s="412"/>
      <c r="DT243" s="412"/>
      <c r="DU243" s="420"/>
      <c r="DV243" s="412"/>
      <c r="DW243" s="412"/>
      <c r="DX243" s="412"/>
      <c r="DY243" s="277"/>
      <c r="DZ243" s="277"/>
      <c r="EA243" s="277"/>
      <c r="EB243" s="277"/>
      <c r="EC243" s="277"/>
      <c r="ED243" s="277"/>
      <c r="EE243" s="277"/>
      <c r="EF243" s="277"/>
      <c r="EG243" s="277"/>
      <c r="EH243" s="277"/>
      <c r="EI243" s="277"/>
    </row>
    <row r="244" spans="1:157" s="278" customFormat="1" ht="24.75" customHeight="1" x14ac:dyDescent="0.2">
      <c r="A244" s="786"/>
      <c r="B244" s="796" t="s">
        <v>168</v>
      </c>
      <c r="C244" s="281"/>
      <c r="D244" s="596"/>
      <c r="E244" s="992"/>
      <c r="F244" s="342"/>
      <c r="G244" s="270"/>
      <c r="H244" s="342"/>
      <c r="I244" s="576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3"/>
      <c r="X244" s="600"/>
      <c r="Y244" s="601"/>
      <c r="Z244" s="995"/>
      <c r="AA244" s="789"/>
      <c r="AB244" s="789"/>
      <c r="AC244" s="789"/>
      <c r="AD244" s="789"/>
      <c r="AE244" s="569"/>
      <c r="AF244" s="789"/>
      <c r="AG244" s="789"/>
      <c r="AH244" s="789"/>
      <c r="AI244" s="789"/>
      <c r="AJ244" s="789"/>
      <c r="AK244" s="789"/>
      <c r="AL244" s="789"/>
      <c r="AM244" s="789"/>
      <c r="AN244" s="789"/>
      <c r="AO244" s="789"/>
      <c r="AP244" s="789"/>
      <c r="AQ244" s="789"/>
      <c r="AR244" s="570"/>
      <c r="AS244" s="1352"/>
      <c r="AT244" s="272"/>
      <c r="AU244" s="272"/>
      <c r="AV244" s="272"/>
      <c r="AW244" s="402"/>
      <c r="AX244" s="272"/>
      <c r="AY244" s="272"/>
      <c r="AZ244" s="272"/>
      <c r="BA244" s="272"/>
      <c r="BB244" s="272"/>
      <c r="BC244" s="272"/>
      <c r="BD244" s="272"/>
      <c r="BE244" s="272"/>
      <c r="BF244" s="272"/>
      <c r="BG244" s="272"/>
      <c r="BH244" s="272"/>
      <c r="BI244" s="272"/>
      <c r="BJ244" s="272"/>
      <c r="BK244" s="273"/>
      <c r="BL244" s="272"/>
      <c r="BM244" s="272"/>
      <c r="BN244" s="272"/>
      <c r="BO244" s="1331"/>
      <c r="BP244" s="272"/>
      <c r="BQ244" s="272"/>
      <c r="BR244" s="272"/>
      <c r="BS244" s="272"/>
      <c r="BT244" s="272"/>
      <c r="BU244" s="272"/>
      <c r="BV244" s="272"/>
      <c r="BW244" s="272"/>
      <c r="BX244" s="299"/>
      <c r="BY244" s="790"/>
      <c r="BZ244" s="791"/>
      <c r="CA244" s="792"/>
      <c r="CB244" s="571"/>
      <c r="CC244" s="1081"/>
      <c r="CD244" s="1081"/>
      <c r="CE244" s="1083"/>
      <c r="CF244" s="1084"/>
      <c r="CG244" s="862"/>
      <c r="CH244" s="862"/>
      <c r="CI244" s="862"/>
      <c r="CJ244" s="862"/>
      <c r="CK244" s="862"/>
      <c r="CL244" s="862"/>
      <c r="CM244" s="862"/>
      <c r="CN244" s="862"/>
      <c r="CO244" s="1081">
        <f t="shared" si="797"/>
        <v>0</v>
      </c>
      <c r="CP244" s="862"/>
      <c r="CQ244" s="862"/>
      <c r="CR244" s="862"/>
      <c r="CS244" s="862"/>
      <c r="CT244" s="862"/>
      <c r="CU244" s="862"/>
      <c r="CV244" s="862"/>
      <c r="CW244" s="862"/>
      <c r="CX244" s="862"/>
      <c r="CY244" s="73">
        <f t="shared" si="777"/>
        <v>0</v>
      </c>
      <c r="CZ244" s="862"/>
      <c r="DA244" s="862"/>
      <c r="DB244" s="862"/>
      <c r="DC244" s="862"/>
      <c r="DD244" s="862"/>
      <c r="DE244" s="862"/>
      <c r="DF244" s="862"/>
      <c r="DG244" s="862"/>
      <c r="DH244" s="1081"/>
      <c r="DI244" s="862"/>
      <c r="DJ244" s="862"/>
      <c r="DK244" s="862"/>
      <c r="DL244" s="862"/>
      <c r="DM244" s="862"/>
      <c r="DN244" s="862"/>
      <c r="DO244" s="862"/>
      <c r="DP244" s="862"/>
      <c r="DQ244" s="862"/>
      <c r="DR244" s="73">
        <f t="shared" si="778"/>
        <v>0</v>
      </c>
      <c r="DS244" s="412"/>
      <c r="DT244" s="412"/>
      <c r="DU244" s="420"/>
      <c r="DV244" s="412"/>
      <c r="DW244" s="412"/>
      <c r="DX244" s="412"/>
      <c r="DY244" s="277"/>
      <c r="DZ244" s="277"/>
      <c r="EA244" s="277"/>
      <c r="EB244" s="277"/>
      <c r="EC244" s="277"/>
      <c r="ED244" s="277"/>
      <c r="EE244" s="277"/>
      <c r="EF244" s="277"/>
      <c r="EG244" s="277"/>
      <c r="EH244" s="277"/>
      <c r="EI244" s="277"/>
    </row>
    <row r="245" spans="1:157" s="278" customFormat="1" ht="24.75" customHeight="1" x14ac:dyDescent="0.2">
      <c r="A245" s="786">
        <v>18</v>
      </c>
      <c r="B245" s="141" t="s">
        <v>563</v>
      </c>
      <c r="C245" s="281" t="s">
        <v>383</v>
      </c>
      <c r="D245" s="596">
        <v>1</v>
      </c>
      <c r="E245" s="992"/>
      <c r="F245" s="342">
        <v>1</v>
      </c>
      <c r="G245" s="270"/>
      <c r="H245" s="342"/>
      <c r="I245" s="576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3">
        <f>SUM(E245:P245)</f>
        <v>1</v>
      </c>
      <c r="X245" s="600" t="s">
        <v>2</v>
      </c>
      <c r="Y245" s="601">
        <v>567500</v>
      </c>
      <c r="Z245" s="995"/>
      <c r="AA245" s="788">
        <v>550000</v>
      </c>
      <c r="AB245" s="789"/>
      <c r="AC245" s="789"/>
      <c r="AD245" s="789"/>
      <c r="AE245" s="569"/>
      <c r="AF245" s="789"/>
      <c r="AG245" s="789"/>
      <c r="AH245" s="789"/>
      <c r="AI245" s="789"/>
      <c r="AJ245" s="789"/>
      <c r="AK245" s="789"/>
      <c r="AL245" s="789"/>
      <c r="AM245" s="789"/>
      <c r="AN245" s="789"/>
      <c r="AO245" s="789"/>
      <c r="AP245" s="789"/>
      <c r="AQ245" s="789"/>
      <c r="AR245" s="570">
        <f t="shared" ref="AR245:AR248" si="816">SUM(W245*Y245)</f>
        <v>567500</v>
      </c>
      <c r="AS245" s="1352">
        <f t="shared" ref="AS245:BD245" si="817">Z245*E245</f>
        <v>0</v>
      </c>
      <c r="AT245" s="272">
        <f t="shared" si="817"/>
        <v>550000</v>
      </c>
      <c r="AU245" s="272">
        <f t="shared" si="817"/>
        <v>0</v>
      </c>
      <c r="AV245" s="272">
        <f t="shared" si="817"/>
        <v>0</v>
      </c>
      <c r="AW245" s="402">
        <f t="shared" si="817"/>
        <v>0</v>
      </c>
      <c r="AX245" s="272">
        <f t="shared" si="817"/>
        <v>0</v>
      </c>
      <c r="AY245" s="272">
        <f t="shared" si="817"/>
        <v>0</v>
      </c>
      <c r="AZ245" s="272">
        <f t="shared" si="817"/>
        <v>0</v>
      </c>
      <c r="BA245" s="272">
        <f t="shared" si="817"/>
        <v>0</v>
      </c>
      <c r="BB245" s="272">
        <f t="shared" si="817"/>
        <v>0</v>
      </c>
      <c r="BC245" s="272">
        <f t="shared" si="817"/>
        <v>0</v>
      </c>
      <c r="BD245" s="272">
        <f t="shared" si="817"/>
        <v>0</v>
      </c>
      <c r="BE245" s="272"/>
      <c r="BF245" s="272"/>
      <c r="BG245" s="272"/>
      <c r="BH245" s="272"/>
      <c r="BI245" s="272"/>
      <c r="BJ245" s="272"/>
      <c r="BK245" s="273">
        <f t="shared" ref="BK245:BK248" si="818">SUM(AS245:BD245)</f>
        <v>550000</v>
      </c>
      <c r="BL245" s="272">
        <f t="shared" ref="BL245:BL248" si="819">SUM(AS245*14%)</f>
        <v>0</v>
      </c>
      <c r="BM245" s="272"/>
      <c r="BN245" s="272">
        <f t="shared" ref="BN245:BN247" si="820">SUM(AU245*14%)</f>
        <v>0</v>
      </c>
      <c r="BO245" s="1331">
        <f t="shared" ref="BO245:BO248" si="821">SUM(AV245*14%)</f>
        <v>0</v>
      </c>
      <c r="BP245" s="272">
        <f t="shared" ref="BP245:BP248" si="822">SUM(AW245*14%)</f>
        <v>0</v>
      </c>
      <c r="BQ245" s="272">
        <f t="shared" ref="BQ245:BQ248" si="823">SUM(AX245*14%)</f>
        <v>0</v>
      </c>
      <c r="BR245" s="272">
        <f t="shared" ref="BR245:BR248" si="824">SUM(AY245*14%)</f>
        <v>0</v>
      </c>
      <c r="BS245" s="272">
        <f t="shared" ref="BS245:BS248" si="825">SUM(AZ245*14%)</f>
        <v>0</v>
      </c>
      <c r="BT245" s="272">
        <f t="shared" ref="BT245:BT248" si="826">SUM(BA245*14%)</f>
        <v>0</v>
      </c>
      <c r="BU245" s="272">
        <f t="shared" ref="BU245:BU248" si="827">SUM(BB245*14%)</f>
        <v>0</v>
      </c>
      <c r="BV245" s="272">
        <f t="shared" ref="BV245:BV248" si="828">SUM(BC245*14%)</f>
        <v>0</v>
      </c>
      <c r="BW245" s="272">
        <f t="shared" ref="BW245:BW248" si="829">SUM(BD245*14%)</f>
        <v>0</v>
      </c>
      <c r="BX245" s="299">
        <f t="shared" ref="BX245:BX248" si="830">SUM(BL245:BW245)</f>
        <v>0</v>
      </c>
      <c r="BY245" s="790">
        <f t="shared" ref="BY245:BY248" si="831">AR245-BK245-BX245</f>
        <v>17500</v>
      </c>
      <c r="BZ245" s="791">
        <f>Y245*D245</f>
        <v>567500</v>
      </c>
      <c r="CA245" s="792">
        <f t="shared" ref="CA245:CA248" si="832">BZ245-BK245-BX245</f>
        <v>17500</v>
      </c>
      <c r="CB245" s="571">
        <f>SUM(W245/D245)</f>
        <v>1</v>
      </c>
      <c r="CC245" s="1081"/>
      <c r="CD245" s="1081"/>
      <c r="CE245" s="1083"/>
      <c r="CF245" s="1084"/>
      <c r="CG245" s="862"/>
      <c r="CH245" s="862"/>
      <c r="CI245" s="862"/>
      <c r="CJ245" s="862"/>
      <c r="CK245" s="862"/>
      <c r="CL245" s="862"/>
      <c r="CM245" s="862"/>
      <c r="CN245" s="862"/>
      <c r="CO245" s="1081">
        <f t="shared" si="797"/>
        <v>0</v>
      </c>
      <c r="CP245" s="862"/>
      <c r="CQ245" s="862"/>
      <c r="CR245" s="862"/>
      <c r="CS245" s="862"/>
      <c r="CT245" s="862"/>
      <c r="CU245" s="862"/>
      <c r="CV245" s="862"/>
      <c r="CW245" s="862"/>
      <c r="CX245" s="862"/>
      <c r="CY245" s="73">
        <f t="shared" si="777"/>
        <v>0</v>
      </c>
      <c r="CZ245" s="862"/>
      <c r="DA245" s="862"/>
      <c r="DB245" s="862"/>
      <c r="DC245" s="862"/>
      <c r="DD245" s="862"/>
      <c r="DE245" s="862"/>
      <c r="DF245" s="862"/>
      <c r="DG245" s="862"/>
      <c r="DH245" s="1081"/>
      <c r="DI245" s="862"/>
      <c r="DJ245" s="862"/>
      <c r="DK245" s="862"/>
      <c r="DL245" s="862"/>
      <c r="DM245" s="862"/>
      <c r="DN245" s="862"/>
      <c r="DO245" s="862"/>
      <c r="DP245" s="862"/>
      <c r="DQ245" s="862"/>
      <c r="DR245" s="73">
        <f t="shared" si="778"/>
        <v>0</v>
      </c>
      <c r="DS245" s="412"/>
      <c r="DT245" s="412"/>
      <c r="DU245" s="420"/>
      <c r="DV245" s="412"/>
      <c r="DW245" s="412"/>
      <c r="DX245" s="412"/>
      <c r="DY245" s="277"/>
      <c r="DZ245" s="277"/>
      <c r="EA245" s="277"/>
      <c r="EB245" s="277"/>
      <c r="EC245" s="277"/>
      <c r="ED245" s="277"/>
      <c r="EE245" s="277"/>
      <c r="EF245" s="277"/>
      <c r="EG245" s="277"/>
      <c r="EH245" s="277"/>
      <c r="EI245" s="277"/>
    </row>
    <row r="246" spans="1:157" s="278" customFormat="1" ht="24.75" customHeight="1" x14ac:dyDescent="0.2">
      <c r="A246" s="786"/>
      <c r="B246" s="796" t="s">
        <v>564</v>
      </c>
      <c r="C246" s="281"/>
      <c r="D246" s="596"/>
      <c r="E246" s="992"/>
      <c r="F246" s="342"/>
      <c r="G246" s="270"/>
      <c r="H246" s="342"/>
      <c r="I246" s="576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3"/>
      <c r="X246" s="600"/>
      <c r="Y246" s="601"/>
      <c r="Z246" s="995"/>
      <c r="AA246" s="788"/>
      <c r="AB246" s="789"/>
      <c r="AC246" s="789"/>
      <c r="AD246" s="789"/>
      <c r="AE246" s="569"/>
      <c r="AF246" s="789"/>
      <c r="AG246" s="789"/>
      <c r="AH246" s="789"/>
      <c r="AI246" s="789"/>
      <c r="AJ246" s="789"/>
      <c r="AK246" s="789"/>
      <c r="AL246" s="789"/>
      <c r="AM246" s="789"/>
      <c r="AN246" s="789"/>
      <c r="AO246" s="789"/>
      <c r="AP246" s="789"/>
      <c r="AQ246" s="789"/>
      <c r="AR246" s="570"/>
      <c r="AS246" s="1352"/>
      <c r="AT246" s="272"/>
      <c r="AU246" s="272"/>
      <c r="AV246" s="272"/>
      <c r="AW246" s="402"/>
      <c r="AX246" s="272"/>
      <c r="AY246" s="272"/>
      <c r="AZ246" s="272"/>
      <c r="BA246" s="272"/>
      <c r="BB246" s="272"/>
      <c r="BC246" s="272"/>
      <c r="BD246" s="272"/>
      <c r="BE246" s="272"/>
      <c r="BF246" s="272"/>
      <c r="BG246" s="272"/>
      <c r="BH246" s="272"/>
      <c r="BI246" s="272"/>
      <c r="BJ246" s="272"/>
      <c r="BK246" s="273"/>
      <c r="BL246" s="272"/>
      <c r="BM246" s="272"/>
      <c r="BN246" s="272"/>
      <c r="BO246" s="1331"/>
      <c r="BP246" s="272"/>
      <c r="BQ246" s="272"/>
      <c r="BR246" s="272"/>
      <c r="BS246" s="272"/>
      <c r="BT246" s="272"/>
      <c r="BU246" s="272"/>
      <c r="BV246" s="272"/>
      <c r="BW246" s="272"/>
      <c r="BX246" s="299"/>
      <c r="BY246" s="790"/>
      <c r="BZ246" s="791"/>
      <c r="CA246" s="792"/>
      <c r="CB246" s="571"/>
      <c r="CC246" s="1081"/>
      <c r="CD246" s="1081"/>
      <c r="CE246" s="1083"/>
      <c r="CF246" s="1084"/>
      <c r="CG246" s="862"/>
      <c r="CH246" s="862"/>
      <c r="CI246" s="862"/>
      <c r="CJ246" s="862"/>
      <c r="CK246" s="862"/>
      <c r="CL246" s="862"/>
      <c r="CM246" s="862"/>
      <c r="CN246" s="862"/>
      <c r="CO246" s="1081">
        <f t="shared" si="797"/>
        <v>0</v>
      </c>
      <c r="CP246" s="862"/>
      <c r="CQ246" s="862"/>
      <c r="CR246" s="862"/>
      <c r="CS246" s="862"/>
      <c r="CT246" s="862"/>
      <c r="CU246" s="862"/>
      <c r="CV246" s="862"/>
      <c r="CW246" s="862"/>
      <c r="CX246" s="862"/>
      <c r="CY246" s="73">
        <f t="shared" si="777"/>
        <v>0</v>
      </c>
      <c r="CZ246" s="862"/>
      <c r="DA246" s="862"/>
      <c r="DB246" s="862"/>
      <c r="DC246" s="862"/>
      <c r="DD246" s="862"/>
      <c r="DE246" s="862"/>
      <c r="DF246" s="862"/>
      <c r="DG246" s="862"/>
      <c r="DH246" s="1081"/>
      <c r="DI246" s="862"/>
      <c r="DJ246" s="862"/>
      <c r="DK246" s="862"/>
      <c r="DL246" s="862"/>
      <c r="DM246" s="862"/>
      <c r="DN246" s="862"/>
      <c r="DO246" s="862"/>
      <c r="DP246" s="862"/>
      <c r="DQ246" s="862"/>
      <c r="DR246" s="73">
        <f t="shared" si="778"/>
        <v>0</v>
      </c>
      <c r="DS246" s="412"/>
      <c r="DT246" s="412"/>
      <c r="DU246" s="420"/>
      <c r="DV246" s="412"/>
      <c r="DW246" s="412"/>
      <c r="DX246" s="412"/>
      <c r="DY246" s="277"/>
      <c r="DZ246" s="277"/>
      <c r="EA246" s="277"/>
      <c r="EB246" s="277"/>
      <c r="EC246" s="277"/>
      <c r="ED246" s="277"/>
      <c r="EE246" s="277"/>
      <c r="EF246" s="277"/>
      <c r="EG246" s="277"/>
      <c r="EH246" s="277"/>
      <c r="EI246" s="277"/>
    </row>
    <row r="247" spans="1:157" s="278" customFormat="1" ht="24.75" customHeight="1" x14ac:dyDescent="0.2">
      <c r="A247" s="786">
        <v>19</v>
      </c>
      <c r="B247" s="141" t="s">
        <v>565</v>
      </c>
      <c r="C247" s="281" t="s">
        <v>383</v>
      </c>
      <c r="D247" s="596">
        <v>50</v>
      </c>
      <c r="E247" s="992"/>
      <c r="F247" s="342">
        <v>20</v>
      </c>
      <c r="G247" s="270"/>
      <c r="H247" s="342"/>
      <c r="I247" s="576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3">
        <f>SUM(E247:P247)</f>
        <v>20</v>
      </c>
      <c r="X247" s="600" t="s">
        <v>2</v>
      </c>
      <c r="Y247" s="601">
        <v>10300</v>
      </c>
      <c r="Z247" s="995"/>
      <c r="AA247" s="788">
        <v>9000</v>
      </c>
      <c r="AB247" s="788">
        <v>9000</v>
      </c>
      <c r="AC247" s="789"/>
      <c r="AD247" s="789"/>
      <c r="AE247" s="569"/>
      <c r="AF247" s="789"/>
      <c r="AG247" s="789"/>
      <c r="AH247" s="789"/>
      <c r="AI247" s="789"/>
      <c r="AJ247" s="789"/>
      <c r="AK247" s="789"/>
      <c r="AL247" s="789"/>
      <c r="AM247" s="789"/>
      <c r="AN247" s="789"/>
      <c r="AO247" s="789"/>
      <c r="AP247" s="789"/>
      <c r="AQ247" s="789"/>
      <c r="AR247" s="570">
        <f t="shared" si="816"/>
        <v>206000</v>
      </c>
      <c r="AS247" s="1352">
        <f t="shared" ref="AS247:BD248" si="833">Z247*E247</f>
        <v>0</v>
      </c>
      <c r="AT247" s="272">
        <f t="shared" si="833"/>
        <v>180000</v>
      </c>
      <c r="AU247" s="272">
        <f t="shared" si="833"/>
        <v>0</v>
      </c>
      <c r="AV247" s="272">
        <f t="shared" si="833"/>
        <v>0</v>
      </c>
      <c r="AW247" s="402">
        <f t="shared" si="833"/>
        <v>0</v>
      </c>
      <c r="AX247" s="272">
        <f t="shared" si="833"/>
        <v>0</v>
      </c>
      <c r="AY247" s="272">
        <f t="shared" si="833"/>
        <v>0</v>
      </c>
      <c r="AZ247" s="272">
        <f t="shared" si="833"/>
        <v>0</v>
      </c>
      <c r="BA247" s="272">
        <f t="shared" si="833"/>
        <v>0</v>
      </c>
      <c r="BB247" s="272">
        <f t="shared" si="833"/>
        <v>0</v>
      </c>
      <c r="BC247" s="272">
        <f t="shared" si="833"/>
        <v>0</v>
      </c>
      <c r="BD247" s="272">
        <f t="shared" si="833"/>
        <v>0</v>
      </c>
      <c r="BE247" s="272"/>
      <c r="BF247" s="272"/>
      <c r="BG247" s="272"/>
      <c r="BH247" s="272"/>
      <c r="BI247" s="272"/>
      <c r="BJ247" s="272"/>
      <c r="BK247" s="273">
        <f t="shared" si="818"/>
        <v>180000</v>
      </c>
      <c r="BL247" s="272">
        <f t="shared" si="819"/>
        <v>0</v>
      </c>
      <c r="BM247" s="272">
        <f>SUM(AT247*4%)</f>
        <v>7200</v>
      </c>
      <c r="BN247" s="272">
        <f t="shared" si="820"/>
        <v>0</v>
      </c>
      <c r="BO247" s="1331">
        <f t="shared" si="821"/>
        <v>0</v>
      </c>
      <c r="BP247" s="272">
        <f t="shared" si="822"/>
        <v>0</v>
      </c>
      <c r="BQ247" s="272">
        <f t="shared" si="823"/>
        <v>0</v>
      </c>
      <c r="BR247" s="272">
        <f t="shared" si="824"/>
        <v>0</v>
      </c>
      <c r="BS247" s="272">
        <f t="shared" si="825"/>
        <v>0</v>
      </c>
      <c r="BT247" s="272">
        <f t="shared" si="826"/>
        <v>0</v>
      </c>
      <c r="BU247" s="272">
        <f t="shared" si="827"/>
        <v>0</v>
      </c>
      <c r="BV247" s="272">
        <f t="shared" si="828"/>
        <v>0</v>
      </c>
      <c r="BW247" s="272">
        <f t="shared" si="829"/>
        <v>0</v>
      </c>
      <c r="BX247" s="299">
        <f t="shared" si="830"/>
        <v>7200</v>
      </c>
      <c r="BY247" s="790">
        <f t="shared" si="831"/>
        <v>18800</v>
      </c>
      <c r="BZ247" s="791">
        <f>Y247*D247</f>
        <v>515000</v>
      </c>
      <c r="CA247" s="792">
        <f t="shared" si="832"/>
        <v>327800</v>
      </c>
      <c r="CB247" s="571">
        <f>SUM(W247/D247)</f>
        <v>0.4</v>
      </c>
      <c r="CC247" s="1081"/>
      <c r="CD247" s="1081"/>
      <c r="CE247" s="1083"/>
      <c r="CF247" s="1084"/>
      <c r="CG247" s="862"/>
      <c r="CH247" s="862"/>
      <c r="CI247" s="862"/>
      <c r="CJ247" s="862"/>
      <c r="CK247" s="862"/>
      <c r="CL247" s="862"/>
      <c r="CM247" s="862"/>
      <c r="CN247" s="862"/>
      <c r="CO247" s="1081">
        <f t="shared" si="797"/>
        <v>0</v>
      </c>
      <c r="CP247" s="862"/>
      <c r="CQ247" s="862"/>
      <c r="CR247" s="862"/>
      <c r="CS247" s="862"/>
      <c r="CT247" s="862"/>
      <c r="CU247" s="862"/>
      <c r="CV247" s="862"/>
      <c r="CW247" s="862"/>
      <c r="CX247" s="862"/>
      <c r="CY247" s="73">
        <f t="shared" si="777"/>
        <v>0</v>
      </c>
      <c r="CZ247" s="862"/>
      <c r="DA247" s="862"/>
      <c r="DB247" s="862"/>
      <c r="DC247" s="862"/>
      <c r="DD247" s="862"/>
      <c r="DE247" s="862"/>
      <c r="DF247" s="862"/>
      <c r="DG247" s="862"/>
      <c r="DH247" s="1081"/>
      <c r="DI247" s="862"/>
      <c r="DJ247" s="862"/>
      <c r="DK247" s="862"/>
      <c r="DL247" s="862"/>
      <c r="DM247" s="862"/>
      <c r="DN247" s="862"/>
      <c r="DO247" s="862"/>
      <c r="DP247" s="862"/>
      <c r="DQ247" s="862"/>
      <c r="DR247" s="73">
        <f t="shared" si="778"/>
        <v>0</v>
      </c>
      <c r="DS247" s="412"/>
      <c r="DT247" s="412"/>
      <c r="DU247" s="420"/>
      <c r="DV247" s="412"/>
      <c r="DW247" s="412"/>
      <c r="DX247" s="412"/>
      <c r="DY247" s="277"/>
      <c r="DZ247" s="277"/>
      <c r="EA247" s="277"/>
      <c r="EB247" s="277"/>
      <c r="EC247" s="277"/>
      <c r="ED247" s="277"/>
      <c r="EE247" s="277"/>
      <c r="EF247" s="277"/>
      <c r="EG247" s="277"/>
      <c r="EH247" s="277"/>
      <c r="EI247" s="277"/>
    </row>
    <row r="248" spans="1:157" s="278" customFormat="1" ht="24.75" customHeight="1" thickBot="1" x14ac:dyDescent="0.25">
      <c r="A248" s="786">
        <f t="shared" si="796"/>
        <v>20</v>
      </c>
      <c r="B248" s="141" t="s">
        <v>566</v>
      </c>
      <c r="C248" s="281" t="s">
        <v>383</v>
      </c>
      <c r="D248" s="596">
        <v>50</v>
      </c>
      <c r="E248" s="992"/>
      <c r="F248" s="342">
        <v>20</v>
      </c>
      <c r="G248" s="270">
        <v>20</v>
      </c>
      <c r="H248" s="342"/>
      <c r="I248" s="576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3">
        <f>SUM(E248:P248)</f>
        <v>40</v>
      </c>
      <c r="X248" s="600" t="s">
        <v>2</v>
      </c>
      <c r="Y248" s="601">
        <v>28500</v>
      </c>
      <c r="Z248" s="995"/>
      <c r="AA248" s="788">
        <v>25000</v>
      </c>
      <c r="AB248" s="788">
        <v>25000</v>
      </c>
      <c r="AC248" s="789"/>
      <c r="AD248" s="789"/>
      <c r="AE248" s="569"/>
      <c r="AF248" s="789"/>
      <c r="AG248" s="789"/>
      <c r="AH248" s="789"/>
      <c r="AI248" s="789"/>
      <c r="AJ248" s="789"/>
      <c r="AK248" s="789"/>
      <c r="AL248" s="789"/>
      <c r="AM248" s="789"/>
      <c r="AN248" s="789"/>
      <c r="AO248" s="789"/>
      <c r="AP248" s="789"/>
      <c r="AQ248" s="789"/>
      <c r="AR248" s="570">
        <f t="shared" si="816"/>
        <v>1140000</v>
      </c>
      <c r="AS248" s="1352">
        <f t="shared" si="833"/>
        <v>0</v>
      </c>
      <c r="AT248" s="272">
        <f t="shared" si="833"/>
        <v>500000</v>
      </c>
      <c r="AU248" s="272">
        <f t="shared" si="833"/>
        <v>500000</v>
      </c>
      <c r="AV248" s="272">
        <f t="shared" si="833"/>
        <v>0</v>
      </c>
      <c r="AW248" s="402">
        <f t="shared" si="833"/>
        <v>0</v>
      </c>
      <c r="AX248" s="272">
        <f t="shared" si="833"/>
        <v>0</v>
      </c>
      <c r="AY248" s="272">
        <f t="shared" si="833"/>
        <v>0</v>
      </c>
      <c r="AZ248" s="272">
        <f t="shared" si="833"/>
        <v>0</v>
      </c>
      <c r="BA248" s="272">
        <f t="shared" si="833"/>
        <v>0</v>
      </c>
      <c r="BB248" s="272">
        <f t="shared" si="833"/>
        <v>0</v>
      </c>
      <c r="BC248" s="272">
        <f t="shared" si="833"/>
        <v>0</v>
      </c>
      <c r="BD248" s="272">
        <f t="shared" si="833"/>
        <v>0</v>
      </c>
      <c r="BE248" s="272"/>
      <c r="BF248" s="272"/>
      <c r="BG248" s="272"/>
      <c r="BH248" s="272"/>
      <c r="BI248" s="272"/>
      <c r="BJ248" s="272"/>
      <c r="BK248" s="273">
        <f t="shared" si="818"/>
        <v>1000000</v>
      </c>
      <c r="BL248" s="272">
        <f t="shared" si="819"/>
        <v>0</v>
      </c>
      <c r="BM248" s="272">
        <f>SUM(AT248*4%)</f>
        <v>20000</v>
      </c>
      <c r="BN248" s="272">
        <f>SUM(AU248*4%)</f>
        <v>20000</v>
      </c>
      <c r="BO248" s="1331">
        <f t="shared" si="821"/>
        <v>0</v>
      </c>
      <c r="BP248" s="272">
        <f t="shared" si="822"/>
        <v>0</v>
      </c>
      <c r="BQ248" s="272">
        <f t="shared" si="823"/>
        <v>0</v>
      </c>
      <c r="BR248" s="272">
        <f t="shared" si="824"/>
        <v>0</v>
      </c>
      <c r="BS248" s="272">
        <f t="shared" si="825"/>
        <v>0</v>
      </c>
      <c r="BT248" s="272">
        <f t="shared" si="826"/>
        <v>0</v>
      </c>
      <c r="BU248" s="272">
        <f t="shared" si="827"/>
        <v>0</v>
      </c>
      <c r="BV248" s="272">
        <f t="shared" si="828"/>
        <v>0</v>
      </c>
      <c r="BW248" s="272">
        <f t="shared" si="829"/>
        <v>0</v>
      </c>
      <c r="BX248" s="299">
        <f t="shared" si="830"/>
        <v>40000</v>
      </c>
      <c r="BY248" s="790">
        <f t="shared" si="831"/>
        <v>100000</v>
      </c>
      <c r="BZ248" s="791">
        <f>Y248*D248</f>
        <v>1425000</v>
      </c>
      <c r="CA248" s="792">
        <f t="shared" si="832"/>
        <v>385000</v>
      </c>
      <c r="CB248" s="571">
        <f>SUM(W248/D248)</f>
        <v>0.8</v>
      </c>
      <c r="CC248" s="1081"/>
      <c r="CD248" s="1081"/>
      <c r="CE248" s="1083"/>
      <c r="CF248" s="1084"/>
      <c r="CG248" s="862"/>
      <c r="CH248" s="862"/>
      <c r="CI248" s="862"/>
      <c r="CJ248" s="862"/>
      <c r="CK248" s="862"/>
      <c r="CL248" s="862"/>
      <c r="CM248" s="862"/>
      <c r="CN248" s="862"/>
      <c r="CO248" s="1081">
        <f t="shared" si="797"/>
        <v>0</v>
      </c>
      <c r="CP248" s="862"/>
      <c r="CQ248" s="862"/>
      <c r="CR248" s="862"/>
      <c r="CS248" s="862"/>
      <c r="CT248" s="862"/>
      <c r="CU248" s="862"/>
      <c r="CV248" s="862"/>
      <c r="CW248" s="862"/>
      <c r="CX248" s="862"/>
      <c r="CY248" s="73">
        <f t="shared" si="777"/>
        <v>0</v>
      </c>
      <c r="CZ248" s="862"/>
      <c r="DA248" s="862"/>
      <c r="DB248" s="862"/>
      <c r="DC248" s="862"/>
      <c r="DD248" s="862"/>
      <c r="DE248" s="862"/>
      <c r="DF248" s="862"/>
      <c r="DG248" s="862"/>
      <c r="DH248" s="1081"/>
      <c r="DI248" s="862"/>
      <c r="DJ248" s="862"/>
      <c r="DK248" s="862"/>
      <c r="DL248" s="862"/>
      <c r="DM248" s="862"/>
      <c r="DN248" s="862"/>
      <c r="DO248" s="862"/>
      <c r="DP248" s="862"/>
      <c r="DQ248" s="862"/>
      <c r="DR248" s="73">
        <f t="shared" si="778"/>
        <v>0</v>
      </c>
      <c r="DS248" s="412"/>
      <c r="DT248" s="412"/>
      <c r="DU248" s="420"/>
      <c r="DV248" s="412"/>
      <c r="DW248" s="412"/>
      <c r="DX248" s="412"/>
      <c r="DY248" s="277"/>
      <c r="DZ248" s="277"/>
      <c r="EA248" s="277"/>
      <c r="EB248" s="277"/>
      <c r="EC248" s="277"/>
      <c r="ED248" s="277"/>
      <c r="EE248" s="277"/>
      <c r="EF248" s="277"/>
      <c r="EG248" s="277"/>
      <c r="EH248" s="277"/>
      <c r="EI248" s="277"/>
    </row>
    <row r="249" spans="1:157" s="282" customFormat="1" ht="24.75" customHeight="1" thickBot="1" x14ac:dyDescent="0.25">
      <c r="A249" s="577">
        <v>10</v>
      </c>
      <c r="B249" s="308" t="s">
        <v>4</v>
      </c>
      <c r="C249" s="308"/>
      <c r="D249" s="309"/>
      <c r="E249" s="465"/>
      <c r="F249" s="310"/>
      <c r="G249" s="399"/>
      <c r="H249" s="310"/>
      <c r="I249" s="465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0"/>
      <c r="V249" s="310"/>
      <c r="W249" s="311"/>
      <c r="X249" s="312"/>
      <c r="Y249" s="313"/>
      <c r="Z249" s="997"/>
      <c r="AA249" s="314"/>
      <c r="AB249" s="314"/>
      <c r="AC249" s="314"/>
      <c r="AD249" s="314"/>
      <c r="AE249" s="989"/>
      <c r="AF249" s="314"/>
      <c r="AG249" s="314"/>
      <c r="AH249" s="314"/>
      <c r="AI249" s="314"/>
      <c r="AJ249" s="314"/>
      <c r="AK249" s="314"/>
      <c r="AL249" s="314"/>
      <c r="AM249" s="314"/>
      <c r="AN249" s="314"/>
      <c r="AO249" s="314"/>
      <c r="AP249" s="314"/>
      <c r="AQ249" s="314"/>
      <c r="AR249" s="315">
        <f t="shared" ref="AR249:BX249" si="834">SUM(AR227:AR248)</f>
        <v>5208284</v>
      </c>
      <c r="AS249" s="1353">
        <f t="shared" si="834"/>
        <v>1570000</v>
      </c>
      <c r="AT249" s="315">
        <f t="shared" si="834"/>
        <v>2165000</v>
      </c>
      <c r="AU249" s="315">
        <f t="shared" si="834"/>
        <v>500000</v>
      </c>
      <c r="AV249" s="315">
        <f t="shared" si="834"/>
        <v>45000</v>
      </c>
      <c r="AW249" s="430">
        <f t="shared" si="834"/>
        <v>0</v>
      </c>
      <c r="AX249" s="315">
        <f t="shared" si="834"/>
        <v>0</v>
      </c>
      <c r="AY249" s="315">
        <f t="shared" si="834"/>
        <v>0</v>
      </c>
      <c r="AZ249" s="315">
        <f t="shared" si="834"/>
        <v>0</v>
      </c>
      <c r="BA249" s="315">
        <f t="shared" si="834"/>
        <v>0</v>
      </c>
      <c r="BB249" s="315">
        <f t="shared" si="834"/>
        <v>0</v>
      </c>
      <c r="BC249" s="315">
        <f t="shared" si="834"/>
        <v>0</v>
      </c>
      <c r="BD249" s="315">
        <f t="shared" si="834"/>
        <v>0</v>
      </c>
      <c r="BE249" s="315"/>
      <c r="BF249" s="315"/>
      <c r="BG249" s="315"/>
      <c r="BH249" s="315"/>
      <c r="BI249" s="315"/>
      <c r="BJ249" s="315"/>
      <c r="BK249" s="315">
        <f t="shared" si="834"/>
        <v>4280000</v>
      </c>
      <c r="BL249" s="315">
        <f t="shared" si="834"/>
        <v>47100</v>
      </c>
      <c r="BM249" s="315">
        <f t="shared" si="834"/>
        <v>27200</v>
      </c>
      <c r="BN249" s="315">
        <f t="shared" si="834"/>
        <v>20000</v>
      </c>
      <c r="BO249" s="1337">
        <f t="shared" si="834"/>
        <v>0</v>
      </c>
      <c r="BP249" s="315">
        <f t="shared" si="834"/>
        <v>0</v>
      </c>
      <c r="BQ249" s="315">
        <f t="shared" si="834"/>
        <v>0</v>
      </c>
      <c r="BR249" s="315">
        <f t="shared" si="834"/>
        <v>0</v>
      </c>
      <c r="BS249" s="315">
        <f t="shared" si="834"/>
        <v>0</v>
      </c>
      <c r="BT249" s="315">
        <f t="shared" si="834"/>
        <v>0</v>
      </c>
      <c r="BU249" s="315">
        <f t="shared" si="834"/>
        <v>0</v>
      </c>
      <c r="BV249" s="315">
        <f t="shared" si="834"/>
        <v>0</v>
      </c>
      <c r="BW249" s="315">
        <f t="shared" si="834"/>
        <v>0</v>
      </c>
      <c r="BX249" s="315">
        <f t="shared" si="834"/>
        <v>94300</v>
      </c>
      <c r="BY249" s="316">
        <f>SUM(BY227:BY248)</f>
        <v>833984</v>
      </c>
      <c r="BZ249" s="315">
        <f>SUM(BZ227:BZ248)</f>
        <v>5916736</v>
      </c>
      <c r="CA249" s="315">
        <f>SUM(CA227:CA248)</f>
        <v>1540876</v>
      </c>
      <c r="CB249" s="658">
        <v>1</v>
      </c>
      <c r="CC249" s="1081"/>
      <c r="CD249" s="1081"/>
      <c r="CE249" s="1083"/>
      <c r="CF249" s="1084"/>
      <c r="CG249" s="862"/>
      <c r="CH249" s="862"/>
      <c r="CI249" s="862"/>
      <c r="CJ249" s="862"/>
      <c r="CK249" s="862"/>
      <c r="CL249" s="862"/>
      <c r="CM249" s="862"/>
      <c r="CN249" s="862"/>
      <c r="CO249" s="1081">
        <f t="shared" si="797"/>
        <v>0</v>
      </c>
      <c r="CP249" s="862"/>
      <c r="CQ249" s="862"/>
      <c r="CR249" s="862"/>
      <c r="CS249" s="862"/>
      <c r="CT249" s="862"/>
      <c r="CU249" s="862"/>
      <c r="CV249" s="862"/>
      <c r="CW249" s="862"/>
      <c r="CX249" s="862"/>
      <c r="CY249" s="73">
        <f t="shared" si="777"/>
        <v>0</v>
      </c>
      <c r="CZ249" s="862"/>
      <c r="DA249" s="862"/>
      <c r="DB249" s="862"/>
      <c r="DC249" s="862"/>
      <c r="DD249" s="862"/>
      <c r="DE249" s="862"/>
      <c r="DF249" s="862"/>
      <c r="DG249" s="862"/>
      <c r="DH249" s="1081"/>
      <c r="DI249" s="862"/>
      <c r="DJ249" s="862"/>
      <c r="DK249" s="862"/>
      <c r="DL249" s="862"/>
      <c r="DM249" s="862"/>
      <c r="DN249" s="862"/>
      <c r="DO249" s="862"/>
      <c r="DP249" s="862"/>
      <c r="DQ249" s="862"/>
      <c r="DR249" s="73">
        <f t="shared" si="778"/>
        <v>0</v>
      </c>
      <c r="DS249" s="317"/>
      <c r="DT249" s="317"/>
      <c r="DU249" s="425"/>
      <c r="DV249" s="317"/>
      <c r="DW249" s="317"/>
      <c r="DX249" s="317"/>
      <c r="DY249" s="318"/>
      <c r="DZ249" s="318"/>
      <c r="EA249" s="318"/>
      <c r="EB249" s="318"/>
      <c r="EC249" s="318"/>
      <c r="ED249" s="318"/>
      <c r="EE249" s="318"/>
      <c r="EF249" s="318"/>
      <c r="EG249" s="318"/>
      <c r="EH249" s="318"/>
      <c r="EI249" s="318"/>
    </row>
    <row r="250" spans="1:157" s="262" customFormat="1" ht="24.75" customHeight="1" x14ac:dyDescent="0.2">
      <c r="A250" s="283"/>
      <c r="D250" s="283"/>
      <c r="E250" s="463"/>
      <c r="F250" s="283"/>
      <c r="G250" s="397"/>
      <c r="H250" s="283"/>
      <c r="I250" s="46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Z250" s="998"/>
      <c r="AS250" s="1354"/>
      <c r="BK250" s="291"/>
      <c r="BO250" s="1361"/>
      <c r="BX250" s="319">
        <f>SUM(BK249+BX249)</f>
        <v>4374300</v>
      </c>
      <c r="BY250" s="284">
        <f>AR249-BK249-BX249</f>
        <v>833984</v>
      </c>
      <c r="BZ250" s="320">
        <f>SUM(CA249+BK249+BX249)</f>
        <v>5915176</v>
      </c>
      <c r="CA250" s="285">
        <f>SUM(BY249)</f>
        <v>833984</v>
      </c>
      <c r="CB250" s="280" t="s">
        <v>38</v>
      </c>
      <c r="CC250" s="1011"/>
      <c r="CD250" s="1012"/>
      <c r="CE250" s="260"/>
      <c r="CF250" s="409"/>
      <c r="CG250" s="417"/>
      <c r="CH250" s="409"/>
      <c r="CI250" s="409"/>
      <c r="CJ250" s="409"/>
      <c r="CK250" s="417"/>
      <c r="CL250" s="409"/>
      <c r="CM250" s="409"/>
      <c r="CN250" s="409"/>
      <c r="CO250" s="417"/>
      <c r="CP250" s="409"/>
      <c r="CQ250" s="409"/>
      <c r="CR250" s="409"/>
      <c r="CS250" s="409"/>
      <c r="CT250" s="409"/>
      <c r="CU250" s="409"/>
      <c r="CV250" s="409"/>
      <c r="CW250" s="409"/>
      <c r="CX250" s="409"/>
      <c r="CY250" s="417"/>
      <c r="CZ250" s="409"/>
      <c r="DA250" s="409"/>
      <c r="DB250" s="409"/>
      <c r="DC250" s="417"/>
      <c r="DD250" s="409"/>
      <c r="DE250" s="409"/>
      <c r="DF250" s="409"/>
      <c r="DG250" s="417"/>
      <c r="DH250" s="409"/>
      <c r="DI250" s="409"/>
      <c r="DJ250" s="409"/>
      <c r="DK250" s="409"/>
      <c r="DL250" s="409"/>
      <c r="DM250" s="409"/>
      <c r="DN250" s="409"/>
      <c r="DO250" s="409"/>
      <c r="DP250" s="409"/>
      <c r="DQ250" s="409"/>
      <c r="DR250" s="409"/>
      <c r="DS250" s="409"/>
      <c r="DT250" s="409"/>
      <c r="DU250" s="417"/>
      <c r="DV250" s="409"/>
      <c r="DW250" s="409"/>
      <c r="DX250" s="409"/>
      <c r="DY250" s="260"/>
      <c r="DZ250" s="260"/>
      <c r="EA250" s="260"/>
      <c r="EB250" s="260"/>
      <c r="EC250" s="260"/>
      <c r="ED250" s="260"/>
      <c r="EE250" s="260"/>
      <c r="EF250" s="260"/>
      <c r="EG250" s="260"/>
      <c r="EH250" s="260"/>
      <c r="EI250" s="260"/>
      <c r="EJ250" s="260"/>
    </row>
    <row r="251" spans="1:157" s="262" customFormat="1" ht="24.75" customHeight="1" x14ac:dyDescent="0.2">
      <c r="A251" s="283"/>
      <c r="D251" s="283"/>
      <c r="E251" s="463"/>
      <c r="F251" s="283"/>
      <c r="G251" s="397"/>
      <c r="H251" s="283"/>
      <c r="I251" s="46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Z251" s="998"/>
      <c r="AS251" s="1354"/>
      <c r="BK251" s="280"/>
      <c r="BL251" s="388">
        <f>SUM(AS249+BL249)</f>
        <v>1617100</v>
      </c>
      <c r="BM251" s="388">
        <f t="shared" ref="BM251" si="835">SUM(AT249+BM249)</f>
        <v>2192200</v>
      </c>
      <c r="BN251" s="388">
        <f t="shared" ref="BN251" si="836">SUM(AU249+BN249)</f>
        <v>520000</v>
      </c>
      <c r="BO251" s="1362">
        <f t="shared" ref="BO251" si="837">SUM(AV249+BO249)</f>
        <v>45000</v>
      </c>
      <c r="BP251" s="388">
        <f t="shared" ref="BP251" si="838">SUM(AW249+BP249)</f>
        <v>0</v>
      </c>
      <c r="BQ251" s="388">
        <f t="shared" ref="BQ251" si="839">SUM(AX249+BQ249)</f>
        <v>0</v>
      </c>
      <c r="BR251" s="388">
        <f t="shared" ref="BR251" si="840">SUM(AY249+BR249)</f>
        <v>0</v>
      </c>
      <c r="BS251" s="388">
        <f t="shared" ref="BS251" si="841">SUM(AZ249+BS249)</f>
        <v>0</v>
      </c>
      <c r="BT251" s="388">
        <f t="shared" ref="BT251" si="842">SUM(BA249+BT249)</f>
        <v>0</v>
      </c>
      <c r="BU251" s="388">
        <f t="shared" ref="BU251" si="843">SUM(BB249+BU249)</f>
        <v>0</v>
      </c>
      <c r="BV251" s="388">
        <f t="shared" ref="BV251" si="844">SUM(BC249+BV249)</f>
        <v>0</v>
      </c>
      <c r="BW251" s="388">
        <f t="shared" ref="BW251" si="845">SUM(BD249+BW249)</f>
        <v>0</v>
      </c>
      <c r="BX251" s="388">
        <f>SUM(BL251:BW251)</f>
        <v>4374300</v>
      </c>
      <c r="BY251" s="280"/>
      <c r="BZ251" s="286"/>
      <c r="CA251" s="287">
        <f>SUM(CA249-CA250)</f>
        <v>706892</v>
      </c>
      <c r="CB251" s="280" t="s">
        <v>37</v>
      </c>
      <c r="CC251" s="1011"/>
      <c r="CD251" s="1012"/>
      <c r="CE251" s="260"/>
      <c r="CF251" s="409"/>
      <c r="CG251" s="417"/>
      <c r="CH251" s="409"/>
      <c r="CI251" s="409"/>
      <c r="CJ251" s="409"/>
      <c r="CK251" s="417"/>
      <c r="CL251" s="409"/>
      <c r="CM251" s="409"/>
      <c r="CN251" s="409"/>
      <c r="CO251" s="417"/>
      <c r="CP251" s="409"/>
      <c r="CQ251" s="409"/>
      <c r="CR251" s="409"/>
      <c r="CS251" s="409"/>
      <c r="CT251" s="409"/>
      <c r="CU251" s="409"/>
      <c r="CV251" s="409"/>
      <c r="CW251" s="409"/>
      <c r="CX251" s="409"/>
      <c r="CY251" s="417"/>
      <c r="CZ251" s="409"/>
      <c r="DA251" s="409"/>
      <c r="DB251" s="409"/>
      <c r="DC251" s="417"/>
      <c r="DD251" s="409"/>
      <c r="DE251" s="409"/>
      <c r="DF251" s="409"/>
      <c r="DG251" s="417"/>
      <c r="DH251" s="409"/>
      <c r="DI251" s="409"/>
      <c r="DJ251" s="409"/>
      <c r="DK251" s="409"/>
      <c r="DL251" s="409"/>
      <c r="DM251" s="409"/>
      <c r="DN251" s="409"/>
      <c r="DO251" s="409"/>
      <c r="DP251" s="409"/>
      <c r="DQ251" s="409"/>
      <c r="DR251" s="409"/>
      <c r="DS251" s="409"/>
      <c r="DT251" s="409"/>
      <c r="DU251" s="417"/>
      <c r="DV251" s="409"/>
      <c r="DW251" s="409"/>
      <c r="DX251" s="409"/>
      <c r="DY251" s="260"/>
      <c r="DZ251" s="260"/>
      <c r="EA251" s="260"/>
      <c r="EB251" s="260"/>
      <c r="EC251" s="260"/>
      <c r="ED251" s="260"/>
      <c r="EE251" s="260"/>
      <c r="EF251" s="260"/>
      <c r="EG251" s="260"/>
      <c r="EH251" s="260"/>
      <c r="EI251" s="260"/>
      <c r="EJ251" s="260"/>
    </row>
    <row r="252" spans="1:157" s="262" customFormat="1" ht="24.75" customHeight="1" x14ac:dyDescent="0.2">
      <c r="A252" s="1754" t="s">
        <v>8</v>
      </c>
      <c r="B252" s="1755"/>
      <c r="C252" s="244" t="s">
        <v>153</v>
      </c>
      <c r="D252" s="245"/>
      <c r="E252" s="462"/>
      <c r="F252" s="245"/>
      <c r="G252" s="292"/>
      <c r="H252" s="245"/>
      <c r="I252" s="462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994"/>
      <c r="AA252" s="246"/>
      <c r="AB252" s="246"/>
      <c r="AC252" s="246"/>
      <c r="AD252" s="246"/>
      <c r="AE252" s="246"/>
      <c r="AF252" s="246"/>
      <c r="AG252" s="246"/>
      <c r="AH252" s="246"/>
      <c r="AI252" s="246"/>
      <c r="AJ252" s="246"/>
      <c r="AK252" s="246"/>
      <c r="AL252" s="246"/>
      <c r="AM252" s="246"/>
      <c r="AN252" s="246"/>
      <c r="AO252" s="246"/>
      <c r="AP252" s="246"/>
      <c r="AQ252" s="246"/>
      <c r="AR252" s="245"/>
      <c r="AS252" s="1350"/>
      <c r="AT252" s="246"/>
      <c r="AU252" s="246"/>
      <c r="AV252" s="246"/>
      <c r="AW252" s="246"/>
      <c r="AX252" s="246"/>
      <c r="AY252" s="246"/>
      <c r="AZ252" s="246"/>
      <c r="BA252" s="246"/>
      <c r="BB252" s="246"/>
      <c r="BC252" s="246"/>
      <c r="BD252" s="246"/>
      <c r="BE252" s="246"/>
      <c r="BF252" s="246"/>
      <c r="BG252" s="246"/>
      <c r="BH252" s="246"/>
      <c r="BI252" s="246"/>
      <c r="BJ252" s="246"/>
      <c r="BK252" s="247"/>
      <c r="BL252" s="246"/>
      <c r="BM252" s="431">
        <f>BM251-2192200</f>
        <v>0</v>
      </c>
      <c r="BN252" s="246"/>
      <c r="BO252" s="1359"/>
      <c r="BP252" s="246"/>
      <c r="BQ252" s="246"/>
      <c r="BR252" s="246"/>
      <c r="BS252" s="246"/>
      <c r="BT252" s="246"/>
      <c r="BU252" s="246"/>
      <c r="BV252" s="246"/>
      <c r="BW252" s="246"/>
      <c r="BX252" s="247"/>
      <c r="BY252" s="247"/>
      <c r="BZ252" s="243"/>
      <c r="CA252" s="248"/>
      <c r="CB252" s="1008">
        <v>1540876</v>
      </c>
      <c r="CC252" s="1008"/>
      <c r="CD252" s="1008"/>
      <c r="CE252" s="246"/>
      <c r="CF252" s="292"/>
      <c r="CG252" s="418"/>
      <c r="CH252" s="292"/>
      <c r="CI252" s="249"/>
      <c r="CJ252" s="292"/>
      <c r="CK252" s="418"/>
      <c r="CL252" s="292"/>
      <c r="CM252" s="249"/>
      <c r="CN252" s="292"/>
      <c r="CO252" s="418"/>
      <c r="CP252" s="292"/>
      <c r="CQ252" s="249"/>
      <c r="CR252" s="249"/>
      <c r="CS252" s="249"/>
      <c r="CT252" s="249"/>
      <c r="CU252" s="249"/>
      <c r="CV252" s="249"/>
      <c r="CW252" s="249"/>
      <c r="CX252" s="249"/>
      <c r="CY252" s="418"/>
      <c r="CZ252" s="292"/>
      <c r="DA252" s="249"/>
      <c r="DB252" s="292"/>
      <c r="DC252" s="418"/>
      <c r="DD252" s="292"/>
      <c r="DE252" s="249"/>
      <c r="DF252" s="292"/>
      <c r="DG252" s="418"/>
      <c r="DH252" s="292"/>
      <c r="DI252" s="249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49"/>
      <c r="DT252" s="292"/>
      <c r="DU252" s="418"/>
      <c r="DV252" s="292"/>
      <c r="DW252" s="249"/>
      <c r="DX252" s="292"/>
      <c r="DY252" s="246"/>
      <c r="DZ252" s="246"/>
      <c r="EA252" s="246"/>
      <c r="EB252" s="246"/>
      <c r="EC252" s="247"/>
      <c r="ED252" s="247"/>
      <c r="EE252" s="247"/>
      <c r="EF252" s="243"/>
      <c r="EG252" s="248"/>
      <c r="EH252" s="247"/>
      <c r="EI252" s="247"/>
      <c r="EJ252" s="260"/>
      <c r="EK252" s="260"/>
      <c r="EL252" s="260"/>
      <c r="EM252" s="260"/>
      <c r="EN252" s="260"/>
      <c r="EO252" s="261"/>
      <c r="EP252" s="260"/>
      <c r="EQ252" s="260"/>
      <c r="ER252" s="260"/>
      <c r="ES252" s="260"/>
      <c r="ET252" s="260"/>
      <c r="EU252" s="260"/>
      <c r="EV252" s="260"/>
      <c r="EW252" s="260"/>
      <c r="EX252" s="260"/>
      <c r="EY252" s="260"/>
      <c r="EZ252" s="260"/>
      <c r="FA252" s="260"/>
    </row>
    <row r="253" spans="1:157" s="264" customFormat="1" ht="48.75" customHeight="1" x14ac:dyDescent="0.2">
      <c r="A253" s="1756" t="s">
        <v>10</v>
      </c>
      <c r="B253" s="1759" t="s">
        <v>11</v>
      </c>
      <c r="C253" s="1759" t="s">
        <v>22</v>
      </c>
      <c r="D253" s="1775" t="s">
        <v>12</v>
      </c>
      <c r="E253" s="1776"/>
      <c r="F253" s="1776"/>
      <c r="G253" s="1776"/>
      <c r="H253" s="1776"/>
      <c r="I253" s="1776"/>
      <c r="J253" s="1776"/>
      <c r="K253" s="1776"/>
      <c r="L253" s="1776"/>
      <c r="M253" s="1776"/>
      <c r="N253" s="1776"/>
      <c r="O253" s="1776"/>
      <c r="P253" s="1776"/>
      <c r="Q253" s="1776"/>
      <c r="R253" s="1776"/>
      <c r="S253" s="1776"/>
      <c r="T253" s="1776"/>
      <c r="U253" s="1776"/>
      <c r="V253" s="1776"/>
      <c r="W253" s="1777"/>
      <c r="X253" s="1759" t="s">
        <v>20</v>
      </c>
      <c r="Y253" s="1763" t="s">
        <v>17</v>
      </c>
      <c r="Z253" s="1764"/>
      <c r="AA253" s="1764"/>
      <c r="AB253" s="1764"/>
      <c r="AC253" s="1764"/>
      <c r="AD253" s="1764"/>
      <c r="AE253" s="1764"/>
      <c r="AF253" s="1764"/>
      <c r="AG253" s="1764"/>
      <c r="AH253" s="1764"/>
      <c r="AI253" s="1764"/>
      <c r="AJ253" s="1764"/>
      <c r="AK253" s="1765"/>
      <c r="AL253" s="1178"/>
      <c r="AM253" s="1178"/>
      <c r="AN253" s="1178"/>
      <c r="AO253" s="1178"/>
      <c r="AP253" s="1178"/>
      <c r="AQ253" s="1178"/>
      <c r="AR253" s="1778" t="s">
        <v>6</v>
      </c>
      <c r="AS253" s="1779"/>
      <c r="AT253" s="1779"/>
      <c r="AU253" s="1779"/>
      <c r="AV253" s="1779"/>
      <c r="AW253" s="1779"/>
      <c r="AX253" s="1779"/>
      <c r="AY253" s="1779"/>
      <c r="AZ253" s="1779"/>
      <c r="BA253" s="1779"/>
      <c r="BB253" s="1779"/>
      <c r="BC253" s="1779"/>
      <c r="BD253" s="1779"/>
      <c r="BE253" s="1779"/>
      <c r="BF253" s="1779"/>
      <c r="BG253" s="1779"/>
      <c r="BH253" s="1779"/>
      <c r="BI253" s="1779"/>
      <c r="BJ253" s="1779"/>
      <c r="BK253" s="1780"/>
      <c r="BL253" s="1767" t="s">
        <v>41</v>
      </c>
      <c r="BM253" s="1768"/>
      <c r="BN253" s="1768"/>
      <c r="BO253" s="1768"/>
      <c r="BP253" s="1768"/>
      <c r="BQ253" s="1768"/>
      <c r="BR253" s="1768"/>
      <c r="BS253" s="1768"/>
      <c r="BT253" s="1768"/>
      <c r="BU253" s="1768"/>
      <c r="BV253" s="1768"/>
      <c r="BW253" s="1768"/>
      <c r="BX253" s="1769"/>
      <c r="BY253" s="1759" t="s">
        <v>38</v>
      </c>
      <c r="BZ253" s="1759" t="s">
        <v>256</v>
      </c>
      <c r="CA253" s="1746" t="s">
        <v>39</v>
      </c>
      <c r="CB253" s="436">
        <f>SUM(CA249-CB252)</f>
        <v>0</v>
      </c>
      <c r="CC253" s="135"/>
      <c r="CD253" s="135"/>
      <c r="CE253" s="135"/>
      <c r="CF253" s="135"/>
      <c r="CG253" s="1733" t="s">
        <v>41</v>
      </c>
      <c r="CH253" s="1734"/>
      <c r="CI253" s="1734"/>
      <c r="CJ253" s="1734"/>
      <c r="CK253" s="1734"/>
      <c r="CL253" s="1734"/>
      <c r="CM253" s="1734"/>
      <c r="CN253" s="1734"/>
      <c r="CO253" s="1734"/>
      <c r="CP253" s="1734"/>
      <c r="CQ253" s="1734"/>
      <c r="CR253" s="1734"/>
      <c r="CS253" s="1734"/>
      <c r="CT253" s="1734"/>
      <c r="CU253" s="1734"/>
      <c r="CV253" s="1734"/>
      <c r="CW253" s="1734"/>
      <c r="CX253" s="1734"/>
      <c r="CY253" s="1734"/>
      <c r="CZ253" s="1734"/>
      <c r="DA253" s="1734"/>
      <c r="DB253" s="1734"/>
      <c r="DC253" s="1734"/>
      <c r="DD253" s="1734"/>
      <c r="DE253" s="1734"/>
      <c r="DF253" s="1734"/>
      <c r="DG253" s="1734"/>
      <c r="DH253" s="1734"/>
      <c r="DI253" s="1734"/>
      <c r="DJ253" s="1734"/>
      <c r="DK253" s="1734"/>
      <c r="DL253" s="1734"/>
      <c r="DM253" s="1734"/>
      <c r="DN253" s="1734"/>
      <c r="DO253" s="1734"/>
      <c r="DP253" s="1734"/>
      <c r="DQ253" s="1734"/>
      <c r="DR253" s="1735"/>
      <c r="DS253" s="292"/>
      <c r="DT253" s="292"/>
      <c r="DU253" s="418"/>
      <c r="DV253" s="292"/>
      <c r="DW253" s="292"/>
      <c r="DX253" s="292"/>
      <c r="DY253" s="245"/>
      <c r="DZ253" s="245"/>
      <c r="EA253" s="245"/>
      <c r="EB253" s="245"/>
      <c r="EC253" s="245"/>
      <c r="ED253" s="245"/>
      <c r="EE253" s="245"/>
      <c r="EF253" s="245"/>
      <c r="EG253" s="245"/>
      <c r="EH253" s="263"/>
      <c r="EI253" s="263"/>
    </row>
    <row r="254" spans="1:157" s="264" customFormat="1" ht="48.75" customHeight="1" x14ac:dyDescent="0.2">
      <c r="A254" s="1757"/>
      <c r="B254" s="1760"/>
      <c r="C254" s="1760"/>
      <c r="D254" s="1749" t="s">
        <v>18</v>
      </c>
      <c r="E254" s="1751" t="s">
        <v>19</v>
      </c>
      <c r="F254" s="1752"/>
      <c r="G254" s="1752"/>
      <c r="H254" s="1752"/>
      <c r="I254" s="1752"/>
      <c r="J254" s="1752"/>
      <c r="K254" s="1752"/>
      <c r="L254" s="1752"/>
      <c r="M254" s="1752"/>
      <c r="N254" s="1752"/>
      <c r="O254" s="1752"/>
      <c r="P254" s="1752"/>
      <c r="Q254" s="1752"/>
      <c r="R254" s="1752"/>
      <c r="S254" s="1752"/>
      <c r="T254" s="1752"/>
      <c r="U254" s="1752"/>
      <c r="V254" s="1752"/>
      <c r="W254" s="1753"/>
      <c r="X254" s="1760"/>
      <c r="Y254" s="1749" t="s">
        <v>18</v>
      </c>
      <c r="Z254" s="1751" t="s">
        <v>19</v>
      </c>
      <c r="AA254" s="1752"/>
      <c r="AB254" s="1752"/>
      <c r="AC254" s="1752"/>
      <c r="AD254" s="1752"/>
      <c r="AE254" s="1752"/>
      <c r="AF254" s="1752"/>
      <c r="AG254" s="1752"/>
      <c r="AH254" s="1752"/>
      <c r="AI254" s="1752"/>
      <c r="AJ254" s="1752"/>
      <c r="AK254" s="1753"/>
      <c r="AL254" s="1183"/>
      <c r="AM254" s="1183"/>
      <c r="AN254" s="1183"/>
      <c r="AO254" s="1183"/>
      <c r="AP254" s="1183"/>
      <c r="AQ254" s="1183"/>
      <c r="AR254" s="1749" t="s">
        <v>18</v>
      </c>
      <c r="AS254" s="1751" t="s">
        <v>19</v>
      </c>
      <c r="AT254" s="1752"/>
      <c r="AU254" s="1752"/>
      <c r="AV254" s="1752"/>
      <c r="AW254" s="1752"/>
      <c r="AX254" s="1752"/>
      <c r="AY254" s="1752"/>
      <c r="AZ254" s="1752"/>
      <c r="BA254" s="1752"/>
      <c r="BB254" s="1752"/>
      <c r="BC254" s="1752"/>
      <c r="BD254" s="1752"/>
      <c r="BE254" s="1752"/>
      <c r="BF254" s="1752"/>
      <c r="BG254" s="1752"/>
      <c r="BH254" s="1752"/>
      <c r="BI254" s="1752"/>
      <c r="BJ254" s="1752"/>
      <c r="BK254" s="1753"/>
      <c r="BL254" s="1781"/>
      <c r="BM254" s="1782"/>
      <c r="BN254" s="1782"/>
      <c r="BO254" s="1782"/>
      <c r="BP254" s="1782"/>
      <c r="BQ254" s="1782"/>
      <c r="BR254" s="1782"/>
      <c r="BS254" s="1782"/>
      <c r="BT254" s="1782"/>
      <c r="BU254" s="1782"/>
      <c r="BV254" s="1782"/>
      <c r="BW254" s="1782"/>
      <c r="BX254" s="1783"/>
      <c r="BY254" s="1760"/>
      <c r="BZ254" s="1760"/>
      <c r="CA254" s="1747"/>
      <c r="CB254" s="243"/>
      <c r="CC254" s="1736">
        <f>SUM(CC256/60)</f>
        <v>0</v>
      </c>
      <c r="CD254" s="1736"/>
      <c r="CE254" s="1736"/>
      <c r="CF254" s="23"/>
      <c r="CG254" s="1737" t="s">
        <v>686</v>
      </c>
      <c r="CH254" s="1738"/>
      <c r="CI254" s="1738"/>
      <c r="CJ254" s="1738"/>
      <c r="CK254" s="1738"/>
      <c r="CL254" s="1738"/>
      <c r="CM254" s="1738"/>
      <c r="CN254" s="1738"/>
      <c r="CO254" s="1738"/>
      <c r="CP254" s="1738"/>
      <c r="CQ254" s="1738"/>
      <c r="CR254" s="1738"/>
      <c r="CS254" s="1738"/>
      <c r="CT254" s="1738"/>
      <c r="CU254" s="1738"/>
      <c r="CV254" s="1738"/>
      <c r="CW254" s="1738"/>
      <c r="CX254" s="1738"/>
      <c r="CY254" s="1739"/>
      <c r="CZ254" s="1740" t="s">
        <v>687</v>
      </c>
      <c r="DA254" s="1741"/>
      <c r="DB254" s="1741"/>
      <c r="DC254" s="1741"/>
      <c r="DD254" s="1741"/>
      <c r="DE254" s="1741"/>
      <c r="DF254" s="1741"/>
      <c r="DG254" s="1741"/>
      <c r="DH254" s="1741"/>
      <c r="DI254" s="1741"/>
      <c r="DJ254" s="1741"/>
      <c r="DK254" s="1741"/>
      <c r="DL254" s="1741"/>
      <c r="DM254" s="1741"/>
      <c r="DN254" s="1741"/>
      <c r="DO254" s="1741"/>
      <c r="DP254" s="1741"/>
      <c r="DQ254" s="1741"/>
      <c r="DR254" s="1742"/>
      <c r="DS254" s="292"/>
      <c r="DT254" s="292"/>
      <c r="DU254" s="418"/>
      <c r="DV254" s="292"/>
      <c r="DW254" s="292"/>
      <c r="DX254" s="292"/>
      <c r="DY254" s="245"/>
      <c r="DZ254" s="245"/>
      <c r="EA254" s="245"/>
      <c r="EB254" s="245"/>
      <c r="EC254" s="245"/>
      <c r="ED254" s="245"/>
      <c r="EE254" s="245"/>
      <c r="EF254" s="245"/>
      <c r="EG254" s="245"/>
      <c r="EH254" s="263"/>
      <c r="EI254" s="263"/>
    </row>
    <row r="255" spans="1:157" s="267" customFormat="1" ht="28.5" customHeight="1" x14ac:dyDescent="0.2">
      <c r="A255" s="1758"/>
      <c r="B255" s="1774"/>
      <c r="C255" s="1761"/>
      <c r="D255" s="1773"/>
      <c r="E255" s="265">
        <v>1</v>
      </c>
      <c r="F255" s="265">
        <v>2</v>
      </c>
      <c r="G255" s="265">
        <v>3</v>
      </c>
      <c r="H255" s="265">
        <v>4</v>
      </c>
      <c r="I255" s="265">
        <v>5</v>
      </c>
      <c r="J255" s="265">
        <v>6</v>
      </c>
      <c r="K255" s="265">
        <v>7</v>
      </c>
      <c r="L255" s="265">
        <v>8</v>
      </c>
      <c r="M255" s="265">
        <v>9</v>
      </c>
      <c r="N255" s="265">
        <v>10</v>
      </c>
      <c r="O255" s="265">
        <v>11</v>
      </c>
      <c r="P255" s="265">
        <v>12</v>
      </c>
      <c r="Q255" s="265"/>
      <c r="R255" s="265"/>
      <c r="S255" s="265"/>
      <c r="T255" s="265"/>
      <c r="U255" s="265"/>
      <c r="V255" s="265"/>
      <c r="W255" s="265" t="s">
        <v>21</v>
      </c>
      <c r="X255" s="1761"/>
      <c r="Y255" s="1750"/>
      <c r="Z255" s="265">
        <v>1</v>
      </c>
      <c r="AA255" s="265">
        <v>2</v>
      </c>
      <c r="AB255" s="265">
        <v>3</v>
      </c>
      <c r="AC255" s="265">
        <v>4</v>
      </c>
      <c r="AD255" s="265">
        <v>5</v>
      </c>
      <c r="AE255" s="265">
        <v>6</v>
      </c>
      <c r="AF255" s="265">
        <v>7</v>
      </c>
      <c r="AG255" s="265">
        <v>8</v>
      </c>
      <c r="AH255" s="265">
        <v>9</v>
      </c>
      <c r="AI255" s="265">
        <v>10</v>
      </c>
      <c r="AJ255" s="265">
        <v>11</v>
      </c>
      <c r="AK255" s="265">
        <v>12</v>
      </c>
      <c r="AL255" s="266"/>
      <c r="AM255" s="266"/>
      <c r="AN255" s="266"/>
      <c r="AO255" s="266"/>
      <c r="AP255" s="266"/>
      <c r="AQ255" s="266"/>
      <c r="AR255" s="1750"/>
      <c r="AS255" s="265">
        <v>1</v>
      </c>
      <c r="AT255" s="265">
        <v>2</v>
      </c>
      <c r="AU255" s="265">
        <v>3</v>
      </c>
      <c r="AV255" s="265">
        <v>4</v>
      </c>
      <c r="AW255" s="428">
        <v>5</v>
      </c>
      <c r="AX255" s="265">
        <v>6</v>
      </c>
      <c r="AY255" s="265">
        <v>7</v>
      </c>
      <c r="AZ255" s="265">
        <v>8</v>
      </c>
      <c r="BA255" s="265">
        <v>9</v>
      </c>
      <c r="BB255" s="265">
        <v>10</v>
      </c>
      <c r="BC255" s="265">
        <v>11</v>
      </c>
      <c r="BD255" s="265">
        <v>12</v>
      </c>
      <c r="BE255" s="265"/>
      <c r="BF255" s="265"/>
      <c r="BG255" s="265"/>
      <c r="BH255" s="265"/>
      <c r="BI255" s="265"/>
      <c r="BJ255" s="265"/>
      <c r="BK255" s="265" t="s">
        <v>13</v>
      </c>
      <c r="BL255" s="266">
        <v>1</v>
      </c>
      <c r="BM255" s="266">
        <v>2</v>
      </c>
      <c r="BN255" s="266">
        <v>3</v>
      </c>
      <c r="BO255" s="266">
        <v>4</v>
      </c>
      <c r="BP255" s="266">
        <v>5</v>
      </c>
      <c r="BQ255" s="266">
        <v>6</v>
      </c>
      <c r="BR255" s="266">
        <v>7</v>
      </c>
      <c r="BS255" s="266">
        <v>8</v>
      </c>
      <c r="BT255" s="266">
        <v>9</v>
      </c>
      <c r="BU255" s="266">
        <v>10</v>
      </c>
      <c r="BV255" s="266">
        <v>11</v>
      </c>
      <c r="BW255" s="266">
        <v>12</v>
      </c>
      <c r="BX255" s="265" t="s">
        <v>13</v>
      </c>
      <c r="BY255" s="1761"/>
      <c r="BZ255" s="1761"/>
      <c r="CA255" s="1748"/>
      <c r="CC255" s="1743" t="s">
        <v>19</v>
      </c>
      <c r="CD255" s="1744"/>
      <c r="CE255" s="1745"/>
      <c r="CF255" s="621"/>
      <c r="CG255" s="173">
        <v>1</v>
      </c>
      <c r="CH255" s="173">
        <v>2</v>
      </c>
      <c r="CI255" s="173">
        <v>3</v>
      </c>
      <c r="CJ255" s="173">
        <v>4</v>
      </c>
      <c r="CK255" s="173">
        <v>5</v>
      </c>
      <c r="CL255" s="173">
        <v>6</v>
      </c>
      <c r="CM255" s="173">
        <v>7</v>
      </c>
      <c r="CN255" s="173">
        <v>8</v>
      </c>
      <c r="CO255" s="173">
        <v>9</v>
      </c>
      <c r="CP255" s="173">
        <v>10</v>
      </c>
      <c r="CQ255" s="173">
        <v>11</v>
      </c>
      <c r="CR255" s="173"/>
      <c r="CS255" s="173"/>
      <c r="CT255" s="173"/>
      <c r="CU255" s="173"/>
      <c r="CV255" s="173"/>
      <c r="CW255" s="173"/>
      <c r="CX255" s="173"/>
      <c r="CY255" s="26" t="s">
        <v>13</v>
      </c>
      <c r="CZ255" s="173">
        <v>1</v>
      </c>
      <c r="DA255" s="173">
        <v>2</v>
      </c>
      <c r="DB255" s="173">
        <v>3</v>
      </c>
      <c r="DC255" s="173">
        <v>4</v>
      </c>
      <c r="DD255" s="173">
        <v>5</v>
      </c>
      <c r="DE255" s="173">
        <v>6</v>
      </c>
      <c r="DF255" s="173">
        <v>7</v>
      </c>
      <c r="DG255" s="173">
        <v>8</v>
      </c>
      <c r="DH255" s="173">
        <v>9</v>
      </c>
      <c r="DI255" s="173">
        <v>10</v>
      </c>
      <c r="DJ255" s="173">
        <v>11</v>
      </c>
      <c r="DK255" s="173"/>
      <c r="DL255" s="173"/>
      <c r="DM255" s="173"/>
      <c r="DN255" s="173"/>
      <c r="DO255" s="173"/>
      <c r="DP255" s="173"/>
      <c r="DQ255" s="173"/>
      <c r="DR255" s="26" t="s">
        <v>13</v>
      </c>
      <c r="DS255" s="413"/>
      <c r="DT255" s="413"/>
      <c r="DU255" s="422"/>
      <c r="DV255" s="413"/>
      <c r="DW255" s="413"/>
      <c r="DX255" s="413"/>
      <c r="DY255" s="395"/>
      <c r="DZ255" s="395"/>
      <c r="EA255" s="395"/>
      <c r="EB255" s="395"/>
      <c r="EC255" s="395"/>
      <c r="ED255" s="395"/>
      <c r="EE255" s="395"/>
      <c r="EF255" s="395"/>
      <c r="EG255" s="395"/>
      <c r="EH255" s="395"/>
      <c r="EI255" s="395"/>
    </row>
    <row r="256" spans="1:157" s="1245" customFormat="1" ht="24.75" customHeight="1" x14ac:dyDescent="0.2">
      <c r="A256" s="1248">
        <v>1</v>
      </c>
      <c r="B256" s="1249" t="s">
        <v>575</v>
      </c>
      <c r="C256" s="1250" t="s">
        <v>25</v>
      </c>
      <c r="D256" s="1251">
        <v>1</v>
      </c>
      <c r="E256" s="992"/>
      <c r="F256" s="576"/>
      <c r="G256" s="1446">
        <v>1</v>
      </c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1252">
        <f t="shared" ref="W256:W262" si="846">SUM(E256:P256)</f>
        <v>1</v>
      </c>
      <c r="X256" s="1253" t="s">
        <v>28</v>
      </c>
      <c r="Y256" s="1254">
        <v>11753200</v>
      </c>
      <c r="Z256" s="995"/>
      <c r="AA256" s="1007"/>
      <c r="AB256" s="1447">
        <v>11753200</v>
      </c>
      <c r="AC256" s="1007"/>
      <c r="AD256" s="1007"/>
      <c r="AE256" s="1007"/>
      <c r="AF256" s="1007"/>
      <c r="AG256" s="1007"/>
      <c r="AH256" s="1007"/>
      <c r="AI256" s="1007"/>
      <c r="AJ256" s="1007"/>
      <c r="AK256" s="1007"/>
      <c r="AL256" s="1007"/>
      <c r="AM256" s="1007"/>
      <c r="AN256" s="1007"/>
      <c r="AO256" s="1007"/>
      <c r="AP256" s="1007"/>
      <c r="AQ256" s="1007"/>
      <c r="AR256" s="1255">
        <f>SUM(W256*Y256)</f>
        <v>11753200</v>
      </c>
      <c r="AS256" s="1199">
        <f t="shared" ref="AS256:BD261" si="847">Z256*E256</f>
        <v>0</v>
      </c>
      <c r="AT256" s="1199">
        <f t="shared" si="847"/>
        <v>0</v>
      </c>
      <c r="AU256" s="1298">
        <f t="shared" si="847"/>
        <v>11753200</v>
      </c>
      <c r="AV256" s="1199">
        <f t="shared" si="847"/>
        <v>0</v>
      </c>
      <c r="AW256" s="1199">
        <f t="shared" si="847"/>
        <v>0</v>
      </c>
      <c r="AX256" s="1199">
        <f t="shared" si="847"/>
        <v>0</v>
      </c>
      <c r="AY256" s="1199">
        <f t="shared" si="847"/>
        <v>0</v>
      </c>
      <c r="AZ256" s="1199">
        <f t="shared" si="847"/>
        <v>0</v>
      </c>
      <c r="BA256" s="1199">
        <f t="shared" si="847"/>
        <v>0</v>
      </c>
      <c r="BB256" s="1199">
        <f t="shared" si="847"/>
        <v>0</v>
      </c>
      <c r="BC256" s="1199">
        <f t="shared" si="847"/>
        <v>0</v>
      </c>
      <c r="BD256" s="1199">
        <f t="shared" si="847"/>
        <v>0</v>
      </c>
      <c r="BE256" s="1199"/>
      <c r="BF256" s="1199"/>
      <c r="BG256" s="1199"/>
      <c r="BH256" s="1199"/>
      <c r="BI256" s="1199"/>
      <c r="BJ256" s="1199"/>
      <c r="BK256" s="1231">
        <f>SUM(AS256:BD256)</f>
        <v>11753200</v>
      </c>
      <c r="BL256" s="1199">
        <f>SUM(AS256*14%)</f>
        <v>0</v>
      </c>
      <c r="BM256" s="1199">
        <f t="shared" ref="BM256:BM258" si="848">SUM(AT256*14%)</f>
        <v>0</v>
      </c>
      <c r="BN256" s="1298">
        <f>SUM(AU256*12.5%)</f>
        <v>1469150</v>
      </c>
      <c r="BO256" s="1199">
        <f t="shared" ref="BO256:BO261" si="849">SUM(AV256*14%)</f>
        <v>0</v>
      </c>
      <c r="BP256" s="1199">
        <f t="shared" ref="BP256:BP261" si="850">SUM(AW256*14%)</f>
        <v>0</v>
      </c>
      <c r="BQ256" s="1199">
        <f t="shared" ref="BQ256:BQ261" si="851">SUM(AX256*14%)</f>
        <v>0</v>
      </c>
      <c r="BR256" s="1199">
        <f t="shared" ref="BR256:BR261" si="852">SUM(AY256*14%)</f>
        <v>0</v>
      </c>
      <c r="BS256" s="1199">
        <f t="shared" ref="BS256:BS261" si="853">SUM(AZ256*14%)</f>
        <v>0</v>
      </c>
      <c r="BT256" s="1199">
        <f t="shared" ref="BT256:BT261" si="854">SUM(BA256*14%)</f>
        <v>0</v>
      </c>
      <c r="BU256" s="1199">
        <f t="shared" ref="BU256:BU261" si="855">SUM(BB256*14%)</f>
        <v>0</v>
      </c>
      <c r="BV256" s="1199">
        <f t="shared" ref="BV256:BV261" si="856">SUM(BC256*14%)</f>
        <v>0</v>
      </c>
      <c r="BW256" s="1199">
        <f t="shared" ref="BW256:BW261" si="857">SUM(BD256*14%)</f>
        <v>0</v>
      </c>
      <c r="BX256" s="1256">
        <f>SUM(BL256:BW256)</f>
        <v>1469150</v>
      </c>
      <c r="BY256" s="1257">
        <f>AR256-BK256</f>
        <v>0</v>
      </c>
      <c r="BZ256" s="1258">
        <f>Y256*D256</f>
        <v>11753200</v>
      </c>
      <c r="CA256" s="1259">
        <f>BZ256-BK256</f>
        <v>0</v>
      </c>
      <c r="CB256" s="1260">
        <f t="shared" ref="CB256:CB262" si="858">SUM(W256/D256)</f>
        <v>1</v>
      </c>
      <c r="CC256" s="1128"/>
      <c r="CD256" s="1128"/>
      <c r="CE256" s="1143"/>
      <c r="CF256" s="1149"/>
      <c r="CG256" s="1128"/>
      <c r="CH256" s="1128"/>
      <c r="CI256" s="1128"/>
      <c r="CJ256" s="1128"/>
      <c r="CK256" s="1128"/>
      <c r="CL256" s="1128"/>
      <c r="CM256" s="1128"/>
      <c r="CN256" s="1128"/>
      <c r="CO256" s="1128">
        <f t="shared" ref="CO256:CO257" si="859">SUM(AZ256*12.5%)</f>
        <v>0</v>
      </c>
      <c r="CP256" s="1128"/>
      <c r="CQ256" s="1128"/>
      <c r="CR256" s="1128"/>
      <c r="CS256" s="1128"/>
      <c r="CT256" s="1128"/>
      <c r="CU256" s="1128"/>
      <c r="CV256" s="1128"/>
      <c r="CW256" s="1128"/>
      <c r="CX256" s="1128"/>
      <c r="CY256" s="1144">
        <f t="shared" ref="CY256:CY263" si="860">SUM(CG256:CX256)</f>
        <v>0</v>
      </c>
      <c r="CZ256" s="1128"/>
      <c r="DA256" s="1128"/>
      <c r="DB256" s="1128"/>
      <c r="DC256" s="1128"/>
      <c r="DD256" s="1128"/>
      <c r="DE256" s="1128"/>
      <c r="DF256" s="1128"/>
      <c r="DG256" s="1128"/>
      <c r="DH256" s="1128"/>
      <c r="DI256" s="1128"/>
      <c r="DJ256" s="1128"/>
      <c r="DK256" s="1128"/>
      <c r="DL256" s="1128"/>
      <c r="DM256" s="1128"/>
      <c r="DN256" s="1128"/>
      <c r="DO256" s="1128"/>
      <c r="DP256" s="1128"/>
      <c r="DQ256" s="1128"/>
      <c r="DR256" s="1143">
        <f t="shared" ref="DR256:DR263" si="861">SUM(CZ256:DQ256)</f>
        <v>0</v>
      </c>
      <c r="DS256" s="1261"/>
      <c r="DT256" s="1261"/>
      <c r="DU256" s="1262"/>
      <c r="DV256" s="1261"/>
      <c r="DW256" s="1261"/>
      <c r="DX256" s="1261"/>
      <c r="DY256" s="1244"/>
      <c r="DZ256" s="1244"/>
      <c r="EA256" s="1244"/>
      <c r="EB256" s="1244"/>
      <c r="EC256" s="1244"/>
      <c r="ED256" s="1244"/>
      <c r="EE256" s="1244"/>
      <c r="EF256" s="1244"/>
      <c r="EG256" s="1244"/>
      <c r="EH256" s="1244"/>
      <c r="EI256" s="1244"/>
    </row>
    <row r="257" spans="1:159" s="1245" customFormat="1" ht="24.75" customHeight="1" x14ac:dyDescent="0.2">
      <c r="A257" s="1248">
        <v>2</v>
      </c>
      <c r="B257" s="1249" t="s">
        <v>576</v>
      </c>
      <c r="C257" s="1250" t="s">
        <v>25</v>
      </c>
      <c r="D257" s="1251">
        <v>1</v>
      </c>
      <c r="E257" s="992">
        <v>1</v>
      </c>
      <c r="F257" s="576"/>
      <c r="G257" s="144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1252">
        <f t="shared" si="846"/>
        <v>1</v>
      </c>
      <c r="X257" s="1253" t="s">
        <v>28</v>
      </c>
      <c r="Y257" s="1263">
        <v>11548100</v>
      </c>
      <c r="Z257" s="995">
        <v>8800000</v>
      </c>
      <c r="AA257" s="1007"/>
      <c r="AB257" s="1447"/>
      <c r="AC257" s="1007"/>
      <c r="AD257" s="1007"/>
      <c r="AE257" s="1007"/>
      <c r="AF257" s="1007"/>
      <c r="AG257" s="1007"/>
      <c r="AH257" s="1007"/>
      <c r="AI257" s="1007"/>
      <c r="AJ257" s="1007"/>
      <c r="AK257" s="1007"/>
      <c r="AL257" s="1007"/>
      <c r="AM257" s="1007"/>
      <c r="AN257" s="1007"/>
      <c r="AO257" s="1007"/>
      <c r="AP257" s="1007"/>
      <c r="AQ257" s="1007"/>
      <c r="AR257" s="1255">
        <f t="shared" ref="AR257:AR261" si="862">SUM(W257*Y257)</f>
        <v>11548100</v>
      </c>
      <c r="AS257" s="1199">
        <f t="shared" si="847"/>
        <v>8800000</v>
      </c>
      <c r="AT257" s="1199">
        <f t="shared" si="847"/>
        <v>0</v>
      </c>
      <c r="AU257" s="1298">
        <f t="shared" si="847"/>
        <v>0</v>
      </c>
      <c r="AV257" s="1199">
        <f t="shared" si="847"/>
        <v>0</v>
      </c>
      <c r="AW257" s="1199">
        <f t="shared" si="847"/>
        <v>0</v>
      </c>
      <c r="AX257" s="1199">
        <f t="shared" si="847"/>
        <v>0</v>
      </c>
      <c r="AY257" s="1199">
        <f t="shared" si="847"/>
        <v>0</v>
      </c>
      <c r="AZ257" s="1199">
        <f t="shared" si="847"/>
        <v>0</v>
      </c>
      <c r="BA257" s="1199">
        <f t="shared" si="847"/>
        <v>0</v>
      </c>
      <c r="BB257" s="1199">
        <f t="shared" si="847"/>
        <v>0</v>
      </c>
      <c r="BC257" s="1199">
        <f t="shared" si="847"/>
        <v>0</v>
      </c>
      <c r="BD257" s="1199">
        <f t="shared" si="847"/>
        <v>0</v>
      </c>
      <c r="BE257" s="1199"/>
      <c r="BF257" s="1199"/>
      <c r="BG257" s="1199"/>
      <c r="BH257" s="1199"/>
      <c r="BI257" s="1199"/>
      <c r="BJ257" s="1199"/>
      <c r="BK257" s="1231">
        <f t="shared" ref="BK257:BK261" si="863">SUM(AS257:BD257)</f>
        <v>8800000</v>
      </c>
      <c r="BL257" s="1199">
        <f t="shared" ref="BL257:BL261" si="864">SUM(AS257*14%)</f>
        <v>1232000.0000000002</v>
      </c>
      <c r="BM257" s="1199">
        <f t="shared" si="848"/>
        <v>0</v>
      </c>
      <c r="BN257" s="1298">
        <f t="shared" ref="BN257:BN261" si="865">SUM(AU257*14%)</f>
        <v>0</v>
      </c>
      <c r="BO257" s="1199">
        <f t="shared" si="849"/>
        <v>0</v>
      </c>
      <c r="BP257" s="1199">
        <f t="shared" si="850"/>
        <v>0</v>
      </c>
      <c r="BQ257" s="1199">
        <f t="shared" si="851"/>
        <v>0</v>
      </c>
      <c r="BR257" s="1199">
        <f t="shared" si="852"/>
        <v>0</v>
      </c>
      <c r="BS257" s="1199">
        <f t="shared" si="853"/>
        <v>0</v>
      </c>
      <c r="BT257" s="1199">
        <f t="shared" si="854"/>
        <v>0</v>
      </c>
      <c r="BU257" s="1199">
        <f t="shared" si="855"/>
        <v>0</v>
      </c>
      <c r="BV257" s="1199">
        <f t="shared" si="856"/>
        <v>0</v>
      </c>
      <c r="BW257" s="1199">
        <f t="shared" si="857"/>
        <v>0</v>
      </c>
      <c r="BX257" s="1256">
        <f t="shared" ref="BX257:BX261" si="866">SUM(BL257:BW257)</f>
        <v>1232000.0000000002</v>
      </c>
      <c r="BY257" s="1257">
        <f>AR257-BK257-BX257</f>
        <v>1516099.9999999998</v>
      </c>
      <c r="BZ257" s="1258">
        <f>Y257*D257</f>
        <v>11548100</v>
      </c>
      <c r="CA257" s="1259">
        <f>BZ257-BK257-BX257</f>
        <v>1516099.9999999998</v>
      </c>
      <c r="CB257" s="1260">
        <f t="shared" si="858"/>
        <v>1</v>
      </c>
      <c r="CC257" s="1128"/>
      <c r="CD257" s="1128"/>
      <c r="CE257" s="1148"/>
      <c r="CF257" s="1149"/>
      <c r="CG257" s="1128"/>
      <c r="CH257" s="1128"/>
      <c r="CI257" s="1128"/>
      <c r="CJ257" s="1128"/>
      <c r="CK257" s="1128"/>
      <c r="CL257" s="1128"/>
      <c r="CM257" s="1128"/>
      <c r="CN257" s="1128"/>
      <c r="CO257" s="1128">
        <f t="shared" si="859"/>
        <v>0</v>
      </c>
      <c r="CP257" s="1128"/>
      <c r="CQ257" s="1128"/>
      <c r="CR257" s="1128"/>
      <c r="CS257" s="1128"/>
      <c r="CT257" s="1128"/>
      <c r="CU257" s="1128"/>
      <c r="CV257" s="1128"/>
      <c r="CW257" s="1128"/>
      <c r="CX257" s="1128"/>
      <c r="CY257" s="1144">
        <f t="shared" si="860"/>
        <v>0</v>
      </c>
      <c r="CZ257" s="1128"/>
      <c r="DA257" s="1128"/>
      <c r="DB257" s="1128"/>
      <c r="DC257" s="1128"/>
      <c r="DD257" s="1128"/>
      <c r="DE257" s="1128"/>
      <c r="DF257" s="1128"/>
      <c r="DG257" s="1128"/>
      <c r="DH257" s="1128"/>
      <c r="DI257" s="1128"/>
      <c r="DJ257" s="1128"/>
      <c r="DK257" s="1128"/>
      <c r="DL257" s="1128"/>
      <c r="DM257" s="1128"/>
      <c r="DN257" s="1128"/>
      <c r="DO257" s="1128"/>
      <c r="DP257" s="1128"/>
      <c r="DQ257" s="1128"/>
      <c r="DR257" s="1143">
        <f t="shared" si="861"/>
        <v>0</v>
      </c>
      <c r="DS257" s="1261"/>
      <c r="DT257" s="1261"/>
      <c r="DU257" s="1262"/>
      <c r="DV257" s="1261"/>
      <c r="DW257" s="1261"/>
      <c r="DX257" s="1261"/>
      <c r="DY257" s="1244"/>
      <c r="DZ257" s="1244"/>
      <c r="EA257" s="1244"/>
      <c r="EB257" s="1244"/>
      <c r="EC257" s="1244"/>
      <c r="ED257" s="1244"/>
      <c r="EE257" s="1244"/>
      <c r="EF257" s="1244"/>
      <c r="EG257" s="1244"/>
      <c r="EH257" s="1244"/>
      <c r="EI257" s="1244"/>
    </row>
    <row r="258" spans="1:159" s="1245" customFormat="1" ht="24.75" customHeight="1" x14ac:dyDescent="0.2">
      <c r="A258" s="1248">
        <v>3</v>
      </c>
      <c r="B258" s="1249" t="s">
        <v>577</v>
      </c>
      <c r="C258" s="1250" t="s">
        <v>25</v>
      </c>
      <c r="D258" s="1251">
        <v>1</v>
      </c>
      <c r="E258" s="992">
        <v>1</v>
      </c>
      <c r="F258" s="576"/>
      <c r="G258" s="1446"/>
      <c r="H258" s="576"/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1252">
        <f t="shared" si="846"/>
        <v>1</v>
      </c>
      <c r="X258" s="1253" t="s">
        <v>28</v>
      </c>
      <c r="Y258" s="1263">
        <v>2043000</v>
      </c>
      <c r="Z258" s="995">
        <v>1100000</v>
      </c>
      <c r="AA258" s="1007"/>
      <c r="AB258" s="1447"/>
      <c r="AC258" s="1007"/>
      <c r="AD258" s="1007"/>
      <c r="AE258" s="1007"/>
      <c r="AF258" s="1007"/>
      <c r="AG258" s="1007"/>
      <c r="AH258" s="1007"/>
      <c r="AI258" s="1007"/>
      <c r="AJ258" s="1007"/>
      <c r="AK258" s="1007"/>
      <c r="AL258" s="1007"/>
      <c r="AM258" s="1007"/>
      <c r="AN258" s="1007"/>
      <c r="AO258" s="1007"/>
      <c r="AP258" s="1007"/>
      <c r="AQ258" s="1007"/>
      <c r="AR258" s="1255">
        <f t="shared" si="862"/>
        <v>2043000</v>
      </c>
      <c r="AS258" s="1199">
        <f t="shared" si="847"/>
        <v>1100000</v>
      </c>
      <c r="AT258" s="1199">
        <f t="shared" si="847"/>
        <v>0</v>
      </c>
      <c r="AU258" s="1298">
        <f t="shared" si="847"/>
        <v>0</v>
      </c>
      <c r="AV258" s="1199">
        <f t="shared" si="847"/>
        <v>0</v>
      </c>
      <c r="AW258" s="1199">
        <f t="shared" si="847"/>
        <v>0</v>
      </c>
      <c r="AX258" s="1199">
        <f t="shared" si="847"/>
        <v>0</v>
      </c>
      <c r="AY258" s="1199">
        <f t="shared" si="847"/>
        <v>0</v>
      </c>
      <c r="AZ258" s="1199">
        <f t="shared" si="847"/>
        <v>0</v>
      </c>
      <c r="BA258" s="1199">
        <f t="shared" si="847"/>
        <v>0</v>
      </c>
      <c r="BB258" s="1199">
        <f t="shared" si="847"/>
        <v>0</v>
      </c>
      <c r="BC258" s="1199">
        <f t="shared" si="847"/>
        <v>0</v>
      </c>
      <c r="BD258" s="1199">
        <f t="shared" si="847"/>
        <v>0</v>
      </c>
      <c r="BE258" s="1199"/>
      <c r="BF258" s="1199"/>
      <c r="BG258" s="1199"/>
      <c r="BH258" s="1199"/>
      <c r="BI258" s="1199"/>
      <c r="BJ258" s="1199"/>
      <c r="BK258" s="1231">
        <f t="shared" si="863"/>
        <v>1100000</v>
      </c>
      <c r="BL258" s="1199">
        <f t="shared" si="864"/>
        <v>154000.00000000003</v>
      </c>
      <c r="BM258" s="1199">
        <f t="shared" si="848"/>
        <v>0</v>
      </c>
      <c r="BN258" s="1298">
        <f t="shared" si="865"/>
        <v>0</v>
      </c>
      <c r="BO258" s="1199">
        <f t="shared" si="849"/>
        <v>0</v>
      </c>
      <c r="BP258" s="1199">
        <f t="shared" si="850"/>
        <v>0</v>
      </c>
      <c r="BQ258" s="1199">
        <f t="shared" si="851"/>
        <v>0</v>
      </c>
      <c r="BR258" s="1199">
        <f t="shared" si="852"/>
        <v>0</v>
      </c>
      <c r="BS258" s="1199">
        <f t="shared" si="853"/>
        <v>0</v>
      </c>
      <c r="BT258" s="1199">
        <f t="shared" si="854"/>
        <v>0</v>
      </c>
      <c r="BU258" s="1199">
        <f t="shared" si="855"/>
        <v>0</v>
      </c>
      <c r="BV258" s="1199">
        <f t="shared" si="856"/>
        <v>0</v>
      </c>
      <c r="BW258" s="1199">
        <f t="shared" si="857"/>
        <v>0</v>
      </c>
      <c r="BX258" s="1256">
        <f>SUM(BL258:BW258)</f>
        <v>154000.00000000003</v>
      </c>
      <c r="BY258" s="1257">
        <f>AR258-BK258-BX258</f>
        <v>789000</v>
      </c>
      <c r="BZ258" s="1258">
        <f>Y258*D258</f>
        <v>2043000</v>
      </c>
      <c r="CA258" s="1259">
        <f t="shared" ref="CA258" si="867">BZ258-BK258-BX258</f>
        <v>789000</v>
      </c>
      <c r="CB258" s="1260">
        <f t="shared" si="858"/>
        <v>1</v>
      </c>
      <c r="CC258" s="1128"/>
      <c r="CD258" s="1128"/>
      <c r="CE258" s="1148"/>
      <c r="CF258" s="1149"/>
      <c r="CG258" s="1128"/>
      <c r="CH258" s="1128"/>
      <c r="CI258" s="1128"/>
      <c r="CJ258" s="1128"/>
      <c r="CK258" s="1128"/>
      <c r="CL258" s="1128"/>
      <c r="CM258" s="1128"/>
      <c r="CN258" s="1128"/>
      <c r="CO258" s="1128">
        <f t="shared" ref="CO258:CO263" si="868">SUM(AZ258*12.5%)</f>
        <v>0</v>
      </c>
      <c r="CP258" s="1128"/>
      <c r="CQ258" s="1128"/>
      <c r="CR258" s="1128"/>
      <c r="CS258" s="1128"/>
      <c r="CT258" s="1128"/>
      <c r="CU258" s="1128"/>
      <c r="CV258" s="1128"/>
      <c r="CW258" s="1128"/>
      <c r="CX258" s="1128"/>
      <c r="CY258" s="1144">
        <f t="shared" si="860"/>
        <v>0</v>
      </c>
      <c r="CZ258" s="1128"/>
      <c r="DA258" s="1128"/>
      <c r="DB258" s="1128"/>
      <c r="DC258" s="1128"/>
      <c r="DD258" s="1128"/>
      <c r="DE258" s="1128"/>
      <c r="DF258" s="1128"/>
      <c r="DG258" s="1128"/>
      <c r="DH258" s="1128"/>
      <c r="DI258" s="1128"/>
      <c r="DJ258" s="1128"/>
      <c r="DK258" s="1128"/>
      <c r="DL258" s="1128"/>
      <c r="DM258" s="1128"/>
      <c r="DN258" s="1128"/>
      <c r="DO258" s="1128"/>
      <c r="DP258" s="1128"/>
      <c r="DQ258" s="1128"/>
      <c r="DR258" s="1143">
        <f t="shared" si="861"/>
        <v>0</v>
      </c>
      <c r="DS258" s="1261"/>
      <c r="DT258" s="1261"/>
      <c r="DU258" s="1262"/>
      <c r="DV258" s="1261"/>
      <c r="DW258" s="1261"/>
      <c r="DX258" s="1261"/>
      <c r="DY258" s="1244"/>
      <c r="DZ258" s="1244"/>
      <c r="EA258" s="1244"/>
      <c r="EB258" s="1244"/>
      <c r="EC258" s="1244"/>
      <c r="ED258" s="1244"/>
      <c r="EE258" s="1244"/>
      <c r="EF258" s="1244"/>
      <c r="EG258" s="1244"/>
      <c r="EH258" s="1244"/>
      <c r="EI258" s="1244"/>
    </row>
    <row r="259" spans="1:159" s="1245" customFormat="1" ht="24.75" customHeight="1" x14ac:dyDescent="0.2">
      <c r="A259" s="1248">
        <v>4</v>
      </c>
      <c r="B259" s="1264" t="s">
        <v>578</v>
      </c>
      <c r="C259" s="1250" t="s">
        <v>25</v>
      </c>
      <c r="D259" s="1265">
        <v>4</v>
      </c>
      <c r="E259" s="992"/>
      <c r="F259" s="576">
        <v>4</v>
      </c>
      <c r="G259" s="1446"/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1252">
        <f t="shared" si="846"/>
        <v>4</v>
      </c>
      <c r="X259" s="1266" t="s">
        <v>119</v>
      </c>
      <c r="Y259" s="1267">
        <v>5000000</v>
      </c>
      <c r="Z259" s="995"/>
      <c r="AA259" s="1345"/>
      <c r="AB259" s="1447"/>
      <c r="AC259" s="1007"/>
      <c r="AD259" s="1007"/>
      <c r="AE259" s="1007"/>
      <c r="AF259" s="1007"/>
      <c r="AG259" s="1007"/>
      <c r="AH259" s="1007"/>
      <c r="AI259" s="1007"/>
      <c r="AJ259" s="1007"/>
      <c r="AK259" s="1007"/>
      <c r="AL259" s="1007"/>
      <c r="AM259" s="1007"/>
      <c r="AN259" s="1007"/>
      <c r="AO259" s="1007"/>
      <c r="AP259" s="1007"/>
      <c r="AQ259" s="1007"/>
      <c r="AR259" s="1255">
        <f t="shared" si="862"/>
        <v>20000000</v>
      </c>
      <c r="AS259" s="1199">
        <f t="shared" si="847"/>
        <v>0</v>
      </c>
      <c r="AT259" s="1199">
        <f t="shared" si="847"/>
        <v>0</v>
      </c>
      <c r="AU259" s="1298">
        <f t="shared" si="847"/>
        <v>0</v>
      </c>
      <c r="AV259" s="1199">
        <f t="shared" si="847"/>
        <v>0</v>
      </c>
      <c r="AW259" s="1199">
        <f t="shared" si="847"/>
        <v>0</v>
      </c>
      <c r="AX259" s="1199">
        <f t="shared" si="847"/>
        <v>0</v>
      </c>
      <c r="AY259" s="1199">
        <f t="shared" si="847"/>
        <v>0</v>
      </c>
      <c r="AZ259" s="1199">
        <f t="shared" si="847"/>
        <v>0</v>
      </c>
      <c r="BA259" s="1199">
        <f t="shared" si="847"/>
        <v>0</v>
      </c>
      <c r="BB259" s="1199">
        <f t="shared" si="847"/>
        <v>0</v>
      </c>
      <c r="BC259" s="1199">
        <f t="shared" si="847"/>
        <v>0</v>
      </c>
      <c r="BD259" s="1199">
        <f t="shared" si="847"/>
        <v>0</v>
      </c>
      <c r="BE259" s="1199"/>
      <c r="BF259" s="1199"/>
      <c r="BG259" s="1199"/>
      <c r="BH259" s="1199"/>
      <c r="BI259" s="1199"/>
      <c r="BJ259" s="1199"/>
      <c r="BK259" s="1231">
        <f t="shared" si="863"/>
        <v>0</v>
      </c>
      <c r="BL259" s="1199">
        <f t="shared" si="864"/>
        <v>0</v>
      </c>
      <c r="BM259" s="1199">
        <f>SUM(AT259*12.5%)</f>
        <v>0</v>
      </c>
      <c r="BN259" s="1298">
        <f t="shared" si="865"/>
        <v>0</v>
      </c>
      <c r="BO259" s="1199">
        <f t="shared" si="849"/>
        <v>0</v>
      </c>
      <c r="BP259" s="1199">
        <f t="shared" si="850"/>
        <v>0</v>
      </c>
      <c r="BQ259" s="1199">
        <f t="shared" si="851"/>
        <v>0</v>
      </c>
      <c r="BR259" s="1199">
        <f t="shared" si="852"/>
        <v>0</v>
      </c>
      <c r="BS259" s="1199">
        <f t="shared" si="853"/>
        <v>0</v>
      </c>
      <c r="BT259" s="1199">
        <f t="shared" si="854"/>
        <v>0</v>
      </c>
      <c r="BU259" s="1199">
        <f t="shared" si="855"/>
        <v>0</v>
      </c>
      <c r="BV259" s="1199">
        <f t="shared" si="856"/>
        <v>0</v>
      </c>
      <c r="BW259" s="1199">
        <f t="shared" si="857"/>
        <v>0</v>
      </c>
      <c r="BX259" s="1256">
        <f t="shared" si="866"/>
        <v>0</v>
      </c>
      <c r="BY259" s="1257"/>
      <c r="BZ259" s="1258">
        <f>Y259*D259</f>
        <v>20000000</v>
      </c>
      <c r="CA259" s="1259">
        <f>SUM(BZ259-AT263)-737893</f>
        <v>3597107</v>
      </c>
      <c r="CB259" s="1260">
        <f t="shared" si="858"/>
        <v>1</v>
      </c>
      <c r="CC259" s="1128"/>
      <c r="CD259" s="1128"/>
      <c r="CE259" s="1148"/>
      <c r="CF259" s="1149"/>
      <c r="CG259" s="1128"/>
      <c r="CH259" s="1128"/>
      <c r="CI259" s="1128"/>
      <c r="CJ259" s="1128"/>
      <c r="CK259" s="1128"/>
      <c r="CL259" s="1128"/>
      <c r="CM259" s="1128"/>
      <c r="CN259" s="1128"/>
      <c r="CO259" s="1128">
        <f t="shared" si="868"/>
        <v>0</v>
      </c>
      <c r="CP259" s="1128"/>
      <c r="CQ259" s="1128"/>
      <c r="CR259" s="1128"/>
      <c r="CS259" s="1128"/>
      <c r="CT259" s="1128"/>
      <c r="CU259" s="1128"/>
      <c r="CV259" s="1128"/>
      <c r="CW259" s="1128"/>
      <c r="CX259" s="1128"/>
      <c r="CY259" s="1144">
        <f t="shared" si="860"/>
        <v>0</v>
      </c>
      <c r="CZ259" s="1128"/>
      <c r="DA259" s="1128"/>
      <c r="DB259" s="1128"/>
      <c r="DC259" s="1128"/>
      <c r="DD259" s="1128"/>
      <c r="DE259" s="1128"/>
      <c r="DF259" s="1128"/>
      <c r="DG259" s="1128"/>
      <c r="DH259" s="1128"/>
      <c r="DI259" s="1128"/>
      <c r="DJ259" s="1128"/>
      <c r="DK259" s="1128"/>
      <c r="DL259" s="1128"/>
      <c r="DM259" s="1128"/>
      <c r="DN259" s="1128"/>
      <c r="DO259" s="1128"/>
      <c r="DP259" s="1128"/>
      <c r="DQ259" s="1128"/>
      <c r="DR259" s="1143">
        <f t="shared" si="861"/>
        <v>0</v>
      </c>
      <c r="DS259" s="1261"/>
      <c r="DT259" s="1261"/>
      <c r="DU259" s="1262"/>
      <c r="DV259" s="1261"/>
      <c r="DW259" s="1261"/>
      <c r="DX259" s="1261"/>
      <c r="DY259" s="1244"/>
      <c r="DZ259" s="1244"/>
      <c r="EA259" s="1244"/>
      <c r="EB259" s="1244"/>
      <c r="EC259" s="1244"/>
      <c r="ED259" s="1244"/>
      <c r="EE259" s="1244"/>
      <c r="EF259" s="1244"/>
      <c r="EG259" s="1244"/>
      <c r="EH259" s="1244"/>
      <c r="EI259" s="1244"/>
    </row>
    <row r="260" spans="1:159" s="1245" customFormat="1" ht="24.75" customHeight="1" x14ac:dyDescent="0.2">
      <c r="A260" s="1248">
        <v>5</v>
      </c>
      <c r="B260" s="1264" t="s">
        <v>578</v>
      </c>
      <c r="C260" s="1250" t="s">
        <v>25</v>
      </c>
      <c r="D260" s="1265">
        <v>1</v>
      </c>
      <c r="E260" s="992"/>
      <c r="F260" s="576">
        <v>1</v>
      </c>
      <c r="G260" s="144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1252">
        <f t="shared" si="846"/>
        <v>1</v>
      </c>
      <c r="X260" s="1266" t="s">
        <v>119</v>
      </c>
      <c r="Y260" s="1267">
        <v>0</v>
      </c>
      <c r="Z260" s="995"/>
      <c r="AA260" s="1199">
        <v>3090000</v>
      </c>
      <c r="AB260" s="1447"/>
      <c r="AC260" s="1007"/>
      <c r="AD260" s="1007"/>
      <c r="AE260" s="1007"/>
      <c r="AF260" s="1007"/>
      <c r="AG260" s="1007"/>
      <c r="AH260" s="1007"/>
      <c r="AI260" s="1007"/>
      <c r="AJ260" s="1007"/>
      <c r="AK260" s="1007"/>
      <c r="AL260" s="1007"/>
      <c r="AM260" s="1007"/>
      <c r="AN260" s="1007"/>
      <c r="AO260" s="1007"/>
      <c r="AP260" s="1007"/>
      <c r="AQ260" s="1007"/>
      <c r="AR260" s="1255">
        <f t="shared" ref="AR260" si="869">SUM(W260*Y260)</f>
        <v>0</v>
      </c>
      <c r="AS260" s="1199">
        <f t="shared" ref="AS260" si="870">Z260*E260</f>
        <v>0</v>
      </c>
      <c r="AT260" s="1199">
        <f t="shared" si="847"/>
        <v>3090000</v>
      </c>
      <c r="AU260" s="1298">
        <f t="shared" ref="AU260" si="871">AB260*G260</f>
        <v>0</v>
      </c>
      <c r="AV260" s="1199">
        <f t="shared" ref="AV260" si="872">AC260*H260</f>
        <v>0</v>
      </c>
      <c r="AW260" s="1199">
        <f t="shared" ref="AW260" si="873">AD260*I260</f>
        <v>0</v>
      </c>
      <c r="AX260" s="1199">
        <f t="shared" ref="AX260" si="874">AE260*J260</f>
        <v>0</v>
      </c>
      <c r="AY260" s="1199">
        <f t="shared" ref="AY260" si="875">AF260*K260</f>
        <v>0</v>
      </c>
      <c r="AZ260" s="1199">
        <f t="shared" ref="AZ260" si="876">AG260*L260</f>
        <v>0</v>
      </c>
      <c r="BA260" s="1199">
        <f t="shared" ref="BA260" si="877">AH260*M260</f>
        <v>0</v>
      </c>
      <c r="BB260" s="1199">
        <f t="shared" ref="BB260" si="878">AI260*N260</f>
        <v>0</v>
      </c>
      <c r="BC260" s="1199">
        <f t="shared" ref="BC260" si="879">AJ260*O260</f>
        <v>0</v>
      </c>
      <c r="BD260" s="1199">
        <f t="shared" ref="BD260" si="880">AK260*P260</f>
        <v>0</v>
      </c>
      <c r="BE260" s="1199"/>
      <c r="BF260" s="1199"/>
      <c r="BG260" s="1199"/>
      <c r="BH260" s="1199"/>
      <c r="BI260" s="1199"/>
      <c r="BJ260" s="1199"/>
      <c r="BK260" s="1231">
        <f t="shared" ref="BK260" si="881">SUM(AS260:BD260)</f>
        <v>3090000</v>
      </c>
      <c r="BL260" s="1199">
        <f t="shared" ref="BL260" si="882">SUM(AS260*14%)</f>
        <v>0</v>
      </c>
      <c r="BM260" s="1199">
        <f>SUM(AT260*12.5%)</f>
        <v>386250</v>
      </c>
      <c r="BN260" s="1298">
        <f t="shared" ref="BN260" si="883">SUM(AU260*14%)</f>
        <v>0</v>
      </c>
      <c r="BO260" s="1199">
        <f t="shared" ref="BO260" si="884">SUM(AV260*14%)</f>
        <v>0</v>
      </c>
      <c r="BP260" s="1199">
        <f t="shared" ref="BP260" si="885">SUM(AW260*14%)</f>
        <v>0</v>
      </c>
      <c r="BQ260" s="1199">
        <f t="shared" ref="BQ260" si="886">SUM(AX260*14%)</f>
        <v>0</v>
      </c>
      <c r="BR260" s="1199">
        <f t="shared" ref="BR260" si="887">SUM(AY260*14%)</f>
        <v>0</v>
      </c>
      <c r="BS260" s="1199">
        <f t="shared" ref="BS260" si="888">SUM(AZ260*14%)</f>
        <v>0</v>
      </c>
      <c r="BT260" s="1199">
        <f t="shared" ref="BT260" si="889">SUM(BA260*14%)</f>
        <v>0</v>
      </c>
      <c r="BU260" s="1199">
        <f t="shared" ref="BU260" si="890">SUM(BB260*14%)</f>
        <v>0</v>
      </c>
      <c r="BV260" s="1199">
        <f t="shared" ref="BV260" si="891">SUM(BC260*14%)</f>
        <v>0</v>
      </c>
      <c r="BW260" s="1199">
        <f t="shared" ref="BW260" si="892">SUM(BD260*14%)</f>
        <v>0</v>
      </c>
      <c r="BX260" s="1256">
        <f t="shared" ref="BX260" si="893">SUM(BL260:BW260)</f>
        <v>386250</v>
      </c>
      <c r="BY260" s="1257">
        <f>AR260</f>
        <v>0</v>
      </c>
      <c r="BZ260" s="1258">
        <f>BK260</f>
        <v>3090000</v>
      </c>
      <c r="CA260" s="1259">
        <f>CA259-BZ260</f>
        <v>507107</v>
      </c>
      <c r="CB260" s="1260">
        <f t="shared" si="858"/>
        <v>1</v>
      </c>
      <c r="CC260" s="1081">
        <f>SUM(AT260-BM260)</f>
        <v>2703750</v>
      </c>
      <c r="CD260" s="1081">
        <f>2700000*1</f>
        <v>2700000</v>
      </c>
      <c r="CE260" s="1083">
        <f>SUM(CC260-CD260)</f>
        <v>3750</v>
      </c>
      <c r="CF260" s="1149"/>
      <c r="CG260" s="1128"/>
      <c r="CH260" s="1128"/>
      <c r="CI260" s="1128"/>
      <c r="CJ260" s="1128"/>
      <c r="CK260" s="1128"/>
      <c r="CL260" s="1128"/>
      <c r="CM260" s="1128"/>
      <c r="CN260" s="1128"/>
      <c r="CO260" s="1128">
        <f t="shared" ref="CO260" si="894">SUM(AZ260*12.5%)</f>
        <v>0</v>
      </c>
      <c r="CP260" s="1128"/>
      <c r="CQ260" s="1128"/>
      <c r="CR260" s="1128"/>
      <c r="CS260" s="1128"/>
      <c r="CT260" s="1128"/>
      <c r="CU260" s="1128"/>
      <c r="CV260" s="1128"/>
      <c r="CW260" s="1128"/>
      <c r="CX260" s="1128"/>
      <c r="CY260" s="1144">
        <f t="shared" si="860"/>
        <v>0</v>
      </c>
      <c r="CZ260" s="1128"/>
      <c r="DA260" s="1128"/>
      <c r="DB260" s="1128"/>
      <c r="DC260" s="1128"/>
      <c r="DD260" s="1128"/>
      <c r="DE260" s="1128"/>
      <c r="DF260" s="1128"/>
      <c r="DG260" s="1128"/>
      <c r="DH260" s="1128"/>
      <c r="DI260" s="1128"/>
      <c r="DJ260" s="1128"/>
      <c r="DK260" s="1128"/>
      <c r="DL260" s="1128"/>
      <c r="DM260" s="1128"/>
      <c r="DN260" s="1128"/>
      <c r="DO260" s="1128"/>
      <c r="DP260" s="1128"/>
      <c r="DQ260" s="1128"/>
      <c r="DR260" s="1143">
        <f t="shared" si="861"/>
        <v>0</v>
      </c>
      <c r="DS260" s="1261"/>
      <c r="DT260" s="1261"/>
      <c r="DU260" s="1262"/>
      <c r="DV260" s="1261"/>
      <c r="DW260" s="1261"/>
      <c r="DX260" s="1261"/>
      <c r="DY260" s="1244"/>
      <c r="DZ260" s="1244"/>
      <c r="EA260" s="1244"/>
      <c r="EB260" s="1244"/>
      <c r="EC260" s="1244"/>
      <c r="ED260" s="1244"/>
      <c r="EE260" s="1244"/>
      <c r="EF260" s="1244"/>
      <c r="EG260" s="1244"/>
      <c r="EH260" s="1244"/>
      <c r="EI260" s="1244"/>
    </row>
    <row r="261" spans="1:159" s="1245" customFormat="1" ht="24.75" customHeight="1" x14ac:dyDescent="0.2">
      <c r="A261" s="1248">
        <v>6</v>
      </c>
      <c r="B261" s="1264" t="s">
        <v>578</v>
      </c>
      <c r="C261" s="1250" t="s">
        <v>25</v>
      </c>
      <c r="D261" s="1265">
        <v>1</v>
      </c>
      <c r="E261" s="992"/>
      <c r="F261" s="576">
        <v>1</v>
      </c>
      <c r="G261" s="144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1252">
        <f t="shared" si="846"/>
        <v>1</v>
      </c>
      <c r="X261" s="1266" t="s">
        <v>119</v>
      </c>
      <c r="Y261" s="1267">
        <v>0</v>
      </c>
      <c r="Z261" s="995"/>
      <c r="AA261" s="1199">
        <v>4575000</v>
      </c>
      <c r="AB261" s="1447"/>
      <c r="AC261" s="1007"/>
      <c r="AD261" s="1007"/>
      <c r="AE261" s="1007"/>
      <c r="AF261" s="1007"/>
      <c r="AG261" s="1007"/>
      <c r="AH261" s="1007"/>
      <c r="AI261" s="1007"/>
      <c r="AJ261" s="1007"/>
      <c r="AK261" s="1007"/>
      <c r="AL261" s="1007"/>
      <c r="AM261" s="1007"/>
      <c r="AN261" s="1007"/>
      <c r="AO261" s="1007"/>
      <c r="AP261" s="1007"/>
      <c r="AQ261" s="1007"/>
      <c r="AR261" s="1255">
        <f t="shared" si="862"/>
        <v>0</v>
      </c>
      <c r="AS261" s="1199">
        <f t="shared" si="847"/>
        <v>0</v>
      </c>
      <c r="AT261" s="1199">
        <f t="shared" si="847"/>
        <v>4575000</v>
      </c>
      <c r="AU261" s="1298">
        <f t="shared" si="847"/>
        <v>0</v>
      </c>
      <c r="AV261" s="1199">
        <f t="shared" si="847"/>
        <v>0</v>
      </c>
      <c r="AW261" s="1199">
        <f t="shared" si="847"/>
        <v>0</v>
      </c>
      <c r="AX261" s="1199">
        <f t="shared" si="847"/>
        <v>0</v>
      </c>
      <c r="AY261" s="1199">
        <f t="shared" si="847"/>
        <v>0</v>
      </c>
      <c r="AZ261" s="1199">
        <f t="shared" si="847"/>
        <v>0</v>
      </c>
      <c r="BA261" s="1199">
        <f t="shared" si="847"/>
        <v>0</v>
      </c>
      <c r="BB261" s="1199">
        <f t="shared" si="847"/>
        <v>0</v>
      </c>
      <c r="BC261" s="1199">
        <f t="shared" si="847"/>
        <v>0</v>
      </c>
      <c r="BD261" s="1199">
        <f t="shared" si="847"/>
        <v>0</v>
      </c>
      <c r="BE261" s="1199"/>
      <c r="BF261" s="1199"/>
      <c r="BG261" s="1199"/>
      <c r="BH261" s="1199"/>
      <c r="BI261" s="1199"/>
      <c r="BJ261" s="1199"/>
      <c r="BK261" s="1231">
        <f t="shared" si="863"/>
        <v>4575000</v>
      </c>
      <c r="BL261" s="1199">
        <f t="shared" si="864"/>
        <v>0</v>
      </c>
      <c r="BM261" s="1199">
        <f>SUM(AT261*12.5%)</f>
        <v>571875</v>
      </c>
      <c r="BN261" s="1298">
        <f t="shared" si="865"/>
        <v>0</v>
      </c>
      <c r="BO261" s="1199">
        <f t="shared" si="849"/>
        <v>0</v>
      </c>
      <c r="BP261" s="1199">
        <f t="shared" si="850"/>
        <v>0</v>
      </c>
      <c r="BQ261" s="1199">
        <f t="shared" si="851"/>
        <v>0</v>
      </c>
      <c r="BR261" s="1199">
        <f t="shared" si="852"/>
        <v>0</v>
      </c>
      <c r="BS261" s="1199">
        <f t="shared" si="853"/>
        <v>0</v>
      </c>
      <c r="BT261" s="1199">
        <f t="shared" si="854"/>
        <v>0</v>
      </c>
      <c r="BU261" s="1199">
        <f t="shared" si="855"/>
        <v>0</v>
      </c>
      <c r="BV261" s="1199">
        <f t="shared" si="856"/>
        <v>0</v>
      </c>
      <c r="BW261" s="1199">
        <f t="shared" si="857"/>
        <v>0</v>
      </c>
      <c r="BX261" s="1256">
        <f t="shared" si="866"/>
        <v>571875</v>
      </c>
      <c r="BY261" s="1257">
        <f>AR261</f>
        <v>0</v>
      </c>
      <c r="BZ261" s="1258">
        <f>BK261</f>
        <v>4575000</v>
      </c>
      <c r="CA261" s="1259">
        <f>CA260</f>
        <v>507107</v>
      </c>
      <c r="CB261" s="1260">
        <f t="shared" si="858"/>
        <v>1</v>
      </c>
      <c r="CC261" s="1081">
        <f>SUM(AT261-BM261)</f>
        <v>4003125</v>
      </c>
      <c r="CD261" s="1081">
        <f>4000000*1</f>
        <v>4000000</v>
      </c>
      <c r="CE261" s="1083">
        <f t="shared" ref="CE261:CE262" si="895">SUM(CC261-CD261)</f>
        <v>3125</v>
      </c>
      <c r="CF261" s="1149"/>
      <c r="CG261" s="1128"/>
      <c r="CH261" s="1128"/>
      <c r="CI261" s="1128"/>
      <c r="CJ261" s="1128"/>
      <c r="CK261" s="1128"/>
      <c r="CL261" s="1128"/>
      <c r="CM261" s="1128"/>
      <c r="CN261" s="1128"/>
      <c r="CO261" s="1128">
        <f t="shared" si="868"/>
        <v>0</v>
      </c>
      <c r="CP261" s="1128"/>
      <c r="CQ261" s="1128"/>
      <c r="CR261" s="1128"/>
      <c r="CS261" s="1128"/>
      <c r="CT261" s="1128"/>
      <c r="CU261" s="1128"/>
      <c r="CV261" s="1128"/>
      <c r="CW261" s="1128"/>
      <c r="CX261" s="1128"/>
      <c r="CY261" s="1144">
        <f t="shared" si="860"/>
        <v>0</v>
      </c>
      <c r="CZ261" s="1128"/>
      <c r="DA261" s="1128"/>
      <c r="DB261" s="1128"/>
      <c r="DC261" s="1128"/>
      <c r="DD261" s="1128"/>
      <c r="DE261" s="1128"/>
      <c r="DF261" s="1128"/>
      <c r="DG261" s="1128"/>
      <c r="DH261" s="1128"/>
      <c r="DI261" s="1128"/>
      <c r="DJ261" s="1128"/>
      <c r="DK261" s="1128"/>
      <c r="DL261" s="1128"/>
      <c r="DM261" s="1128"/>
      <c r="DN261" s="1128"/>
      <c r="DO261" s="1128"/>
      <c r="DP261" s="1128"/>
      <c r="DQ261" s="1128"/>
      <c r="DR261" s="1143">
        <f t="shared" si="861"/>
        <v>0</v>
      </c>
      <c r="DS261" s="1261"/>
      <c r="DT261" s="1261"/>
      <c r="DU261" s="1262"/>
      <c r="DV261" s="1261"/>
      <c r="DW261" s="1261"/>
      <c r="DX261" s="1261"/>
      <c r="DY261" s="1244"/>
      <c r="DZ261" s="1244"/>
      <c r="EA261" s="1244"/>
      <c r="EB261" s="1244"/>
      <c r="EC261" s="1244"/>
      <c r="ED261" s="1244"/>
      <c r="EE261" s="1244"/>
      <c r="EF261" s="1244"/>
      <c r="EG261" s="1244"/>
      <c r="EH261" s="1244"/>
      <c r="EI261" s="1244"/>
    </row>
    <row r="262" spans="1:159" s="1245" customFormat="1" ht="24.75" customHeight="1" thickBot="1" x14ac:dyDescent="0.25">
      <c r="A262" s="1248">
        <v>7</v>
      </c>
      <c r="B262" s="1264" t="s">
        <v>578</v>
      </c>
      <c r="C262" s="1250" t="s">
        <v>25</v>
      </c>
      <c r="D262" s="1265">
        <v>2</v>
      </c>
      <c r="E262" s="992"/>
      <c r="F262" s="576">
        <v>2</v>
      </c>
      <c r="G262" s="144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1252">
        <f t="shared" si="846"/>
        <v>2</v>
      </c>
      <c r="X262" s="1266" t="s">
        <v>119</v>
      </c>
      <c r="Y262" s="1268">
        <v>0</v>
      </c>
      <c r="Z262" s="995"/>
      <c r="AA262" s="1345">
        <v>4000000</v>
      </c>
      <c r="AB262" s="1447"/>
      <c r="AC262" s="1007"/>
      <c r="AD262" s="1007"/>
      <c r="AE262" s="1007"/>
      <c r="AF262" s="1007"/>
      <c r="AG262" s="1007"/>
      <c r="AH262" s="1007"/>
      <c r="AI262" s="1007"/>
      <c r="AJ262" s="1007"/>
      <c r="AK262" s="1007"/>
      <c r="AL262" s="1007"/>
      <c r="AM262" s="1007"/>
      <c r="AN262" s="1007"/>
      <c r="AO262" s="1007"/>
      <c r="AP262" s="1007"/>
      <c r="AQ262" s="1007"/>
      <c r="AR262" s="1255">
        <f t="shared" ref="AR262" si="896">SUM(W262*Y262)</f>
        <v>0</v>
      </c>
      <c r="AS262" s="1199">
        <f t="shared" ref="AS262" si="897">Z262*E262</f>
        <v>0</v>
      </c>
      <c r="AT262" s="1199">
        <f t="shared" ref="AT262" si="898">AA262*F262</f>
        <v>8000000</v>
      </c>
      <c r="AU262" s="1298">
        <f t="shared" ref="AU262" si="899">AB262*G262</f>
        <v>0</v>
      </c>
      <c r="AV262" s="1199">
        <f t="shared" ref="AV262" si="900">AC262*H262</f>
        <v>0</v>
      </c>
      <c r="AW262" s="1199">
        <f t="shared" ref="AW262" si="901">AD262*I262</f>
        <v>0</v>
      </c>
      <c r="AX262" s="1199">
        <f t="shared" ref="AX262" si="902">AE262*J262</f>
        <v>0</v>
      </c>
      <c r="AY262" s="1199">
        <f t="shared" ref="AY262" si="903">AF262*K262</f>
        <v>0</v>
      </c>
      <c r="AZ262" s="1199">
        <f t="shared" ref="AZ262" si="904">AG262*L262</f>
        <v>0</v>
      </c>
      <c r="BA262" s="1199">
        <f t="shared" ref="BA262" si="905">AH262*M262</f>
        <v>0</v>
      </c>
      <c r="BB262" s="1199">
        <f t="shared" ref="BB262" si="906">AI262*N262</f>
        <v>0</v>
      </c>
      <c r="BC262" s="1199">
        <f t="shared" ref="BC262" si="907">AJ262*O262</f>
        <v>0</v>
      </c>
      <c r="BD262" s="1199">
        <f t="shared" ref="BD262" si="908">AK262*P262</f>
        <v>0</v>
      </c>
      <c r="BE262" s="1199"/>
      <c r="BF262" s="1199"/>
      <c r="BG262" s="1199"/>
      <c r="BH262" s="1199"/>
      <c r="BI262" s="1199"/>
      <c r="BJ262" s="1199"/>
      <c r="BK262" s="1231">
        <f t="shared" ref="BK262" si="909">SUM(AS262:BD262)</f>
        <v>8000000</v>
      </c>
      <c r="BL262" s="1199">
        <f t="shared" ref="BL262" si="910">SUM(AS262*14%)</f>
        <v>0</v>
      </c>
      <c r="BM262" s="1199">
        <f>SUM(AT262*12.5%)</f>
        <v>1000000</v>
      </c>
      <c r="BN262" s="1298">
        <f t="shared" ref="BN262" si="911">SUM(AU262*14%)</f>
        <v>0</v>
      </c>
      <c r="BO262" s="1199">
        <f t="shared" ref="BO262" si="912">SUM(AV262*14%)</f>
        <v>0</v>
      </c>
      <c r="BP262" s="1199">
        <f t="shared" ref="BP262" si="913">SUM(AW262*14%)</f>
        <v>0</v>
      </c>
      <c r="BQ262" s="1199">
        <f t="shared" ref="BQ262" si="914">SUM(AX262*14%)</f>
        <v>0</v>
      </c>
      <c r="BR262" s="1199">
        <f t="shared" ref="BR262" si="915">SUM(AY262*14%)</f>
        <v>0</v>
      </c>
      <c r="BS262" s="1199">
        <f t="shared" ref="BS262" si="916">SUM(AZ262*14%)</f>
        <v>0</v>
      </c>
      <c r="BT262" s="1199">
        <f t="shared" ref="BT262" si="917">SUM(BA262*14%)</f>
        <v>0</v>
      </c>
      <c r="BU262" s="1199">
        <f t="shared" ref="BU262" si="918">SUM(BB262*14%)</f>
        <v>0</v>
      </c>
      <c r="BV262" s="1199">
        <f t="shared" ref="BV262" si="919">SUM(BC262*14%)</f>
        <v>0</v>
      </c>
      <c r="BW262" s="1199">
        <f t="shared" ref="BW262" si="920">SUM(BD262*14%)</f>
        <v>0</v>
      </c>
      <c r="BX262" s="1256">
        <f t="shared" ref="BX262" si="921">SUM(BL262:BW262)</f>
        <v>1000000</v>
      </c>
      <c r="BY262" s="1257">
        <f>AR262</f>
        <v>0</v>
      </c>
      <c r="BZ262" s="1258">
        <f>BK262</f>
        <v>8000000</v>
      </c>
      <c r="CA262" s="1259">
        <f>CA261</f>
        <v>507107</v>
      </c>
      <c r="CB262" s="1260">
        <f t="shared" si="858"/>
        <v>1</v>
      </c>
      <c r="CC262" s="1081">
        <f>SUM(AT262-BM262)</f>
        <v>7000000</v>
      </c>
      <c r="CD262" s="1081">
        <f>3500000*2</f>
        <v>7000000</v>
      </c>
      <c r="CE262" s="1083">
        <f t="shared" si="895"/>
        <v>0</v>
      </c>
      <c r="CF262" s="1149"/>
      <c r="CG262" s="1128"/>
      <c r="CH262" s="1128"/>
      <c r="CI262" s="1128"/>
      <c r="CJ262" s="1128"/>
      <c r="CK262" s="1128"/>
      <c r="CL262" s="1128"/>
      <c r="CM262" s="1128"/>
      <c r="CN262" s="1128"/>
      <c r="CO262" s="1128">
        <f t="shared" ref="CO262" si="922">SUM(AZ262*12.5%)</f>
        <v>0</v>
      </c>
      <c r="CP262" s="1128"/>
      <c r="CQ262" s="1128"/>
      <c r="CR262" s="1128"/>
      <c r="CS262" s="1128"/>
      <c r="CT262" s="1128"/>
      <c r="CU262" s="1128"/>
      <c r="CV262" s="1128"/>
      <c r="CW262" s="1128"/>
      <c r="CX262" s="1128"/>
      <c r="CY262" s="1144">
        <f t="shared" si="860"/>
        <v>0</v>
      </c>
      <c r="CZ262" s="1128"/>
      <c r="DA262" s="1128"/>
      <c r="DB262" s="1128"/>
      <c r="DC262" s="1128"/>
      <c r="DD262" s="1128"/>
      <c r="DE262" s="1128"/>
      <c r="DF262" s="1128"/>
      <c r="DG262" s="1128"/>
      <c r="DH262" s="1128"/>
      <c r="DI262" s="1128"/>
      <c r="DJ262" s="1128"/>
      <c r="DK262" s="1128"/>
      <c r="DL262" s="1128"/>
      <c r="DM262" s="1128"/>
      <c r="DN262" s="1128"/>
      <c r="DO262" s="1128"/>
      <c r="DP262" s="1128"/>
      <c r="DQ262" s="1128"/>
      <c r="DR262" s="1143">
        <f t="shared" si="861"/>
        <v>0</v>
      </c>
      <c r="DS262" s="1261"/>
      <c r="DT262" s="1261"/>
      <c r="DU262" s="1262"/>
      <c r="DV262" s="1261"/>
      <c r="DW262" s="1261"/>
      <c r="DX262" s="1261"/>
      <c r="DY262" s="1244"/>
      <c r="DZ262" s="1244"/>
      <c r="EA262" s="1244"/>
      <c r="EB262" s="1244"/>
      <c r="EC262" s="1244"/>
      <c r="ED262" s="1244"/>
      <c r="EE262" s="1244"/>
      <c r="EF262" s="1244"/>
      <c r="EG262" s="1244"/>
      <c r="EH262" s="1244"/>
      <c r="EI262" s="1244"/>
    </row>
    <row r="263" spans="1:159" s="282" customFormat="1" ht="24.75" customHeight="1" thickBot="1" x14ac:dyDescent="0.25">
      <c r="A263" s="577">
        <v>11</v>
      </c>
      <c r="B263" s="308" t="s">
        <v>4</v>
      </c>
      <c r="C263" s="308"/>
      <c r="D263" s="309"/>
      <c r="E263" s="465"/>
      <c r="F263" s="310"/>
      <c r="G263" s="399"/>
      <c r="H263" s="310"/>
      <c r="I263" s="465"/>
      <c r="J263" s="310"/>
      <c r="K263" s="310"/>
      <c r="L263" s="310"/>
      <c r="M263" s="310"/>
      <c r="N263" s="310"/>
      <c r="O263" s="310"/>
      <c r="P263" s="310"/>
      <c r="Q263" s="310"/>
      <c r="R263" s="310"/>
      <c r="S263" s="310"/>
      <c r="T263" s="310"/>
      <c r="U263" s="310"/>
      <c r="V263" s="310"/>
      <c r="W263" s="311"/>
      <c r="X263" s="312"/>
      <c r="Y263" s="313"/>
      <c r="Z263" s="997"/>
      <c r="AA263" s="314"/>
      <c r="AB263" s="314"/>
      <c r="AC263" s="314"/>
      <c r="AD263" s="314"/>
      <c r="AE263" s="989"/>
      <c r="AF263" s="314"/>
      <c r="AG263" s="314"/>
      <c r="AH263" s="314"/>
      <c r="AI263" s="314"/>
      <c r="AJ263" s="314"/>
      <c r="AK263" s="314"/>
      <c r="AL263" s="314"/>
      <c r="AM263" s="314"/>
      <c r="AN263" s="314"/>
      <c r="AO263" s="314"/>
      <c r="AP263" s="314"/>
      <c r="AQ263" s="314"/>
      <c r="AR263" s="315">
        <f>SUM(AR256:AR259)</f>
        <v>45344300</v>
      </c>
      <c r="AS263" s="1232">
        <f>SUM(AS256:AS259)</f>
        <v>9900000</v>
      </c>
      <c r="AT263" s="1232">
        <f>SUM(AT256:AT262)</f>
        <v>15665000</v>
      </c>
      <c r="AU263" s="1232">
        <f t="shared" ref="AU263:BD263" si="923">SUM(AU256:AU259)</f>
        <v>11753200</v>
      </c>
      <c r="AV263" s="315">
        <f t="shared" si="923"/>
        <v>0</v>
      </c>
      <c r="AW263" s="430">
        <f t="shared" si="923"/>
        <v>0</v>
      </c>
      <c r="AX263" s="315">
        <f t="shared" si="923"/>
        <v>0</v>
      </c>
      <c r="AY263" s="315">
        <f t="shared" si="923"/>
        <v>0</v>
      </c>
      <c r="AZ263" s="315">
        <f t="shared" si="923"/>
        <v>0</v>
      </c>
      <c r="BA263" s="315">
        <f t="shared" si="923"/>
        <v>0</v>
      </c>
      <c r="BB263" s="315">
        <f t="shared" si="923"/>
        <v>0</v>
      </c>
      <c r="BC263" s="315">
        <f t="shared" si="923"/>
        <v>0</v>
      </c>
      <c r="BD263" s="315">
        <f t="shared" si="923"/>
        <v>0</v>
      </c>
      <c r="BE263" s="315"/>
      <c r="BF263" s="315"/>
      <c r="BG263" s="315"/>
      <c r="BH263" s="315"/>
      <c r="BI263" s="315"/>
      <c r="BJ263" s="315"/>
      <c r="BK263" s="315">
        <f>SUM(BK256:BK262)-5000000</f>
        <v>32318200</v>
      </c>
      <c r="BL263" s="315">
        <f t="shared" ref="BL263:BW263" si="924">SUM(BL256:BL262)</f>
        <v>1386000.0000000002</v>
      </c>
      <c r="BM263" s="315">
        <f t="shared" si="924"/>
        <v>1958125</v>
      </c>
      <c r="BN263" s="1478">
        <f t="shared" si="924"/>
        <v>1469150</v>
      </c>
      <c r="BO263" s="1232">
        <f t="shared" si="924"/>
        <v>0</v>
      </c>
      <c r="BP263" s="315">
        <f t="shared" si="924"/>
        <v>0</v>
      </c>
      <c r="BQ263" s="315">
        <f t="shared" si="924"/>
        <v>0</v>
      </c>
      <c r="BR263" s="315">
        <f t="shared" si="924"/>
        <v>0</v>
      </c>
      <c r="BS263" s="315">
        <f t="shared" si="924"/>
        <v>0</v>
      </c>
      <c r="BT263" s="315">
        <f t="shared" si="924"/>
        <v>0</v>
      </c>
      <c r="BU263" s="315">
        <f t="shared" si="924"/>
        <v>0</v>
      </c>
      <c r="BV263" s="315">
        <f t="shared" si="924"/>
        <v>0</v>
      </c>
      <c r="BW263" s="315">
        <f t="shared" si="924"/>
        <v>0</v>
      </c>
      <c r="BX263" s="315">
        <f>SUM(BX256:BX258)</f>
        <v>2855150</v>
      </c>
      <c r="BY263" s="316">
        <f>SUM(BY256:BY262)</f>
        <v>2305100</v>
      </c>
      <c r="BZ263" s="315">
        <f>SUM(BZ256:BZ259)</f>
        <v>45344300</v>
      </c>
      <c r="CA263" s="315">
        <f>SUM(CA256:CA259)</f>
        <v>5902207</v>
      </c>
      <c r="CB263" s="279">
        <f>SUM(CB256:CB259)/4</f>
        <v>1</v>
      </c>
      <c r="CC263" s="1107">
        <f>SUM(CC260:CC262)</f>
        <v>13706875</v>
      </c>
      <c r="CD263" s="1107">
        <f t="shared" ref="CD263:CE263" si="925">SUM(CD260:CD262)</f>
        <v>13700000</v>
      </c>
      <c r="CE263" s="1107">
        <f t="shared" si="925"/>
        <v>6875</v>
      </c>
      <c r="CF263" s="1084"/>
      <c r="CG263" s="862"/>
      <c r="CH263" s="862"/>
      <c r="CI263" s="862"/>
      <c r="CJ263" s="862"/>
      <c r="CK263" s="862"/>
      <c r="CL263" s="862"/>
      <c r="CM263" s="862"/>
      <c r="CN263" s="862"/>
      <c r="CO263" s="1081">
        <f t="shared" si="868"/>
        <v>0</v>
      </c>
      <c r="CP263" s="862"/>
      <c r="CQ263" s="862"/>
      <c r="CR263" s="862"/>
      <c r="CS263" s="862"/>
      <c r="CT263" s="862"/>
      <c r="CU263" s="862"/>
      <c r="CV263" s="862"/>
      <c r="CW263" s="862"/>
      <c r="CX263" s="862"/>
      <c r="CY263" s="73">
        <f t="shared" si="860"/>
        <v>0</v>
      </c>
      <c r="CZ263" s="862"/>
      <c r="DA263" s="862"/>
      <c r="DB263" s="862"/>
      <c r="DC263" s="862"/>
      <c r="DD263" s="862"/>
      <c r="DE263" s="862"/>
      <c r="DF263" s="862"/>
      <c r="DG263" s="862"/>
      <c r="DH263" s="1081"/>
      <c r="DI263" s="862"/>
      <c r="DJ263" s="862"/>
      <c r="DK263" s="862"/>
      <c r="DL263" s="862"/>
      <c r="DM263" s="862"/>
      <c r="DN263" s="862"/>
      <c r="DO263" s="862"/>
      <c r="DP263" s="862"/>
      <c r="DQ263" s="862"/>
      <c r="DR263" s="863">
        <f t="shared" si="861"/>
        <v>0</v>
      </c>
      <c r="DS263" s="317"/>
      <c r="DT263" s="317"/>
      <c r="DU263" s="425"/>
      <c r="DV263" s="317"/>
      <c r="DW263" s="317"/>
      <c r="DX263" s="317"/>
      <c r="DY263" s="318"/>
      <c r="DZ263" s="1246"/>
      <c r="EA263" s="1246"/>
      <c r="EB263" s="1246"/>
      <c r="EC263" s="1246"/>
      <c r="ED263" s="1246"/>
      <c r="EE263" s="1246"/>
      <c r="EF263" s="1246"/>
      <c r="EG263" s="1246"/>
      <c r="EH263" s="1246"/>
      <c r="EI263" s="1246"/>
      <c r="EJ263" s="1247"/>
      <c r="EK263" s="1247"/>
      <c r="EL263" s="1247"/>
      <c r="EM263" s="1247"/>
      <c r="EN263" s="1247"/>
      <c r="EO263" s="1247"/>
      <c r="EP263" s="1247"/>
      <c r="EQ263" s="1247"/>
      <c r="ER263" s="1247"/>
      <c r="ES263" s="1247"/>
      <c r="ET263" s="1247"/>
      <c r="EU263" s="1247"/>
      <c r="EV263" s="1247"/>
      <c r="EW263" s="1247"/>
      <c r="EX263" s="1247"/>
      <c r="EY263" s="1247"/>
      <c r="EZ263" s="1247"/>
      <c r="FA263" s="1247"/>
      <c r="FB263" s="1247"/>
      <c r="FC263" s="1247"/>
    </row>
    <row r="264" spans="1:159" s="262" customFormat="1" ht="24.75" customHeight="1" x14ac:dyDescent="0.2">
      <c r="A264" s="283"/>
      <c r="D264" s="283"/>
      <c r="E264" s="463"/>
      <c r="F264" s="283"/>
      <c r="G264" s="397"/>
      <c r="H264" s="283"/>
      <c r="I264" s="46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Z264" s="998"/>
      <c r="AS264" s="998"/>
      <c r="BK264" s="291"/>
      <c r="BO264" s="998"/>
      <c r="BX264" s="319">
        <f>SUM(BK263+BX263+BM263)</f>
        <v>37131475</v>
      </c>
      <c r="BY264" s="284">
        <f>AR263-BK263-BX263-CA259</f>
        <v>6573843</v>
      </c>
      <c r="BZ264" s="320">
        <f>SUM(CA263+BK263+BX263)</f>
        <v>41075557</v>
      </c>
      <c r="CA264" s="285">
        <f>SUM(BY263)</f>
        <v>2305100</v>
      </c>
      <c r="CB264" s="280" t="s">
        <v>38</v>
      </c>
      <c r="CC264" s="1011"/>
      <c r="CD264" s="1012"/>
      <c r="CE264" s="260"/>
      <c r="CF264" s="409"/>
      <c r="CG264" s="417"/>
      <c r="CH264" s="409"/>
      <c r="CI264" s="409"/>
      <c r="CJ264" s="409"/>
      <c r="CK264" s="417"/>
      <c r="CL264" s="409"/>
      <c r="CM264" s="409"/>
      <c r="CN264" s="409"/>
      <c r="CO264" s="417"/>
      <c r="CP264" s="409"/>
      <c r="CQ264" s="409"/>
      <c r="CR264" s="409"/>
      <c r="CS264" s="409"/>
      <c r="CT264" s="409"/>
      <c r="CU264" s="409"/>
      <c r="CV264" s="409"/>
      <c r="CW264" s="409"/>
      <c r="CX264" s="409"/>
      <c r="CY264" s="417"/>
      <c r="CZ264" s="409"/>
      <c r="DA264" s="409"/>
      <c r="DB264" s="409"/>
      <c r="DC264" s="417"/>
      <c r="DD264" s="409"/>
      <c r="DE264" s="409"/>
      <c r="DF264" s="409"/>
      <c r="DG264" s="417"/>
      <c r="DH264" s="409"/>
      <c r="DI264" s="409"/>
      <c r="DJ264" s="409"/>
      <c r="DK264" s="409"/>
      <c r="DL264" s="409"/>
      <c r="DM264" s="409"/>
      <c r="DN264" s="409"/>
      <c r="DO264" s="409"/>
      <c r="DP264" s="409"/>
      <c r="DQ264" s="409"/>
      <c r="DR264" s="409"/>
      <c r="DS264" s="409"/>
      <c r="DT264" s="409"/>
      <c r="DU264" s="417"/>
      <c r="DV264" s="409"/>
      <c r="DW264" s="409"/>
      <c r="DX264" s="409"/>
      <c r="DY264" s="260"/>
      <c r="DZ264" s="260"/>
      <c r="EA264" s="260"/>
      <c r="EB264" s="260"/>
      <c r="EC264" s="260"/>
      <c r="ED264" s="260"/>
      <c r="EE264" s="260"/>
      <c r="EF264" s="260"/>
      <c r="EG264" s="260"/>
      <c r="EH264" s="260"/>
      <c r="EI264" s="260"/>
      <c r="EJ264" s="260"/>
    </row>
    <row r="265" spans="1:159" s="262" customFormat="1" ht="24.75" customHeight="1" x14ac:dyDescent="0.2">
      <c r="A265" s="283"/>
      <c r="D265" s="283"/>
      <c r="E265" s="463"/>
      <c r="F265" s="283"/>
      <c r="G265" s="397"/>
      <c r="H265" s="283"/>
      <c r="I265" s="46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Z265" s="998"/>
      <c r="AS265" s="998"/>
      <c r="BK265" s="280"/>
      <c r="BL265" s="388">
        <f>SUM(AS263+BL263)</f>
        <v>11286000</v>
      </c>
      <c r="BM265" s="388"/>
      <c r="BN265" s="388"/>
      <c r="BO265" s="1357">
        <f t="shared" ref="BO265" si="926">SUM(AV263+BO263)</f>
        <v>0</v>
      </c>
      <c r="BP265" s="388">
        <f t="shared" ref="BP265" si="927">SUM(AW263+BP263)</f>
        <v>0</v>
      </c>
      <c r="BQ265" s="388">
        <f t="shared" ref="BQ265" si="928">SUM(AX263+BQ263)</f>
        <v>0</v>
      </c>
      <c r="BR265" s="388">
        <f t="shared" ref="BR265" si="929">SUM(AY263+BR263)</f>
        <v>0</v>
      </c>
      <c r="BS265" s="388">
        <f t="shared" ref="BS265" si="930">SUM(AZ263+BS263)</f>
        <v>0</v>
      </c>
      <c r="BT265" s="388">
        <f t="shared" ref="BT265" si="931">SUM(BA263+BT263)</f>
        <v>0</v>
      </c>
      <c r="BU265" s="388">
        <f t="shared" ref="BU265" si="932">SUM(BB263+BU263)</f>
        <v>0</v>
      </c>
      <c r="BV265" s="388">
        <f t="shared" ref="BV265" si="933">SUM(BC263+BV263)</f>
        <v>0</v>
      </c>
      <c r="BW265" s="388">
        <f t="shared" ref="BW265" si="934">SUM(BD263+BW263)</f>
        <v>0</v>
      </c>
      <c r="BX265" s="388">
        <f>BK263</f>
        <v>32318200</v>
      </c>
      <c r="BY265" s="388">
        <f>SUM(BY263-BY264)</f>
        <v>-4268743</v>
      </c>
      <c r="BZ265" s="286">
        <f>SUM(BZ263-BZ264)</f>
        <v>4268743</v>
      </c>
      <c r="CA265" s="287">
        <f>SUM(CA263-CA264)</f>
        <v>3597107</v>
      </c>
      <c r="CB265" s="280" t="s">
        <v>37</v>
      </c>
      <c r="CC265" s="1011"/>
      <c r="CD265" s="1012"/>
      <c r="CE265" s="260"/>
      <c r="CF265" s="409"/>
      <c r="CG265" s="417"/>
      <c r="CH265" s="409"/>
      <c r="CI265" s="409"/>
      <c r="CJ265" s="409"/>
      <c r="CK265" s="417"/>
      <c r="CL265" s="409"/>
      <c r="CM265" s="409"/>
      <c r="CN265" s="409"/>
      <c r="CO265" s="417"/>
      <c r="CP265" s="409"/>
      <c r="CQ265" s="409"/>
      <c r="CR265" s="409"/>
      <c r="CS265" s="409"/>
      <c r="CT265" s="409"/>
      <c r="CU265" s="409"/>
      <c r="CV265" s="409"/>
      <c r="CW265" s="409"/>
      <c r="CX265" s="409"/>
      <c r="CY265" s="417"/>
      <c r="CZ265" s="409"/>
      <c r="DA265" s="409"/>
      <c r="DB265" s="409"/>
      <c r="DC265" s="417"/>
      <c r="DD265" s="409"/>
      <c r="DE265" s="409"/>
      <c r="DF265" s="409"/>
      <c r="DG265" s="417"/>
      <c r="DH265" s="409"/>
      <c r="DI265" s="409"/>
      <c r="DJ265" s="409"/>
      <c r="DK265" s="409"/>
      <c r="DL265" s="409"/>
      <c r="DM265" s="409"/>
      <c r="DN265" s="409"/>
      <c r="DO265" s="409"/>
      <c r="DP265" s="409"/>
      <c r="DQ265" s="409"/>
      <c r="DR265" s="409"/>
      <c r="DS265" s="409"/>
      <c r="DT265" s="409"/>
      <c r="DU265" s="417"/>
      <c r="DV265" s="409"/>
      <c r="DW265" s="409"/>
      <c r="DX265" s="409"/>
      <c r="DY265" s="260"/>
      <c r="DZ265" s="260"/>
      <c r="EA265" s="260"/>
      <c r="EB265" s="260"/>
      <c r="EC265" s="260"/>
      <c r="ED265" s="260"/>
      <c r="EE265" s="260"/>
      <c r="EF265" s="260"/>
      <c r="EG265" s="260"/>
      <c r="EH265" s="260"/>
      <c r="EI265" s="260"/>
      <c r="EJ265" s="260"/>
    </row>
    <row r="266" spans="1:159" s="269" customFormat="1" x14ac:dyDescent="0.2">
      <c r="A266" s="288"/>
      <c r="B266" s="267"/>
      <c r="D266" s="264"/>
      <c r="E266" s="467"/>
      <c r="F266" s="264"/>
      <c r="G266" s="400"/>
      <c r="H266" s="264"/>
      <c r="I266" s="467"/>
      <c r="J266" s="264"/>
      <c r="K266" s="264"/>
      <c r="L266" s="264"/>
      <c r="M266" s="264"/>
      <c r="N266" s="264"/>
      <c r="O266" s="264"/>
      <c r="P266" s="264"/>
      <c r="Q266" s="264"/>
      <c r="R266" s="264"/>
      <c r="S266" s="264"/>
      <c r="T266" s="264"/>
      <c r="U266" s="264"/>
      <c r="V266" s="264"/>
      <c r="W266" s="283"/>
      <c r="X266" s="288"/>
      <c r="Z266" s="1002"/>
      <c r="AB266" s="1326">
        <f>Y256*12.5%</f>
        <v>1469150</v>
      </c>
      <c r="AS266" s="1002"/>
      <c r="BK266" s="256"/>
      <c r="BM266" s="1326"/>
      <c r="BO266" s="1002"/>
      <c r="BX266" s="1280">
        <f>SUM(BX264-BX265)</f>
        <v>4813275</v>
      </c>
      <c r="BY266" s="256"/>
      <c r="BZ266" s="258"/>
      <c r="CA266" s="258"/>
      <c r="CB266" s="256"/>
      <c r="CC266" s="1013"/>
      <c r="CD266" s="1012"/>
      <c r="CE266" s="268"/>
      <c r="CF266" s="411"/>
      <c r="CG266" s="419"/>
      <c r="CH266" s="411"/>
      <c r="CI266" s="411"/>
      <c r="CJ266" s="411"/>
      <c r="CK266" s="419"/>
      <c r="CL266" s="411"/>
      <c r="CM266" s="411"/>
      <c r="CN266" s="411"/>
      <c r="CO266" s="419"/>
      <c r="CP266" s="411"/>
      <c r="CQ266" s="411"/>
      <c r="CR266" s="411"/>
      <c r="CS266" s="411"/>
      <c r="CT266" s="411"/>
      <c r="CU266" s="411"/>
      <c r="CV266" s="411"/>
      <c r="CW266" s="411"/>
      <c r="CX266" s="411"/>
      <c r="CY266" s="419"/>
      <c r="CZ266" s="411"/>
      <c r="DA266" s="411"/>
      <c r="DB266" s="411"/>
      <c r="DC266" s="419"/>
      <c r="DD266" s="411"/>
      <c r="DE266" s="411"/>
      <c r="DF266" s="411"/>
      <c r="DG266" s="419"/>
      <c r="DH266" s="411"/>
      <c r="DI266" s="411"/>
      <c r="DJ266" s="411"/>
      <c r="DK266" s="411"/>
      <c r="DL266" s="411"/>
      <c r="DM266" s="411"/>
      <c r="DN266" s="411"/>
      <c r="DO266" s="411"/>
      <c r="DP266" s="411"/>
      <c r="DQ266" s="411"/>
      <c r="DR266" s="411"/>
      <c r="DS266" s="411"/>
      <c r="DT266" s="411"/>
      <c r="DU266" s="419"/>
      <c r="DV266" s="411"/>
      <c r="DW266" s="411"/>
      <c r="DX266" s="415"/>
      <c r="DY266" s="268"/>
      <c r="DZ266" s="268"/>
      <c r="EA266" s="268"/>
      <c r="EB266" s="268"/>
      <c r="EC266" s="268"/>
      <c r="ED266" s="268"/>
      <c r="EE266" s="268"/>
      <c r="EF266" s="268"/>
      <c r="EG266" s="268"/>
      <c r="EH266" s="268"/>
      <c r="EI266" s="268"/>
      <c r="EJ266" s="268"/>
    </row>
    <row r="267" spans="1:159" s="269" customFormat="1" x14ac:dyDescent="0.2">
      <c r="A267" s="288"/>
      <c r="B267" s="267"/>
      <c r="D267" s="264"/>
      <c r="E267" s="467"/>
      <c r="F267" s="264"/>
      <c r="G267" s="400"/>
      <c r="H267" s="264"/>
      <c r="I267" s="467"/>
      <c r="J267" s="264"/>
      <c r="K267" s="264"/>
      <c r="L267" s="264"/>
      <c r="M267" s="264"/>
      <c r="N267" s="264"/>
      <c r="O267" s="264"/>
      <c r="P267" s="264"/>
      <c r="Q267" s="264"/>
      <c r="R267" s="264"/>
      <c r="S267" s="264"/>
      <c r="T267" s="264"/>
      <c r="U267" s="264"/>
      <c r="V267" s="264"/>
      <c r="W267" s="283"/>
      <c r="X267" s="288"/>
      <c r="Z267" s="1002"/>
      <c r="AB267" s="1326">
        <f>Y256-AB266</f>
        <v>10284050</v>
      </c>
      <c r="AC267" s="1451">
        <v>10200000</v>
      </c>
      <c r="AS267" s="1002"/>
      <c r="BK267" s="256"/>
      <c r="BO267" s="1002"/>
      <c r="BX267" s="1280">
        <f>SUM(BX260:BX262)</f>
        <v>1958125</v>
      </c>
      <c r="BY267" s="256"/>
      <c r="BZ267" s="258"/>
      <c r="CA267" s="258"/>
      <c r="CB267" s="256"/>
      <c r="CC267" s="1013"/>
      <c r="CD267" s="1012"/>
      <c r="CE267" s="268"/>
      <c r="CF267" s="411"/>
      <c r="CG267" s="419"/>
      <c r="CH267" s="411"/>
      <c r="CI267" s="411"/>
      <c r="CJ267" s="411"/>
      <c r="CK267" s="419"/>
      <c r="CL267" s="411"/>
      <c r="CM267" s="411"/>
      <c r="CN267" s="411"/>
      <c r="CO267" s="419"/>
      <c r="CP267" s="411"/>
      <c r="CQ267" s="411"/>
      <c r="CR267" s="411"/>
      <c r="CS267" s="411"/>
      <c r="CT267" s="411"/>
      <c r="CU267" s="411"/>
      <c r="CV267" s="411"/>
      <c r="CW267" s="411"/>
      <c r="CX267" s="411"/>
      <c r="CY267" s="419"/>
      <c r="CZ267" s="411"/>
      <c r="DA267" s="411"/>
      <c r="DB267" s="411"/>
      <c r="DC267" s="419"/>
      <c r="DD267" s="411"/>
      <c r="DE267" s="411"/>
      <c r="DF267" s="411"/>
      <c r="DG267" s="419"/>
      <c r="DH267" s="411"/>
      <c r="DI267" s="411"/>
      <c r="DJ267" s="411"/>
      <c r="DK267" s="411"/>
      <c r="DL267" s="411"/>
      <c r="DM267" s="411"/>
      <c r="DN267" s="411"/>
      <c r="DO267" s="411"/>
      <c r="DP267" s="411"/>
      <c r="DQ267" s="411"/>
      <c r="DR267" s="411"/>
      <c r="DS267" s="411"/>
      <c r="DT267" s="411"/>
      <c r="DU267" s="419"/>
      <c r="DV267" s="411"/>
      <c r="DW267" s="411"/>
      <c r="DX267" s="415"/>
      <c r="DY267" s="268"/>
      <c r="DZ267" s="268"/>
      <c r="EA267" s="268"/>
      <c r="EB267" s="268"/>
      <c r="EC267" s="268"/>
      <c r="ED267" s="268"/>
      <c r="EE267" s="268"/>
      <c r="EF267" s="268"/>
      <c r="EG267" s="268"/>
      <c r="EH267" s="268"/>
      <c r="EI267" s="268"/>
      <c r="EJ267" s="268"/>
    </row>
    <row r="268" spans="1:159" s="262" customFormat="1" ht="24.75" customHeight="1" x14ac:dyDescent="0.2">
      <c r="A268" s="1754" t="s">
        <v>8</v>
      </c>
      <c r="B268" s="1755"/>
      <c r="C268" s="244" t="s">
        <v>625</v>
      </c>
      <c r="D268" s="245"/>
      <c r="E268" s="462"/>
      <c r="F268" s="245"/>
      <c r="G268" s="292"/>
      <c r="H268" s="245"/>
      <c r="I268" s="462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994"/>
      <c r="AA268" s="246"/>
      <c r="AB268" s="431">
        <f>AB266+AB267</f>
        <v>11753200</v>
      </c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5"/>
      <c r="AS268" s="994"/>
      <c r="AT268" s="246"/>
      <c r="AU268" s="246"/>
      <c r="AV268" s="246"/>
      <c r="AW268" s="246"/>
      <c r="AX268" s="246"/>
      <c r="AY268" s="246"/>
      <c r="AZ268" s="246"/>
      <c r="BA268" s="246"/>
      <c r="BB268" s="246"/>
      <c r="BC268" s="246"/>
      <c r="BD268" s="246"/>
      <c r="BE268" s="246"/>
      <c r="BF268" s="246"/>
      <c r="BG268" s="246"/>
      <c r="BH268" s="246"/>
      <c r="BI268" s="246"/>
      <c r="BJ268" s="246"/>
      <c r="BK268" s="247"/>
      <c r="BL268" s="246"/>
      <c r="BM268" s="431">
        <f>BM267-2192200</f>
        <v>-2192200</v>
      </c>
      <c r="BN268" s="246"/>
      <c r="BO268" s="994"/>
      <c r="BP268" s="246"/>
      <c r="BQ268" s="246"/>
      <c r="BR268" s="246"/>
      <c r="BS268" s="246"/>
      <c r="BT268" s="246"/>
      <c r="BU268" s="246"/>
      <c r="BV268" s="246"/>
      <c r="BW268" s="246"/>
      <c r="BX268" s="247"/>
      <c r="BY268" s="247"/>
      <c r="BZ268" s="243"/>
      <c r="CA268" s="248"/>
      <c r="CB268" s="245"/>
      <c r="CC268" s="1008"/>
      <c r="CD268" s="1008"/>
      <c r="CE268" s="246"/>
      <c r="CF268" s="292"/>
      <c r="CG268" s="418"/>
      <c r="CH268" s="292"/>
      <c r="CI268" s="249"/>
      <c r="CJ268" s="292"/>
      <c r="CK268" s="418"/>
      <c r="CL268" s="292"/>
      <c r="CM268" s="249"/>
      <c r="CN268" s="292"/>
      <c r="CO268" s="418"/>
      <c r="CP268" s="292"/>
      <c r="CQ268" s="249"/>
      <c r="CR268" s="249"/>
      <c r="CS268" s="249"/>
      <c r="CT268" s="249"/>
      <c r="CU268" s="249"/>
      <c r="CV268" s="249"/>
      <c r="CW268" s="249"/>
      <c r="CX268" s="249"/>
      <c r="CY268" s="418"/>
      <c r="CZ268" s="292"/>
      <c r="DA268" s="249"/>
      <c r="DB268" s="292"/>
      <c r="DC268" s="418"/>
      <c r="DD268" s="292"/>
      <c r="DE268" s="249"/>
      <c r="DF268" s="292"/>
      <c r="DG268" s="418"/>
      <c r="DH268" s="292"/>
      <c r="DI268" s="249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49"/>
      <c r="DT268" s="292"/>
      <c r="DU268" s="418"/>
      <c r="DV268" s="292"/>
      <c r="DW268" s="249"/>
      <c r="DX268" s="292"/>
      <c r="DY268" s="246"/>
      <c r="DZ268" s="246"/>
      <c r="EA268" s="246"/>
      <c r="EB268" s="246"/>
      <c r="EC268" s="247"/>
      <c r="ED268" s="247"/>
      <c r="EE268" s="247"/>
      <c r="EF268" s="243"/>
      <c r="EG268" s="248"/>
      <c r="EH268" s="247"/>
      <c r="EI268" s="247"/>
      <c r="EJ268" s="260"/>
      <c r="EK268" s="260"/>
      <c r="EL268" s="260"/>
      <c r="EM268" s="260"/>
      <c r="EN268" s="260"/>
      <c r="EO268" s="261"/>
      <c r="EP268" s="260"/>
      <c r="EQ268" s="260"/>
      <c r="ER268" s="260"/>
      <c r="ES268" s="260"/>
      <c r="ET268" s="260"/>
      <c r="EU268" s="260"/>
      <c r="EV268" s="260"/>
      <c r="EW268" s="260"/>
      <c r="EX268" s="260"/>
      <c r="EY268" s="260"/>
      <c r="EZ268" s="260"/>
      <c r="FA268" s="260"/>
    </row>
    <row r="269" spans="1:159" s="264" customFormat="1" ht="48.75" customHeight="1" x14ac:dyDescent="0.2">
      <c r="A269" s="1756" t="s">
        <v>10</v>
      </c>
      <c r="B269" s="1759" t="s">
        <v>11</v>
      </c>
      <c r="C269" s="1759" t="s">
        <v>22</v>
      </c>
      <c r="D269" s="1775" t="s">
        <v>12</v>
      </c>
      <c r="E269" s="1776"/>
      <c r="F269" s="1776"/>
      <c r="G269" s="1776"/>
      <c r="H269" s="1776"/>
      <c r="I269" s="1776"/>
      <c r="J269" s="1776"/>
      <c r="K269" s="1776"/>
      <c r="L269" s="1776"/>
      <c r="M269" s="1776"/>
      <c r="N269" s="1776"/>
      <c r="O269" s="1776"/>
      <c r="P269" s="1776"/>
      <c r="Q269" s="1776"/>
      <c r="R269" s="1776"/>
      <c r="S269" s="1776"/>
      <c r="T269" s="1776"/>
      <c r="U269" s="1776"/>
      <c r="V269" s="1776"/>
      <c r="W269" s="1777"/>
      <c r="X269" s="1759" t="s">
        <v>20</v>
      </c>
      <c r="Y269" s="1763" t="s">
        <v>17</v>
      </c>
      <c r="Z269" s="1764"/>
      <c r="AA269" s="1764"/>
      <c r="AB269" s="1764"/>
      <c r="AC269" s="1764"/>
      <c r="AD269" s="1764"/>
      <c r="AE269" s="1764"/>
      <c r="AF269" s="1764"/>
      <c r="AG269" s="1764"/>
      <c r="AH269" s="1764"/>
      <c r="AI269" s="1764"/>
      <c r="AJ269" s="1764"/>
      <c r="AK269" s="1765"/>
      <c r="AL269" s="1178"/>
      <c r="AM269" s="1178"/>
      <c r="AN269" s="1178"/>
      <c r="AO269" s="1178"/>
      <c r="AP269" s="1178"/>
      <c r="AQ269" s="1178"/>
      <c r="AR269" s="1778" t="s">
        <v>6</v>
      </c>
      <c r="AS269" s="1779"/>
      <c r="AT269" s="1779"/>
      <c r="AU269" s="1779"/>
      <c r="AV269" s="1779"/>
      <c r="AW269" s="1779"/>
      <c r="AX269" s="1779"/>
      <c r="AY269" s="1779"/>
      <c r="AZ269" s="1779"/>
      <c r="BA269" s="1779"/>
      <c r="BB269" s="1779"/>
      <c r="BC269" s="1779"/>
      <c r="BD269" s="1779"/>
      <c r="BE269" s="1779"/>
      <c r="BF269" s="1779"/>
      <c r="BG269" s="1779"/>
      <c r="BH269" s="1779"/>
      <c r="BI269" s="1779"/>
      <c r="BJ269" s="1779"/>
      <c r="BK269" s="1780"/>
      <c r="BL269" s="1767" t="s">
        <v>41</v>
      </c>
      <c r="BM269" s="1768"/>
      <c r="BN269" s="1768"/>
      <c r="BO269" s="1768"/>
      <c r="BP269" s="1768"/>
      <c r="BQ269" s="1768"/>
      <c r="BR269" s="1768"/>
      <c r="BS269" s="1768"/>
      <c r="BT269" s="1768"/>
      <c r="BU269" s="1768"/>
      <c r="BV269" s="1768"/>
      <c r="BW269" s="1768"/>
      <c r="BX269" s="1769"/>
      <c r="BY269" s="1759" t="s">
        <v>38</v>
      </c>
      <c r="BZ269" s="1759" t="s">
        <v>256</v>
      </c>
      <c r="CA269" s="1746" t="s">
        <v>39</v>
      </c>
      <c r="CB269" s="243"/>
      <c r="CC269" s="135"/>
      <c r="CD269" s="135"/>
      <c r="CE269" s="135"/>
      <c r="CF269" s="135"/>
      <c r="CG269" s="1733" t="s">
        <v>41</v>
      </c>
      <c r="CH269" s="1734"/>
      <c r="CI269" s="1734"/>
      <c r="CJ269" s="1734"/>
      <c r="CK269" s="1734"/>
      <c r="CL269" s="1734"/>
      <c r="CM269" s="1734"/>
      <c r="CN269" s="1734"/>
      <c r="CO269" s="1734"/>
      <c r="CP269" s="1734"/>
      <c r="CQ269" s="1734"/>
      <c r="CR269" s="1734"/>
      <c r="CS269" s="1734"/>
      <c r="CT269" s="1734"/>
      <c r="CU269" s="1734"/>
      <c r="CV269" s="1734"/>
      <c r="CW269" s="1734"/>
      <c r="CX269" s="1734"/>
      <c r="CY269" s="1734"/>
      <c r="CZ269" s="1734"/>
      <c r="DA269" s="1734"/>
      <c r="DB269" s="1734"/>
      <c r="DC269" s="1734"/>
      <c r="DD269" s="1734"/>
      <c r="DE269" s="1734"/>
      <c r="DF269" s="1734"/>
      <c r="DG269" s="1734"/>
      <c r="DH269" s="1734"/>
      <c r="DI269" s="1734"/>
      <c r="DJ269" s="1734"/>
      <c r="DK269" s="1734"/>
      <c r="DL269" s="1734"/>
      <c r="DM269" s="1734"/>
      <c r="DN269" s="1734"/>
      <c r="DO269" s="1734"/>
      <c r="DP269" s="1734"/>
      <c r="DQ269" s="1734"/>
      <c r="DR269" s="1735"/>
      <c r="DS269" s="292"/>
      <c r="DT269" s="292"/>
      <c r="DU269" s="418"/>
      <c r="DV269" s="292"/>
      <c r="DW269" s="292"/>
      <c r="DX269" s="292"/>
      <c r="DY269" s="245"/>
      <c r="DZ269" s="245"/>
      <c r="EA269" s="245"/>
      <c r="EB269" s="245"/>
      <c r="EC269" s="245"/>
      <c r="ED269" s="245"/>
      <c r="EE269" s="245"/>
      <c r="EF269" s="245"/>
      <c r="EG269" s="245"/>
      <c r="EH269" s="263"/>
      <c r="EI269" s="263"/>
    </row>
    <row r="270" spans="1:159" s="264" customFormat="1" ht="48.75" customHeight="1" x14ac:dyDescent="0.2">
      <c r="A270" s="1757"/>
      <c r="B270" s="1760"/>
      <c r="C270" s="1760"/>
      <c r="D270" s="1749" t="s">
        <v>18</v>
      </c>
      <c r="E270" s="1751" t="s">
        <v>19</v>
      </c>
      <c r="F270" s="1752"/>
      <c r="G270" s="1752"/>
      <c r="H270" s="1752"/>
      <c r="I270" s="1752"/>
      <c r="J270" s="1752"/>
      <c r="K270" s="1752"/>
      <c r="L270" s="1752"/>
      <c r="M270" s="1752"/>
      <c r="N270" s="1752"/>
      <c r="O270" s="1752"/>
      <c r="P270" s="1752"/>
      <c r="Q270" s="1752"/>
      <c r="R270" s="1752"/>
      <c r="S270" s="1752"/>
      <c r="T270" s="1752"/>
      <c r="U270" s="1752"/>
      <c r="V270" s="1752"/>
      <c r="W270" s="1753"/>
      <c r="X270" s="1760"/>
      <c r="Y270" s="1749" t="s">
        <v>18</v>
      </c>
      <c r="Z270" s="1751" t="s">
        <v>19</v>
      </c>
      <c r="AA270" s="1752"/>
      <c r="AB270" s="1752"/>
      <c r="AC270" s="1752"/>
      <c r="AD270" s="1752"/>
      <c r="AE270" s="1752"/>
      <c r="AF270" s="1752"/>
      <c r="AG270" s="1752"/>
      <c r="AH270" s="1752"/>
      <c r="AI270" s="1752"/>
      <c r="AJ270" s="1752"/>
      <c r="AK270" s="1753"/>
      <c r="AL270" s="1183"/>
      <c r="AM270" s="1183"/>
      <c r="AN270" s="1183"/>
      <c r="AO270" s="1183"/>
      <c r="AP270" s="1183"/>
      <c r="AQ270" s="1183"/>
      <c r="AR270" s="1749" t="s">
        <v>18</v>
      </c>
      <c r="AS270" s="1751" t="s">
        <v>19</v>
      </c>
      <c r="AT270" s="1752"/>
      <c r="AU270" s="1752"/>
      <c r="AV270" s="1752"/>
      <c r="AW270" s="1752"/>
      <c r="AX270" s="1752"/>
      <c r="AY270" s="1752"/>
      <c r="AZ270" s="1752"/>
      <c r="BA270" s="1752"/>
      <c r="BB270" s="1752"/>
      <c r="BC270" s="1752"/>
      <c r="BD270" s="1752"/>
      <c r="BE270" s="1752"/>
      <c r="BF270" s="1752"/>
      <c r="BG270" s="1752"/>
      <c r="BH270" s="1752"/>
      <c r="BI270" s="1752"/>
      <c r="BJ270" s="1752"/>
      <c r="BK270" s="1753"/>
      <c r="BL270" s="1781"/>
      <c r="BM270" s="1782"/>
      <c r="BN270" s="1782"/>
      <c r="BO270" s="1782"/>
      <c r="BP270" s="1782"/>
      <c r="BQ270" s="1782"/>
      <c r="BR270" s="1782"/>
      <c r="BS270" s="1782"/>
      <c r="BT270" s="1782"/>
      <c r="BU270" s="1782"/>
      <c r="BV270" s="1782"/>
      <c r="BW270" s="1782"/>
      <c r="BX270" s="1783"/>
      <c r="BY270" s="1760"/>
      <c r="BZ270" s="1760"/>
      <c r="CA270" s="1747"/>
      <c r="CB270" s="243"/>
      <c r="CC270" s="1736">
        <f>SUM(CC272/60)</f>
        <v>0</v>
      </c>
      <c r="CD270" s="1736"/>
      <c r="CE270" s="1736"/>
      <c r="CF270" s="23"/>
      <c r="CG270" s="1737" t="s">
        <v>686</v>
      </c>
      <c r="CH270" s="1738"/>
      <c r="CI270" s="1738"/>
      <c r="CJ270" s="1738"/>
      <c r="CK270" s="1738"/>
      <c r="CL270" s="1738"/>
      <c r="CM270" s="1738"/>
      <c r="CN270" s="1738"/>
      <c r="CO270" s="1738"/>
      <c r="CP270" s="1738"/>
      <c r="CQ270" s="1738"/>
      <c r="CR270" s="1738"/>
      <c r="CS270" s="1738"/>
      <c r="CT270" s="1738"/>
      <c r="CU270" s="1738"/>
      <c r="CV270" s="1738"/>
      <c r="CW270" s="1738"/>
      <c r="CX270" s="1738"/>
      <c r="CY270" s="1739"/>
      <c r="CZ270" s="1740" t="s">
        <v>687</v>
      </c>
      <c r="DA270" s="1741"/>
      <c r="DB270" s="1741"/>
      <c r="DC270" s="1741"/>
      <c r="DD270" s="1741"/>
      <c r="DE270" s="1741"/>
      <c r="DF270" s="1741"/>
      <c r="DG270" s="1741"/>
      <c r="DH270" s="1741"/>
      <c r="DI270" s="1741"/>
      <c r="DJ270" s="1741"/>
      <c r="DK270" s="1741"/>
      <c r="DL270" s="1741"/>
      <c r="DM270" s="1741"/>
      <c r="DN270" s="1741"/>
      <c r="DO270" s="1741"/>
      <c r="DP270" s="1741"/>
      <c r="DQ270" s="1741"/>
      <c r="DR270" s="1742"/>
      <c r="DS270" s="292"/>
      <c r="DT270" s="292"/>
      <c r="DU270" s="418"/>
      <c r="DV270" s="292"/>
      <c r="DW270" s="292"/>
      <c r="DX270" s="292"/>
      <c r="DY270" s="245"/>
      <c r="DZ270" s="245"/>
      <c r="EA270" s="245"/>
      <c r="EB270" s="245"/>
      <c r="EC270" s="245"/>
      <c r="ED270" s="245"/>
      <c r="EE270" s="245"/>
      <c r="EF270" s="245"/>
      <c r="EG270" s="245"/>
      <c r="EH270" s="263"/>
      <c r="EI270" s="263"/>
    </row>
    <row r="271" spans="1:159" s="267" customFormat="1" ht="28.5" customHeight="1" x14ac:dyDescent="0.2">
      <c r="A271" s="1758"/>
      <c r="B271" s="1774"/>
      <c r="C271" s="1761"/>
      <c r="D271" s="1773"/>
      <c r="E271" s="265">
        <v>1</v>
      </c>
      <c r="F271" s="265">
        <v>2</v>
      </c>
      <c r="G271" s="265">
        <v>3</v>
      </c>
      <c r="H271" s="265">
        <v>4</v>
      </c>
      <c r="I271" s="265">
        <v>5</v>
      </c>
      <c r="J271" s="265">
        <v>6</v>
      </c>
      <c r="K271" s="265">
        <v>7</v>
      </c>
      <c r="L271" s="265">
        <v>8</v>
      </c>
      <c r="M271" s="265">
        <v>9</v>
      </c>
      <c r="N271" s="265">
        <v>10</v>
      </c>
      <c r="O271" s="265">
        <v>11</v>
      </c>
      <c r="P271" s="265">
        <v>12</v>
      </c>
      <c r="Q271" s="265"/>
      <c r="R271" s="265"/>
      <c r="S271" s="265"/>
      <c r="T271" s="265"/>
      <c r="U271" s="265"/>
      <c r="V271" s="265"/>
      <c r="W271" s="265" t="s">
        <v>21</v>
      </c>
      <c r="X271" s="1761"/>
      <c r="Y271" s="1750"/>
      <c r="Z271" s="265">
        <v>1</v>
      </c>
      <c r="AA271" s="265">
        <v>2</v>
      </c>
      <c r="AB271" s="265">
        <v>3</v>
      </c>
      <c r="AC271" s="265">
        <v>4</v>
      </c>
      <c r="AD271" s="265">
        <v>5</v>
      </c>
      <c r="AE271" s="265">
        <v>6</v>
      </c>
      <c r="AF271" s="265">
        <v>7</v>
      </c>
      <c r="AG271" s="265">
        <v>8</v>
      </c>
      <c r="AH271" s="265">
        <v>9</v>
      </c>
      <c r="AI271" s="265">
        <v>10</v>
      </c>
      <c r="AJ271" s="265">
        <v>11</v>
      </c>
      <c r="AK271" s="265">
        <v>12</v>
      </c>
      <c r="AL271" s="266"/>
      <c r="AM271" s="266"/>
      <c r="AN271" s="266"/>
      <c r="AO271" s="266"/>
      <c r="AP271" s="266"/>
      <c r="AQ271" s="266"/>
      <c r="AR271" s="1750"/>
      <c r="AS271" s="428">
        <v>1</v>
      </c>
      <c r="AT271" s="265">
        <v>2</v>
      </c>
      <c r="AU271" s="265">
        <v>3</v>
      </c>
      <c r="AV271" s="265">
        <v>4</v>
      </c>
      <c r="AW271" s="265">
        <v>5</v>
      </c>
      <c r="AX271" s="265">
        <v>6</v>
      </c>
      <c r="AY271" s="265">
        <v>7</v>
      </c>
      <c r="AZ271" s="265">
        <v>8</v>
      </c>
      <c r="BA271" s="265">
        <v>9</v>
      </c>
      <c r="BB271" s="265">
        <v>10</v>
      </c>
      <c r="BC271" s="265">
        <v>11</v>
      </c>
      <c r="BD271" s="265">
        <v>12</v>
      </c>
      <c r="BE271" s="265"/>
      <c r="BF271" s="265"/>
      <c r="BG271" s="265"/>
      <c r="BH271" s="265"/>
      <c r="BI271" s="265"/>
      <c r="BJ271" s="265"/>
      <c r="BK271" s="265" t="s">
        <v>13</v>
      </c>
      <c r="BL271" s="266">
        <v>1</v>
      </c>
      <c r="BM271" s="266">
        <v>2</v>
      </c>
      <c r="BN271" s="266">
        <v>3</v>
      </c>
      <c r="BO271" s="1499">
        <v>4</v>
      </c>
      <c r="BP271" s="266">
        <v>5</v>
      </c>
      <c r="BQ271" s="266">
        <v>6</v>
      </c>
      <c r="BR271" s="266">
        <v>7</v>
      </c>
      <c r="BS271" s="266">
        <v>8</v>
      </c>
      <c r="BT271" s="266">
        <v>9</v>
      </c>
      <c r="BU271" s="266">
        <v>10</v>
      </c>
      <c r="BV271" s="266">
        <v>11</v>
      </c>
      <c r="BW271" s="266">
        <v>12</v>
      </c>
      <c r="BX271" s="265" t="s">
        <v>13</v>
      </c>
      <c r="BY271" s="1761"/>
      <c r="BZ271" s="1761"/>
      <c r="CA271" s="1748"/>
      <c r="CC271" s="1743" t="s">
        <v>19</v>
      </c>
      <c r="CD271" s="1744"/>
      <c r="CE271" s="1745"/>
      <c r="CF271" s="621"/>
      <c r="CG271" s="173">
        <v>1</v>
      </c>
      <c r="CH271" s="173">
        <v>2</v>
      </c>
      <c r="CI271" s="173">
        <v>3</v>
      </c>
      <c r="CJ271" s="173">
        <v>4</v>
      </c>
      <c r="CK271" s="173">
        <v>5</v>
      </c>
      <c r="CL271" s="173">
        <v>6</v>
      </c>
      <c r="CM271" s="173">
        <v>7</v>
      </c>
      <c r="CN271" s="173">
        <v>8</v>
      </c>
      <c r="CO271" s="173">
        <v>9</v>
      </c>
      <c r="CP271" s="173">
        <v>10</v>
      </c>
      <c r="CQ271" s="173">
        <v>11</v>
      </c>
      <c r="CR271" s="173"/>
      <c r="CS271" s="173"/>
      <c r="CT271" s="173"/>
      <c r="CU271" s="173"/>
      <c r="CV271" s="173"/>
      <c r="CW271" s="173"/>
      <c r="CX271" s="173"/>
      <c r="CY271" s="26" t="s">
        <v>13</v>
      </c>
      <c r="CZ271" s="173">
        <v>1</v>
      </c>
      <c r="DA271" s="173">
        <v>2</v>
      </c>
      <c r="DB271" s="173">
        <v>3</v>
      </c>
      <c r="DC271" s="173">
        <v>4</v>
      </c>
      <c r="DD271" s="173">
        <v>5</v>
      </c>
      <c r="DE271" s="173">
        <v>6</v>
      </c>
      <c r="DF271" s="173">
        <v>7</v>
      </c>
      <c r="DG271" s="173">
        <v>8</v>
      </c>
      <c r="DH271" s="173">
        <v>9</v>
      </c>
      <c r="DI271" s="173">
        <v>10</v>
      </c>
      <c r="DJ271" s="173">
        <v>11</v>
      </c>
      <c r="DK271" s="173"/>
      <c r="DL271" s="173"/>
      <c r="DM271" s="173"/>
      <c r="DN271" s="173"/>
      <c r="DO271" s="173"/>
      <c r="DP271" s="173"/>
      <c r="DQ271" s="173"/>
      <c r="DR271" s="26" t="s">
        <v>13</v>
      </c>
      <c r="DS271" s="413"/>
      <c r="DT271" s="413"/>
      <c r="DU271" s="422"/>
      <c r="DV271" s="413"/>
      <c r="DW271" s="413"/>
      <c r="DX271" s="413"/>
      <c r="DY271" s="395"/>
      <c r="DZ271" s="395"/>
      <c r="EA271" s="395"/>
      <c r="EB271" s="395"/>
      <c r="EC271" s="395"/>
      <c r="ED271" s="395"/>
      <c r="EE271" s="395"/>
      <c r="EF271" s="395"/>
      <c r="EG271" s="395"/>
      <c r="EH271" s="395"/>
      <c r="EI271" s="395"/>
    </row>
    <row r="272" spans="1:159" s="278" customFormat="1" ht="24.75" customHeight="1" thickBot="1" x14ac:dyDescent="0.25">
      <c r="A272" s="786"/>
      <c r="B272" s="745" t="s">
        <v>731</v>
      </c>
      <c r="C272" s="826" t="s">
        <v>290</v>
      </c>
      <c r="D272" s="624">
        <v>1</v>
      </c>
      <c r="E272" s="1498">
        <v>1</v>
      </c>
      <c r="F272" s="342"/>
      <c r="G272" s="270"/>
      <c r="H272" s="342"/>
      <c r="I272" s="576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3">
        <f>SUM(E272:P272)</f>
        <v>1</v>
      </c>
      <c r="X272" s="827" t="s">
        <v>50</v>
      </c>
      <c r="Y272" s="828">
        <v>1802000</v>
      </c>
      <c r="Z272" s="1507">
        <v>1275500</v>
      </c>
      <c r="AA272" s="789"/>
      <c r="AB272" s="789"/>
      <c r="AC272" s="789"/>
      <c r="AD272" s="789"/>
      <c r="AE272" s="569"/>
      <c r="AF272" s="789"/>
      <c r="AG272" s="789"/>
      <c r="AH272" s="789"/>
      <c r="AI272" s="789"/>
      <c r="AJ272" s="789"/>
      <c r="AK272" s="789"/>
      <c r="AL272" s="789"/>
      <c r="AM272" s="789"/>
      <c r="AN272" s="789"/>
      <c r="AO272" s="789"/>
      <c r="AP272" s="789"/>
      <c r="AQ272" s="789"/>
      <c r="AR272" s="570">
        <f>SUM(W272*Y272)</f>
        <v>1802000</v>
      </c>
      <c r="AS272" s="1298">
        <f t="shared" ref="AS272:BD272" si="935">Z272*E272</f>
        <v>1275500</v>
      </c>
      <c r="AT272" s="272">
        <f t="shared" si="935"/>
        <v>0</v>
      </c>
      <c r="AU272" s="272">
        <f t="shared" si="935"/>
        <v>0</v>
      </c>
      <c r="AV272" s="272">
        <f t="shared" si="935"/>
        <v>0</v>
      </c>
      <c r="AW272" s="402">
        <f t="shared" si="935"/>
        <v>0</v>
      </c>
      <c r="AX272" s="272">
        <f t="shared" si="935"/>
        <v>0</v>
      </c>
      <c r="AY272" s="272">
        <f t="shared" si="935"/>
        <v>0</v>
      </c>
      <c r="AZ272" s="272">
        <f t="shared" si="935"/>
        <v>0</v>
      </c>
      <c r="BA272" s="272">
        <f t="shared" si="935"/>
        <v>0</v>
      </c>
      <c r="BB272" s="272">
        <f t="shared" si="935"/>
        <v>0</v>
      </c>
      <c r="BC272" s="272">
        <f t="shared" si="935"/>
        <v>0</v>
      </c>
      <c r="BD272" s="272">
        <f t="shared" si="935"/>
        <v>0</v>
      </c>
      <c r="BE272" s="272"/>
      <c r="BF272" s="272"/>
      <c r="BG272" s="272"/>
      <c r="BH272" s="272"/>
      <c r="BI272" s="272"/>
      <c r="BJ272" s="272"/>
      <c r="BK272" s="273">
        <f>SUM(AS272:BD272)</f>
        <v>1275500</v>
      </c>
      <c r="BL272" s="272"/>
      <c r="BM272" s="272">
        <f t="shared" ref="BM272" si="936">SUM(AT272*14%)</f>
        <v>0</v>
      </c>
      <c r="BN272" s="272">
        <f t="shared" ref="BN272" si="937">SUM(AU272*14%)</f>
        <v>0</v>
      </c>
      <c r="BO272" s="402">
        <f t="shared" ref="BO272" si="938">SUM(AV272*14%)</f>
        <v>0</v>
      </c>
      <c r="BP272" s="272">
        <f t="shared" ref="BP272" si="939">SUM(AW272*14%)</f>
        <v>0</v>
      </c>
      <c r="BQ272" s="272">
        <f t="shared" ref="BQ272" si="940">SUM(AX272*14%)</f>
        <v>0</v>
      </c>
      <c r="BR272" s="272">
        <f t="shared" ref="BR272" si="941">SUM(AY272*14%)</f>
        <v>0</v>
      </c>
      <c r="BS272" s="272">
        <f t="shared" ref="BS272" si="942">SUM(AZ272*14%)</f>
        <v>0</v>
      </c>
      <c r="BT272" s="272">
        <f t="shared" ref="BT272" si="943">SUM(BA272*14%)</f>
        <v>0</v>
      </c>
      <c r="BU272" s="272">
        <f t="shared" ref="BU272" si="944">SUM(BB272*14%)</f>
        <v>0</v>
      </c>
      <c r="BV272" s="272">
        <f t="shared" ref="BV272" si="945">SUM(BC272*14%)</f>
        <v>0</v>
      </c>
      <c r="BW272" s="272">
        <f t="shared" ref="BW272" si="946">SUM(BD272*14%)</f>
        <v>0</v>
      </c>
      <c r="BX272" s="299">
        <f>SUM(BL272:BW272)</f>
        <v>0</v>
      </c>
      <c r="BY272" s="790">
        <f>AR272-BK272-BX272</f>
        <v>526500</v>
      </c>
      <c r="BZ272" s="791">
        <f>Y272*D272</f>
        <v>1802000</v>
      </c>
      <c r="CA272" s="792">
        <f>BZ272-BK272-BX272</f>
        <v>526500</v>
      </c>
      <c r="CB272" s="571">
        <f>SUM(W272/D272)</f>
        <v>1</v>
      </c>
      <c r="CC272" s="1081"/>
      <c r="CD272" s="1081"/>
      <c r="CE272" s="1083"/>
      <c r="CF272" s="1084"/>
      <c r="CG272" s="862"/>
      <c r="CH272" s="862"/>
      <c r="CI272" s="862"/>
      <c r="CJ272" s="862"/>
      <c r="CK272" s="862"/>
      <c r="CL272" s="862"/>
      <c r="CM272" s="862"/>
      <c r="CN272" s="862"/>
      <c r="CO272" s="1081">
        <f t="shared" ref="CO272:CO273" si="947">SUM(AZ272*12.5%)</f>
        <v>0</v>
      </c>
      <c r="CP272" s="862"/>
      <c r="CQ272" s="862"/>
      <c r="CR272" s="862"/>
      <c r="CS272" s="862"/>
      <c r="CT272" s="862"/>
      <c r="CU272" s="862"/>
      <c r="CV272" s="862"/>
      <c r="CW272" s="862"/>
      <c r="CX272" s="862"/>
      <c r="CY272" s="73">
        <f>SUM(CG272:CX272)</f>
        <v>0</v>
      </c>
      <c r="CZ272" s="862"/>
      <c r="DA272" s="862"/>
      <c r="DB272" s="862"/>
      <c r="DC272" s="862"/>
      <c r="DD272" s="862"/>
      <c r="DE272" s="862"/>
      <c r="DF272" s="862"/>
      <c r="DG272" s="862"/>
      <c r="DH272" s="1081"/>
      <c r="DI272" s="862"/>
      <c r="DJ272" s="862"/>
      <c r="DK272" s="862"/>
      <c r="DL272" s="862"/>
      <c r="DM272" s="862"/>
      <c r="DN272" s="862"/>
      <c r="DO272" s="862"/>
      <c r="DP272" s="862"/>
      <c r="DQ272" s="862"/>
      <c r="DR272" s="73">
        <f>SUM(CZ272:DQ272)</f>
        <v>0</v>
      </c>
      <c r="DS272" s="412"/>
      <c r="DT272" s="412"/>
      <c r="DU272" s="420"/>
      <c r="DV272" s="412"/>
      <c r="DW272" s="412"/>
      <c r="DX272" s="412"/>
      <c r="DY272" s="277"/>
      <c r="DZ272" s="277"/>
      <c r="EA272" s="277"/>
      <c r="EB272" s="277"/>
      <c r="EC272" s="277"/>
      <c r="ED272" s="277"/>
      <c r="EE272" s="277"/>
      <c r="EF272" s="277"/>
      <c r="EG272" s="277"/>
      <c r="EH272" s="277"/>
      <c r="EI272" s="277"/>
    </row>
    <row r="273" spans="1:140" s="282" customFormat="1" ht="24.75" customHeight="1" thickBot="1" x14ac:dyDescent="0.25">
      <c r="A273" s="577">
        <v>12</v>
      </c>
      <c r="B273" s="308" t="s">
        <v>4</v>
      </c>
      <c r="C273" s="308"/>
      <c r="D273" s="309"/>
      <c r="E273" s="465"/>
      <c r="F273" s="310"/>
      <c r="G273" s="399"/>
      <c r="H273" s="310"/>
      <c r="I273" s="465"/>
      <c r="J273" s="310"/>
      <c r="K273" s="310"/>
      <c r="L273" s="310"/>
      <c r="M273" s="310"/>
      <c r="N273" s="310"/>
      <c r="O273" s="310"/>
      <c r="P273" s="310"/>
      <c r="Q273" s="310"/>
      <c r="R273" s="310"/>
      <c r="S273" s="310"/>
      <c r="T273" s="310"/>
      <c r="U273" s="310"/>
      <c r="V273" s="310"/>
      <c r="W273" s="311"/>
      <c r="X273" s="312"/>
      <c r="Y273" s="313"/>
      <c r="Z273" s="997"/>
      <c r="AA273" s="314"/>
      <c r="AB273" s="314"/>
      <c r="AC273" s="314"/>
      <c r="AD273" s="314"/>
      <c r="AE273" s="989"/>
      <c r="AF273" s="314"/>
      <c r="AG273" s="314"/>
      <c r="AH273" s="314"/>
      <c r="AI273" s="314"/>
      <c r="AJ273" s="314"/>
      <c r="AK273" s="314"/>
      <c r="AL273" s="314"/>
      <c r="AM273" s="314"/>
      <c r="AN273" s="314"/>
      <c r="AO273" s="314"/>
      <c r="AP273" s="314"/>
      <c r="AQ273" s="314"/>
      <c r="AR273" s="315">
        <f t="shared" ref="AR273:BX273" si="948">SUM(AR272:AR272)</f>
        <v>1802000</v>
      </c>
      <c r="AS273" s="430">
        <f t="shared" si="948"/>
        <v>1275500</v>
      </c>
      <c r="AT273" s="315">
        <f t="shared" si="948"/>
        <v>0</v>
      </c>
      <c r="AU273" s="315">
        <f t="shared" si="948"/>
        <v>0</v>
      </c>
      <c r="AV273" s="315">
        <f t="shared" si="948"/>
        <v>0</v>
      </c>
      <c r="AW273" s="430">
        <f t="shared" si="948"/>
        <v>0</v>
      </c>
      <c r="AX273" s="315">
        <f t="shared" si="948"/>
        <v>0</v>
      </c>
      <c r="AY273" s="315">
        <f t="shared" si="948"/>
        <v>0</v>
      </c>
      <c r="AZ273" s="315">
        <f t="shared" si="948"/>
        <v>0</v>
      </c>
      <c r="BA273" s="315">
        <f t="shared" si="948"/>
        <v>0</v>
      </c>
      <c r="BB273" s="315">
        <f t="shared" si="948"/>
        <v>0</v>
      </c>
      <c r="BC273" s="315">
        <f t="shared" si="948"/>
        <v>0</v>
      </c>
      <c r="BD273" s="315">
        <f t="shared" si="948"/>
        <v>0</v>
      </c>
      <c r="BE273" s="315"/>
      <c r="BF273" s="315"/>
      <c r="BG273" s="315"/>
      <c r="BH273" s="315"/>
      <c r="BI273" s="315"/>
      <c r="BJ273" s="315"/>
      <c r="BK273" s="315">
        <f t="shared" si="948"/>
        <v>1275500</v>
      </c>
      <c r="BL273" s="315">
        <f t="shared" si="948"/>
        <v>0</v>
      </c>
      <c r="BM273" s="315">
        <f t="shared" si="948"/>
        <v>0</v>
      </c>
      <c r="BN273" s="315">
        <f t="shared" si="948"/>
        <v>0</v>
      </c>
      <c r="BO273" s="430">
        <f t="shared" si="948"/>
        <v>0</v>
      </c>
      <c r="BP273" s="315">
        <f t="shared" si="948"/>
        <v>0</v>
      </c>
      <c r="BQ273" s="315">
        <f t="shared" si="948"/>
        <v>0</v>
      </c>
      <c r="BR273" s="315">
        <f t="shared" si="948"/>
        <v>0</v>
      </c>
      <c r="BS273" s="315">
        <f t="shared" si="948"/>
        <v>0</v>
      </c>
      <c r="BT273" s="315">
        <f t="shared" si="948"/>
        <v>0</v>
      </c>
      <c r="BU273" s="315">
        <f t="shared" si="948"/>
        <v>0</v>
      </c>
      <c r="BV273" s="315">
        <f t="shared" si="948"/>
        <v>0</v>
      </c>
      <c r="BW273" s="315">
        <f t="shared" si="948"/>
        <v>0</v>
      </c>
      <c r="BX273" s="315">
        <f t="shared" si="948"/>
        <v>0</v>
      </c>
      <c r="BY273" s="316">
        <f>AR273-BK273-BX273</f>
        <v>526500</v>
      </c>
      <c r="BZ273" s="315">
        <f>SUM(BZ272:BZ272)</f>
        <v>1802000</v>
      </c>
      <c r="CA273" s="315">
        <f>SUM(CA272:CA272)</f>
        <v>526500</v>
      </c>
      <c r="CB273" s="279">
        <f>SUM(CB272)</f>
        <v>1</v>
      </c>
      <c r="CC273" s="1081"/>
      <c r="CD273" s="1081"/>
      <c r="CE273" s="1083"/>
      <c r="CF273" s="1084"/>
      <c r="CG273" s="862"/>
      <c r="CH273" s="862"/>
      <c r="CI273" s="862"/>
      <c r="CJ273" s="862"/>
      <c r="CK273" s="862"/>
      <c r="CL273" s="862"/>
      <c r="CM273" s="862"/>
      <c r="CN273" s="862"/>
      <c r="CO273" s="1081">
        <f t="shared" si="947"/>
        <v>0</v>
      </c>
      <c r="CP273" s="862"/>
      <c r="CQ273" s="862"/>
      <c r="CR273" s="862"/>
      <c r="CS273" s="862"/>
      <c r="CT273" s="862"/>
      <c r="CU273" s="862"/>
      <c r="CV273" s="862"/>
      <c r="CW273" s="862"/>
      <c r="CX273" s="862"/>
      <c r="CY273" s="73">
        <f>SUM(CG273:CX273)</f>
        <v>0</v>
      </c>
      <c r="CZ273" s="862"/>
      <c r="DA273" s="862"/>
      <c r="DB273" s="862"/>
      <c r="DC273" s="862"/>
      <c r="DD273" s="862"/>
      <c r="DE273" s="862"/>
      <c r="DF273" s="862"/>
      <c r="DG273" s="862"/>
      <c r="DH273" s="1081"/>
      <c r="DI273" s="862"/>
      <c r="DJ273" s="862"/>
      <c r="DK273" s="862"/>
      <c r="DL273" s="862"/>
      <c r="DM273" s="862"/>
      <c r="DN273" s="862"/>
      <c r="DO273" s="862"/>
      <c r="DP273" s="862"/>
      <c r="DQ273" s="862"/>
      <c r="DR273" s="73">
        <f>SUM(CZ273:DQ273)</f>
        <v>0</v>
      </c>
      <c r="DS273" s="317"/>
      <c r="DT273" s="317"/>
      <c r="DU273" s="425"/>
      <c r="DV273" s="317"/>
      <c r="DW273" s="317"/>
      <c r="DX273" s="317"/>
      <c r="DY273" s="318"/>
      <c r="DZ273" s="318"/>
      <c r="EA273" s="318"/>
      <c r="EB273" s="318"/>
      <c r="EC273" s="318"/>
      <c r="ED273" s="318"/>
      <c r="EE273" s="318"/>
      <c r="EF273" s="318"/>
      <c r="EG273" s="318"/>
      <c r="EH273" s="318"/>
      <c r="EI273" s="318"/>
    </row>
    <row r="274" spans="1:140" s="262" customFormat="1" ht="24.75" customHeight="1" x14ac:dyDescent="0.2">
      <c r="A274" s="283"/>
      <c r="D274" s="283"/>
      <c r="E274" s="463"/>
      <c r="F274" s="283"/>
      <c r="G274" s="397"/>
      <c r="H274" s="283"/>
      <c r="I274" s="46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Z274" s="998"/>
      <c r="BK274" s="291"/>
      <c r="BX274" s="319">
        <f>SUM(BK273+BX273)</f>
        <v>1275500</v>
      </c>
      <c r="BY274" s="284">
        <f>AR273-BK273-BX273</f>
        <v>526500</v>
      </c>
      <c r="BZ274" s="320">
        <f>SUM(CA273+BK273+BX273)</f>
        <v>1802000</v>
      </c>
      <c r="CA274" s="285">
        <f>SUM(BY273)</f>
        <v>526500</v>
      </c>
      <c r="CB274" s="280" t="s">
        <v>38</v>
      </c>
      <c r="CC274" s="1011"/>
      <c r="CD274" s="1012"/>
      <c r="CE274" s="260"/>
      <c r="CF274" s="409"/>
      <c r="CG274" s="417"/>
      <c r="CH274" s="409"/>
      <c r="CI274" s="409"/>
      <c r="CJ274" s="409"/>
      <c r="CK274" s="417"/>
      <c r="CL274" s="409"/>
      <c r="CM274" s="409"/>
      <c r="CN274" s="409"/>
      <c r="CO274" s="417"/>
      <c r="CP274" s="409"/>
      <c r="CQ274" s="409"/>
      <c r="CR274" s="409"/>
      <c r="CS274" s="409"/>
      <c r="CT274" s="409"/>
      <c r="CU274" s="409"/>
      <c r="CV274" s="409"/>
      <c r="CW274" s="409"/>
      <c r="CX274" s="409"/>
      <c r="CY274" s="417"/>
      <c r="CZ274" s="409"/>
      <c r="DA274" s="409"/>
      <c r="DB274" s="409"/>
      <c r="DC274" s="417"/>
      <c r="DD274" s="409"/>
      <c r="DE274" s="409"/>
      <c r="DF274" s="409"/>
      <c r="DG274" s="417"/>
      <c r="DH274" s="409"/>
      <c r="DI274" s="409"/>
      <c r="DJ274" s="409"/>
      <c r="DK274" s="409"/>
      <c r="DL274" s="409"/>
      <c r="DM274" s="409"/>
      <c r="DN274" s="409"/>
      <c r="DO274" s="409"/>
      <c r="DP274" s="409"/>
      <c r="DQ274" s="409"/>
      <c r="DR274" s="409"/>
      <c r="DS274" s="409"/>
      <c r="DT274" s="409"/>
      <c r="DU274" s="417"/>
      <c r="DV274" s="409"/>
      <c r="DW274" s="409"/>
      <c r="DX274" s="409"/>
      <c r="DY274" s="260"/>
      <c r="DZ274" s="260"/>
      <c r="EA274" s="260"/>
      <c r="EB274" s="260"/>
      <c r="EC274" s="260"/>
      <c r="ED274" s="260"/>
      <c r="EE274" s="260"/>
      <c r="EF274" s="260"/>
      <c r="EG274" s="260"/>
      <c r="EH274" s="260"/>
      <c r="EI274" s="260"/>
      <c r="EJ274" s="260"/>
    </row>
    <row r="275" spans="1:140" s="262" customFormat="1" ht="24.75" customHeight="1" x14ac:dyDescent="0.2">
      <c r="A275" s="283"/>
      <c r="D275" s="283"/>
      <c r="E275" s="463"/>
      <c r="F275" s="283"/>
      <c r="G275" s="397"/>
      <c r="H275" s="283"/>
      <c r="I275" s="46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Z275" s="998"/>
      <c r="BK275" s="280"/>
      <c r="BL275" s="388">
        <f>SUM(AS273+BL273)</f>
        <v>1275500</v>
      </c>
      <c r="BM275" s="388">
        <f t="shared" ref="BM275" si="949">SUM(AT273+BM273)</f>
        <v>0</v>
      </c>
      <c r="BN275" s="388">
        <f t="shared" ref="BN275" si="950">SUM(AU273+BN273)</f>
        <v>0</v>
      </c>
      <c r="BO275" s="388">
        <f t="shared" ref="BO275" si="951">SUM(AV273+BO273)</f>
        <v>0</v>
      </c>
      <c r="BP275" s="388">
        <f t="shared" ref="BP275" si="952">SUM(AW273+BP273)</f>
        <v>0</v>
      </c>
      <c r="BQ275" s="388">
        <f t="shared" ref="BQ275" si="953">SUM(AX273+BQ273)</f>
        <v>0</v>
      </c>
      <c r="BR275" s="388">
        <f t="shared" ref="BR275" si="954">SUM(AY273+BR273)</f>
        <v>0</v>
      </c>
      <c r="BS275" s="388">
        <f t="shared" ref="BS275" si="955">SUM(AZ273+BS273)</f>
        <v>0</v>
      </c>
      <c r="BT275" s="388">
        <f t="shared" ref="BT275" si="956">SUM(BA273+BT273)</f>
        <v>0</v>
      </c>
      <c r="BU275" s="388">
        <f t="shared" ref="BU275" si="957">SUM(BB273+BU273)</f>
        <v>0</v>
      </c>
      <c r="BV275" s="388">
        <f t="shared" ref="BV275" si="958">SUM(BC273+BV273)</f>
        <v>0</v>
      </c>
      <c r="BW275" s="388">
        <f t="shared" ref="BW275" si="959">SUM(BD273+BW273)</f>
        <v>0</v>
      </c>
      <c r="BX275" s="388">
        <f>SUM(BL275:BW275)</f>
        <v>1275500</v>
      </c>
      <c r="BY275" s="280"/>
      <c r="BZ275" s="286"/>
      <c r="CA275" s="287">
        <f>SUM(CA273-CA274)</f>
        <v>0</v>
      </c>
      <c r="CB275" s="280" t="s">
        <v>37</v>
      </c>
      <c r="CC275" s="1011"/>
      <c r="CD275" s="1012"/>
      <c r="CE275" s="260"/>
      <c r="CF275" s="409"/>
      <c r="CG275" s="417"/>
      <c r="CH275" s="409"/>
      <c r="CI275" s="409"/>
      <c r="CJ275" s="409"/>
      <c r="CK275" s="417"/>
      <c r="CL275" s="409"/>
      <c r="CM275" s="409"/>
      <c r="CN275" s="409"/>
      <c r="CO275" s="417"/>
      <c r="CP275" s="409"/>
      <c r="CQ275" s="409"/>
      <c r="CR275" s="409"/>
      <c r="CS275" s="409"/>
      <c r="CT275" s="409"/>
      <c r="CU275" s="409"/>
      <c r="CV275" s="409"/>
      <c r="CW275" s="409"/>
      <c r="CX275" s="409"/>
      <c r="CY275" s="417"/>
      <c r="CZ275" s="409"/>
      <c r="DA275" s="409"/>
      <c r="DB275" s="409"/>
      <c r="DC275" s="417"/>
      <c r="DD275" s="409"/>
      <c r="DE275" s="409"/>
      <c r="DF275" s="409"/>
      <c r="DG275" s="417"/>
      <c r="DH275" s="409"/>
      <c r="DI275" s="409"/>
      <c r="DJ275" s="409"/>
      <c r="DK275" s="409"/>
      <c r="DL275" s="409"/>
      <c r="DM275" s="409"/>
      <c r="DN275" s="409"/>
      <c r="DO275" s="409"/>
      <c r="DP275" s="409"/>
      <c r="DQ275" s="409"/>
      <c r="DR275" s="409"/>
      <c r="DS275" s="409"/>
      <c r="DT275" s="409"/>
      <c r="DU275" s="417"/>
      <c r="DV275" s="409"/>
      <c r="DW275" s="409"/>
      <c r="DX275" s="409"/>
      <c r="DY275" s="260"/>
      <c r="DZ275" s="260"/>
      <c r="EA275" s="260"/>
      <c r="EB275" s="260"/>
      <c r="EC275" s="260"/>
      <c r="ED275" s="260"/>
      <c r="EE275" s="260"/>
      <c r="EF275" s="260"/>
      <c r="EG275" s="260"/>
      <c r="EH275" s="260"/>
      <c r="EI275" s="260"/>
      <c r="EJ275" s="260"/>
    </row>
    <row r="276" spans="1:140" s="269" customFormat="1" x14ac:dyDescent="0.2">
      <c r="A276" s="288"/>
      <c r="B276" s="267"/>
      <c r="D276" s="264"/>
      <c r="E276" s="467"/>
      <c r="F276" s="264"/>
      <c r="G276" s="400"/>
      <c r="H276" s="264"/>
      <c r="I276" s="467"/>
      <c r="J276" s="264"/>
      <c r="K276" s="264"/>
      <c r="L276" s="264"/>
      <c r="M276" s="264"/>
      <c r="N276" s="264"/>
      <c r="O276" s="264"/>
      <c r="P276" s="264"/>
      <c r="Q276" s="264"/>
      <c r="R276" s="264"/>
      <c r="S276" s="264"/>
      <c r="T276" s="264"/>
      <c r="U276" s="264"/>
      <c r="V276" s="264"/>
      <c r="W276" s="283"/>
      <c r="X276" s="288"/>
      <c r="Z276" s="1002"/>
      <c r="BK276" s="256"/>
      <c r="BX276" s="257"/>
      <c r="BY276" s="256"/>
      <c r="BZ276" s="258"/>
      <c r="CA276" s="258"/>
      <c r="CB276" s="256"/>
      <c r="CC276" s="1013"/>
      <c r="CD276" s="1012"/>
      <c r="CE276" s="268"/>
      <c r="CF276" s="411"/>
      <c r="CG276" s="419"/>
      <c r="CH276" s="411"/>
      <c r="CI276" s="411"/>
      <c r="CJ276" s="411"/>
      <c r="CK276" s="419"/>
      <c r="CL276" s="411"/>
      <c r="CM276" s="411"/>
      <c r="CN276" s="411"/>
      <c r="CO276" s="419"/>
      <c r="CP276" s="411"/>
      <c r="CQ276" s="411"/>
      <c r="CR276" s="411"/>
      <c r="CS276" s="411"/>
      <c r="CT276" s="411"/>
      <c r="CU276" s="411"/>
      <c r="CV276" s="411"/>
      <c r="CW276" s="411"/>
      <c r="CX276" s="411"/>
      <c r="CY276" s="419"/>
      <c r="CZ276" s="411"/>
      <c r="DA276" s="411"/>
      <c r="DB276" s="411"/>
      <c r="DC276" s="419"/>
      <c r="DD276" s="411"/>
      <c r="DE276" s="411"/>
      <c r="DF276" s="411"/>
      <c r="DG276" s="419"/>
      <c r="DH276" s="411"/>
      <c r="DI276" s="411"/>
      <c r="DJ276" s="411"/>
      <c r="DK276" s="411"/>
      <c r="DL276" s="411"/>
      <c r="DM276" s="411"/>
      <c r="DN276" s="411"/>
      <c r="DO276" s="411"/>
      <c r="DP276" s="411"/>
      <c r="DQ276" s="411"/>
      <c r="DR276" s="411"/>
      <c r="DS276" s="411"/>
      <c r="DT276" s="411"/>
      <c r="DU276" s="419"/>
      <c r="DV276" s="411"/>
      <c r="DW276" s="411"/>
      <c r="DX276" s="415"/>
      <c r="DY276" s="268"/>
      <c r="DZ276" s="268"/>
      <c r="EA276" s="268"/>
      <c r="EB276" s="268"/>
      <c r="EC276" s="268"/>
      <c r="ED276" s="268"/>
      <c r="EE276" s="268"/>
      <c r="EF276" s="268"/>
      <c r="EG276" s="268"/>
      <c r="EH276" s="268"/>
      <c r="EI276" s="268"/>
      <c r="EJ276" s="268"/>
    </row>
    <row r="277" spans="1:140" s="269" customFormat="1" x14ac:dyDescent="0.2">
      <c r="A277" s="288"/>
      <c r="B277" s="267"/>
      <c r="D277" s="264"/>
      <c r="E277" s="467"/>
      <c r="F277" s="264"/>
      <c r="G277" s="400"/>
      <c r="H277" s="264"/>
      <c r="I277" s="467"/>
      <c r="J277" s="264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83"/>
      <c r="X277" s="288"/>
      <c r="Z277" s="1002"/>
      <c r="BK277" s="256"/>
      <c r="BX277" s="257"/>
      <c r="BY277" s="256"/>
      <c r="BZ277" s="258"/>
      <c r="CA277" s="258"/>
      <c r="CB277" s="256"/>
      <c r="CC277" s="1013"/>
      <c r="CD277" s="1012"/>
      <c r="CE277" s="268"/>
      <c r="CF277" s="411"/>
      <c r="CG277" s="419"/>
      <c r="CH277" s="411"/>
      <c r="CI277" s="411"/>
      <c r="CJ277" s="411"/>
      <c r="CK277" s="419"/>
      <c r="CL277" s="411"/>
      <c r="CM277" s="411"/>
      <c r="CN277" s="411"/>
      <c r="CO277" s="419"/>
      <c r="CP277" s="411"/>
      <c r="CQ277" s="411"/>
      <c r="CR277" s="411"/>
      <c r="CS277" s="411"/>
      <c r="CT277" s="411"/>
      <c r="CU277" s="411"/>
      <c r="CV277" s="411"/>
      <c r="CW277" s="411"/>
      <c r="CX277" s="411"/>
      <c r="CY277" s="419"/>
      <c r="CZ277" s="411"/>
      <c r="DA277" s="411"/>
      <c r="DB277" s="411"/>
      <c r="DC277" s="419"/>
      <c r="DD277" s="411"/>
      <c r="DE277" s="411"/>
      <c r="DF277" s="411"/>
      <c r="DG277" s="419"/>
      <c r="DH277" s="411"/>
      <c r="DI277" s="411"/>
      <c r="DJ277" s="411"/>
      <c r="DK277" s="411"/>
      <c r="DL277" s="411"/>
      <c r="DM277" s="411"/>
      <c r="DN277" s="411"/>
      <c r="DO277" s="411"/>
      <c r="DP277" s="411"/>
      <c r="DQ277" s="411"/>
      <c r="DR277" s="411"/>
      <c r="DS277" s="411"/>
      <c r="DT277" s="411"/>
      <c r="DU277" s="419"/>
      <c r="DV277" s="411"/>
      <c r="DW277" s="411"/>
      <c r="DX277" s="415"/>
      <c r="DY277" s="268"/>
      <c r="DZ277" s="268"/>
      <c r="EA277" s="268"/>
      <c r="EB277" s="268"/>
      <c r="EC277" s="268"/>
      <c r="ED277" s="268"/>
      <c r="EE277" s="268"/>
      <c r="EF277" s="268"/>
      <c r="EG277" s="268"/>
      <c r="EH277" s="268"/>
      <c r="EI277" s="268"/>
      <c r="EJ277" s="268"/>
    </row>
    <row r="278" spans="1:140" s="269" customFormat="1" x14ac:dyDescent="0.2">
      <c r="A278" s="288"/>
      <c r="B278" s="267"/>
      <c r="D278" s="264"/>
      <c r="E278" s="467"/>
      <c r="F278" s="264"/>
      <c r="G278" s="400"/>
      <c r="H278" s="264"/>
      <c r="I278" s="467"/>
      <c r="J278" s="264"/>
      <c r="K278" s="264"/>
      <c r="L278" s="264"/>
      <c r="M278" s="264"/>
      <c r="N278" s="264"/>
      <c r="O278" s="264"/>
      <c r="P278" s="264"/>
      <c r="Q278" s="264"/>
      <c r="R278" s="264"/>
      <c r="S278" s="264"/>
      <c r="T278" s="264"/>
      <c r="U278" s="264"/>
      <c r="V278" s="264"/>
      <c r="W278" s="283"/>
      <c r="X278" s="288"/>
      <c r="Z278" s="1002"/>
      <c r="BK278" s="256"/>
      <c r="BX278" s="257"/>
      <c r="BY278" s="256"/>
      <c r="BZ278" s="258"/>
      <c r="CA278" s="258"/>
      <c r="CB278" s="256"/>
      <c r="CC278" s="1013"/>
      <c r="CD278" s="1012"/>
      <c r="CE278" s="268"/>
      <c r="CF278" s="411"/>
      <c r="CG278" s="419"/>
      <c r="CH278" s="411"/>
      <c r="CI278" s="411"/>
      <c r="CJ278" s="411"/>
      <c r="CK278" s="419"/>
      <c r="CL278" s="411"/>
      <c r="CM278" s="411"/>
      <c r="CN278" s="411"/>
      <c r="CO278" s="419"/>
      <c r="CP278" s="411"/>
      <c r="CQ278" s="411"/>
      <c r="CR278" s="411"/>
      <c r="CS278" s="411"/>
      <c r="CT278" s="411"/>
      <c r="CU278" s="411"/>
      <c r="CV278" s="411"/>
      <c r="CW278" s="411"/>
      <c r="CX278" s="411"/>
      <c r="CY278" s="419"/>
      <c r="CZ278" s="411"/>
      <c r="DA278" s="411"/>
      <c r="DB278" s="411"/>
      <c r="DC278" s="419"/>
      <c r="DD278" s="411"/>
      <c r="DE278" s="411"/>
      <c r="DF278" s="411"/>
      <c r="DG278" s="419"/>
      <c r="DH278" s="411"/>
      <c r="DI278" s="411"/>
      <c r="DJ278" s="411"/>
      <c r="DK278" s="411"/>
      <c r="DL278" s="411"/>
      <c r="DM278" s="411"/>
      <c r="DN278" s="411"/>
      <c r="DO278" s="411"/>
      <c r="DP278" s="411"/>
      <c r="DQ278" s="411"/>
      <c r="DR278" s="411"/>
      <c r="DS278" s="411"/>
      <c r="DT278" s="411"/>
      <c r="DU278" s="419"/>
      <c r="DV278" s="411"/>
      <c r="DW278" s="411"/>
      <c r="DX278" s="415"/>
      <c r="DY278" s="268"/>
      <c r="DZ278" s="268"/>
      <c r="EA278" s="268"/>
      <c r="EB278" s="268"/>
      <c r="EC278" s="268"/>
      <c r="ED278" s="268"/>
      <c r="EE278" s="268"/>
      <c r="EF278" s="268"/>
      <c r="EG278" s="268"/>
      <c r="EH278" s="268"/>
      <c r="EI278" s="268"/>
      <c r="EJ278" s="268"/>
    </row>
    <row r="279" spans="1:140" s="269" customFormat="1" x14ac:dyDescent="0.2">
      <c r="A279" s="288"/>
      <c r="B279" s="267"/>
      <c r="D279" s="264"/>
      <c r="E279" s="467"/>
      <c r="F279" s="264"/>
      <c r="G279" s="400"/>
      <c r="H279" s="264"/>
      <c r="I279" s="467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  <c r="U279" s="264"/>
      <c r="V279" s="264"/>
      <c r="W279" s="283"/>
      <c r="X279" s="288"/>
      <c r="Z279" s="1002"/>
      <c r="BK279" s="256"/>
      <c r="BX279" s="257"/>
      <c r="BY279" s="256"/>
      <c r="BZ279" s="258"/>
      <c r="CA279" s="258"/>
      <c r="CB279" s="256"/>
      <c r="CC279" s="1013"/>
      <c r="CD279" s="1012"/>
      <c r="CE279" s="268"/>
      <c r="CF279" s="411"/>
      <c r="CG279" s="419"/>
      <c r="CH279" s="411"/>
      <c r="CI279" s="411"/>
      <c r="CJ279" s="411"/>
      <c r="CK279" s="419"/>
      <c r="CL279" s="411"/>
      <c r="CM279" s="411"/>
      <c r="CN279" s="411"/>
      <c r="CO279" s="419"/>
      <c r="CP279" s="411"/>
      <c r="CQ279" s="411"/>
      <c r="CR279" s="411"/>
      <c r="CS279" s="411"/>
      <c r="CT279" s="411"/>
      <c r="CU279" s="411"/>
      <c r="CV279" s="411"/>
      <c r="CW279" s="411"/>
      <c r="CX279" s="411"/>
      <c r="CY279" s="419"/>
      <c r="CZ279" s="411"/>
      <c r="DA279" s="411"/>
      <c r="DB279" s="411"/>
      <c r="DC279" s="419"/>
      <c r="DD279" s="411"/>
      <c r="DE279" s="411"/>
      <c r="DF279" s="411"/>
      <c r="DG279" s="419"/>
      <c r="DH279" s="411"/>
      <c r="DI279" s="411"/>
      <c r="DJ279" s="411"/>
      <c r="DK279" s="411"/>
      <c r="DL279" s="411"/>
      <c r="DM279" s="411"/>
      <c r="DN279" s="411"/>
      <c r="DO279" s="411"/>
      <c r="DP279" s="411"/>
      <c r="DQ279" s="411"/>
      <c r="DR279" s="411"/>
      <c r="DS279" s="411"/>
      <c r="DT279" s="411"/>
      <c r="DU279" s="419"/>
      <c r="DV279" s="411"/>
      <c r="DW279" s="411"/>
      <c r="DX279" s="415"/>
      <c r="DY279" s="268"/>
      <c r="DZ279" s="268"/>
      <c r="EA279" s="268"/>
      <c r="EB279" s="268"/>
      <c r="EC279" s="268"/>
      <c r="ED279" s="268"/>
      <c r="EE279" s="268"/>
      <c r="EF279" s="268"/>
      <c r="EG279" s="268"/>
      <c r="EH279" s="268"/>
      <c r="EI279" s="268"/>
      <c r="EJ279" s="268"/>
    </row>
    <row r="280" spans="1:140" s="269" customFormat="1" x14ac:dyDescent="0.2">
      <c r="A280" s="288"/>
      <c r="B280" s="267"/>
      <c r="D280" s="264"/>
      <c r="E280" s="467"/>
      <c r="F280" s="264"/>
      <c r="G280" s="400"/>
      <c r="H280" s="264"/>
      <c r="I280" s="467"/>
      <c r="J280" s="264"/>
      <c r="K280" s="264"/>
      <c r="L280" s="264"/>
      <c r="M280" s="264"/>
      <c r="N280" s="264"/>
      <c r="O280" s="264"/>
      <c r="P280" s="264"/>
      <c r="Q280" s="264"/>
      <c r="R280" s="264"/>
      <c r="S280" s="264"/>
      <c r="T280" s="264"/>
      <c r="U280" s="264"/>
      <c r="V280" s="264"/>
      <c r="W280" s="283"/>
      <c r="X280" s="288"/>
      <c r="Z280" s="1002"/>
      <c r="BK280" s="256"/>
      <c r="BX280" s="257"/>
      <c r="BY280" s="256"/>
      <c r="BZ280" s="258"/>
      <c r="CA280" s="258"/>
      <c r="CB280" s="256"/>
      <c r="CC280" s="1013"/>
      <c r="CD280" s="1012"/>
      <c r="CE280" s="268"/>
      <c r="CF280" s="411"/>
      <c r="CG280" s="419"/>
      <c r="CH280" s="411"/>
      <c r="CI280" s="411"/>
      <c r="CJ280" s="411"/>
      <c r="CK280" s="419"/>
      <c r="CL280" s="411"/>
      <c r="CM280" s="411"/>
      <c r="CN280" s="411"/>
      <c r="CO280" s="419"/>
      <c r="CP280" s="411"/>
      <c r="CQ280" s="411"/>
      <c r="CR280" s="411"/>
      <c r="CS280" s="411"/>
      <c r="CT280" s="411"/>
      <c r="CU280" s="411"/>
      <c r="CV280" s="411"/>
      <c r="CW280" s="411"/>
      <c r="CX280" s="411"/>
      <c r="CY280" s="419"/>
      <c r="CZ280" s="411"/>
      <c r="DA280" s="411"/>
      <c r="DB280" s="411"/>
      <c r="DC280" s="419"/>
      <c r="DD280" s="411"/>
      <c r="DE280" s="411"/>
      <c r="DF280" s="411"/>
      <c r="DG280" s="419"/>
      <c r="DH280" s="411"/>
      <c r="DI280" s="411"/>
      <c r="DJ280" s="411"/>
      <c r="DK280" s="411"/>
      <c r="DL280" s="411"/>
      <c r="DM280" s="411"/>
      <c r="DN280" s="411"/>
      <c r="DO280" s="411"/>
      <c r="DP280" s="411"/>
      <c r="DQ280" s="411"/>
      <c r="DR280" s="411"/>
      <c r="DS280" s="411"/>
      <c r="DT280" s="411"/>
      <c r="DU280" s="419"/>
      <c r="DV280" s="411"/>
      <c r="DW280" s="411"/>
      <c r="DX280" s="415"/>
      <c r="DY280" s="268"/>
      <c r="DZ280" s="268"/>
      <c r="EA280" s="268"/>
      <c r="EB280" s="268"/>
      <c r="EC280" s="268"/>
      <c r="ED280" s="268"/>
      <c r="EE280" s="268"/>
      <c r="EF280" s="268"/>
      <c r="EG280" s="268"/>
      <c r="EH280" s="268"/>
      <c r="EI280" s="268"/>
      <c r="EJ280" s="268"/>
    </row>
    <row r="281" spans="1:140" s="269" customFormat="1" x14ac:dyDescent="0.2">
      <c r="A281" s="288"/>
      <c r="B281" s="267"/>
      <c r="D281" s="264"/>
      <c r="E281" s="467"/>
      <c r="F281" s="264"/>
      <c r="G281" s="400"/>
      <c r="H281" s="264"/>
      <c r="I281" s="467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/>
      <c r="U281" s="264"/>
      <c r="V281" s="264"/>
      <c r="W281" s="283"/>
      <c r="X281" s="288"/>
      <c r="Z281" s="1002"/>
      <c r="BK281" s="256"/>
      <c r="BX281" s="257"/>
      <c r="BY281" s="256"/>
      <c r="BZ281" s="258"/>
      <c r="CA281" s="258"/>
      <c r="CB281" s="256"/>
      <c r="CC281" s="1013"/>
      <c r="CD281" s="1012"/>
      <c r="CE281" s="268"/>
      <c r="CF281" s="411"/>
      <c r="CG281" s="419"/>
      <c r="CH281" s="411"/>
      <c r="CI281" s="411"/>
      <c r="CJ281" s="411"/>
      <c r="CK281" s="419"/>
      <c r="CL281" s="411"/>
      <c r="CM281" s="411"/>
      <c r="CN281" s="411"/>
      <c r="CO281" s="419"/>
      <c r="CP281" s="411"/>
      <c r="CQ281" s="411"/>
      <c r="CR281" s="411"/>
      <c r="CS281" s="411"/>
      <c r="CT281" s="411"/>
      <c r="CU281" s="411"/>
      <c r="CV281" s="411"/>
      <c r="CW281" s="411"/>
      <c r="CX281" s="411"/>
      <c r="CY281" s="419"/>
      <c r="CZ281" s="411"/>
      <c r="DA281" s="411"/>
      <c r="DB281" s="411"/>
      <c r="DC281" s="419"/>
      <c r="DD281" s="411"/>
      <c r="DE281" s="411"/>
      <c r="DF281" s="411"/>
      <c r="DG281" s="419"/>
      <c r="DH281" s="411"/>
      <c r="DI281" s="411"/>
      <c r="DJ281" s="411"/>
      <c r="DK281" s="411"/>
      <c r="DL281" s="411"/>
      <c r="DM281" s="411"/>
      <c r="DN281" s="411"/>
      <c r="DO281" s="411"/>
      <c r="DP281" s="411"/>
      <c r="DQ281" s="411"/>
      <c r="DR281" s="411"/>
      <c r="DS281" s="411"/>
      <c r="DT281" s="411"/>
      <c r="DU281" s="419"/>
      <c r="DV281" s="411"/>
      <c r="DW281" s="411"/>
      <c r="DX281" s="415"/>
      <c r="DY281" s="268"/>
      <c r="DZ281" s="268"/>
      <c r="EA281" s="268"/>
      <c r="EB281" s="268"/>
      <c r="EC281" s="268"/>
      <c r="ED281" s="268"/>
      <c r="EE281" s="268"/>
      <c r="EF281" s="268"/>
      <c r="EG281" s="268"/>
      <c r="EH281" s="268"/>
      <c r="EI281" s="268"/>
      <c r="EJ281" s="268"/>
    </row>
    <row r="282" spans="1:140" s="269" customFormat="1" x14ac:dyDescent="0.2">
      <c r="A282" s="288"/>
      <c r="B282" s="267"/>
      <c r="D282" s="264"/>
      <c r="E282" s="467"/>
      <c r="F282" s="264"/>
      <c r="G282" s="400"/>
      <c r="H282" s="264"/>
      <c r="I282" s="467"/>
      <c r="J282" s="264"/>
      <c r="K282" s="264"/>
      <c r="L282" s="264"/>
      <c r="M282" s="264"/>
      <c r="N282" s="264"/>
      <c r="O282" s="264"/>
      <c r="P282" s="264"/>
      <c r="Q282" s="264"/>
      <c r="R282" s="264"/>
      <c r="S282" s="264"/>
      <c r="T282" s="264"/>
      <c r="U282" s="264"/>
      <c r="V282" s="264"/>
      <c r="W282" s="283"/>
      <c r="X282" s="288"/>
      <c r="Z282" s="1002"/>
      <c r="BK282" s="256"/>
      <c r="BX282" s="257"/>
      <c r="BY282" s="256"/>
      <c r="BZ282" s="258"/>
      <c r="CA282" s="258"/>
      <c r="CB282" s="256"/>
      <c r="CC282" s="1013"/>
      <c r="CD282" s="1012"/>
      <c r="CE282" s="268"/>
      <c r="CF282" s="411"/>
      <c r="CG282" s="419"/>
      <c r="CH282" s="411"/>
      <c r="CI282" s="411"/>
      <c r="CJ282" s="411"/>
      <c r="CK282" s="419"/>
      <c r="CL282" s="411"/>
      <c r="CM282" s="411"/>
      <c r="CN282" s="411"/>
      <c r="CO282" s="419"/>
      <c r="CP282" s="411"/>
      <c r="CQ282" s="411"/>
      <c r="CR282" s="411"/>
      <c r="CS282" s="411"/>
      <c r="CT282" s="411"/>
      <c r="CU282" s="411"/>
      <c r="CV282" s="411"/>
      <c r="CW282" s="411"/>
      <c r="CX282" s="411"/>
      <c r="CY282" s="419"/>
      <c r="CZ282" s="411"/>
      <c r="DA282" s="411"/>
      <c r="DB282" s="411"/>
      <c r="DC282" s="419"/>
      <c r="DD282" s="411"/>
      <c r="DE282" s="411"/>
      <c r="DF282" s="411"/>
      <c r="DG282" s="419"/>
      <c r="DH282" s="411"/>
      <c r="DI282" s="411"/>
      <c r="DJ282" s="411"/>
      <c r="DK282" s="411"/>
      <c r="DL282" s="411"/>
      <c r="DM282" s="411"/>
      <c r="DN282" s="411"/>
      <c r="DO282" s="411"/>
      <c r="DP282" s="411"/>
      <c r="DQ282" s="411"/>
      <c r="DR282" s="411"/>
      <c r="DS282" s="411"/>
      <c r="DT282" s="411"/>
      <c r="DU282" s="419"/>
      <c r="DV282" s="411"/>
      <c r="DW282" s="411"/>
      <c r="DX282" s="415"/>
      <c r="DY282" s="268"/>
      <c r="DZ282" s="268"/>
      <c r="EA282" s="268"/>
      <c r="EB282" s="268"/>
      <c r="EC282" s="268"/>
      <c r="ED282" s="268"/>
      <c r="EE282" s="268"/>
      <c r="EF282" s="268"/>
      <c r="EG282" s="268"/>
      <c r="EH282" s="268"/>
      <c r="EI282" s="268"/>
      <c r="EJ282" s="268"/>
    </row>
    <row r="283" spans="1:140" s="269" customFormat="1" x14ac:dyDescent="0.2">
      <c r="A283" s="288"/>
      <c r="B283" s="267"/>
      <c r="D283" s="264"/>
      <c r="E283" s="467"/>
      <c r="F283" s="264"/>
      <c r="G283" s="400"/>
      <c r="H283" s="264"/>
      <c r="I283" s="467"/>
      <c r="J283" s="264"/>
      <c r="K283" s="264"/>
      <c r="L283" s="264"/>
      <c r="M283" s="264"/>
      <c r="N283" s="264"/>
      <c r="O283" s="264"/>
      <c r="P283" s="264"/>
      <c r="Q283" s="264"/>
      <c r="R283" s="264"/>
      <c r="S283" s="264"/>
      <c r="T283" s="264"/>
      <c r="U283" s="264"/>
      <c r="V283" s="264"/>
      <c r="W283" s="283"/>
      <c r="X283" s="288"/>
      <c r="Z283" s="1002"/>
      <c r="BK283" s="256"/>
      <c r="BX283" s="257"/>
      <c r="BY283" s="256"/>
      <c r="BZ283" s="258"/>
      <c r="CA283" s="258"/>
      <c r="CB283" s="256"/>
      <c r="CC283" s="1013"/>
      <c r="CD283" s="1012"/>
      <c r="CE283" s="268"/>
      <c r="CF283" s="411"/>
      <c r="CG283" s="419"/>
      <c r="CH283" s="411"/>
      <c r="CI283" s="411"/>
      <c r="CJ283" s="411"/>
      <c r="CK283" s="419"/>
      <c r="CL283" s="411"/>
      <c r="CM283" s="411"/>
      <c r="CN283" s="411"/>
      <c r="CO283" s="419"/>
      <c r="CP283" s="411"/>
      <c r="CQ283" s="411"/>
      <c r="CR283" s="411"/>
      <c r="CS283" s="411"/>
      <c r="CT283" s="411"/>
      <c r="CU283" s="411"/>
      <c r="CV283" s="411"/>
      <c r="CW283" s="411"/>
      <c r="CX283" s="411"/>
      <c r="CY283" s="419"/>
      <c r="CZ283" s="411"/>
      <c r="DA283" s="411"/>
      <c r="DB283" s="411"/>
      <c r="DC283" s="419"/>
      <c r="DD283" s="411"/>
      <c r="DE283" s="411"/>
      <c r="DF283" s="411"/>
      <c r="DG283" s="419"/>
      <c r="DH283" s="411"/>
      <c r="DI283" s="411"/>
      <c r="DJ283" s="411"/>
      <c r="DK283" s="411"/>
      <c r="DL283" s="411"/>
      <c r="DM283" s="411"/>
      <c r="DN283" s="411"/>
      <c r="DO283" s="411"/>
      <c r="DP283" s="411"/>
      <c r="DQ283" s="411"/>
      <c r="DR283" s="411"/>
      <c r="DS283" s="411"/>
      <c r="DT283" s="411"/>
      <c r="DU283" s="419"/>
      <c r="DV283" s="411"/>
      <c r="DW283" s="411"/>
      <c r="DX283" s="415"/>
      <c r="DY283" s="268"/>
      <c r="DZ283" s="268"/>
      <c r="EA283" s="268"/>
      <c r="EB283" s="268"/>
      <c r="EC283" s="268"/>
      <c r="ED283" s="268"/>
      <c r="EE283" s="268"/>
      <c r="EF283" s="268"/>
      <c r="EG283" s="268"/>
      <c r="EH283" s="268"/>
      <c r="EI283" s="268"/>
      <c r="EJ283" s="268"/>
    </row>
    <row r="284" spans="1:140" s="269" customFormat="1" x14ac:dyDescent="0.2">
      <c r="A284" s="288"/>
      <c r="B284" s="267"/>
      <c r="D284" s="264"/>
      <c r="E284" s="467"/>
      <c r="F284" s="264"/>
      <c r="G284" s="400"/>
      <c r="H284" s="264"/>
      <c r="I284" s="467"/>
      <c r="J284" s="264"/>
      <c r="K284" s="264"/>
      <c r="L284" s="264"/>
      <c r="M284" s="264"/>
      <c r="N284" s="264"/>
      <c r="O284" s="264"/>
      <c r="P284" s="264"/>
      <c r="Q284" s="264"/>
      <c r="R284" s="264"/>
      <c r="S284" s="264"/>
      <c r="T284" s="264"/>
      <c r="U284" s="264"/>
      <c r="V284" s="264"/>
      <c r="W284" s="283"/>
      <c r="X284" s="288"/>
      <c r="Z284" s="1002"/>
      <c r="BK284" s="256"/>
      <c r="BX284" s="257"/>
      <c r="BY284" s="256"/>
      <c r="BZ284" s="258"/>
      <c r="CA284" s="258"/>
      <c r="CB284" s="256"/>
      <c r="CC284" s="1013"/>
      <c r="CD284" s="1012"/>
      <c r="CE284" s="268"/>
      <c r="CF284" s="411"/>
      <c r="CG284" s="419"/>
      <c r="CH284" s="411"/>
      <c r="CI284" s="411"/>
      <c r="CJ284" s="411"/>
      <c r="CK284" s="419"/>
      <c r="CL284" s="411"/>
      <c r="CM284" s="411"/>
      <c r="CN284" s="411"/>
      <c r="CO284" s="419"/>
      <c r="CP284" s="411"/>
      <c r="CQ284" s="411"/>
      <c r="CR284" s="411"/>
      <c r="CS284" s="411"/>
      <c r="CT284" s="411"/>
      <c r="CU284" s="411"/>
      <c r="CV284" s="411"/>
      <c r="CW284" s="411"/>
      <c r="CX284" s="411"/>
      <c r="CY284" s="419"/>
      <c r="CZ284" s="411"/>
      <c r="DA284" s="411"/>
      <c r="DB284" s="411"/>
      <c r="DC284" s="419"/>
      <c r="DD284" s="411"/>
      <c r="DE284" s="411"/>
      <c r="DF284" s="411"/>
      <c r="DG284" s="419"/>
      <c r="DH284" s="411"/>
      <c r="DI284" s="411"/>
      <c r="DJ284" s="411"/>
      <c r="DK284" s="411"/>
      <c r="DL284" s="411"/>
      <c r="DM284" s="411"/>
      <c r="DN284" s="411"/>
      <c r="DO284" s="411"/>
      <c r="DP284" s="411"/>
      <c r="DQ284" s="411"/>
      <c r="DR284" s="411"/>
      <c r="DS284" s="411"/>
      <c r="DT284" s="411"/>
      <c r="DU284" s="419"/>
      <c r="DV284" s="411"/>
      <c r="DW284" s="411"/>
      <c r="DX284" s="415"/>
      <c r="DY284" s="268"/>
      <c r="DZ284" s="268"/>
      <c r="EA284" s="268"/>
      <c r="EB284" s="268"/>
      <c r="EC284" s="268"/>
      <c r="ED284" s="268"/>
      <c r="EE284" s="268"/>
      <c r="EF284" s="268"/>
      <c r="EG284" s="268"/>
      <c r="EH284" s="268"/>
      <c r="EI284" s="268"/>
      <c r="EJ284" s="268"/>
    </row>
    <row r="285" spans="1:140" s="269" customFormat="1" x14ac:dyDescent="0.2">
      <c r="A285" s="288"/>
      <c r="B285" s="267"/>
      <c r="D285" s="264"/>
      <c r="E285" s="467"/>
      <c r="F285" s="264"/>
      <c r="G285" s="400"/>
      <c r="H285" s="264"/>
      <c r="I285" s="467"/>
      <c r="J285" s="264"/>
      <c r="K285" s="264"/>
      <c r="L285" s="264"/>
      <c r="M285" s="264"/>
      <c r="N285" s="264"/>
      <c r="O285" s="264"/>
      <c r="P285" s="264"/>
      <c r="Q285" s="264"/>
      <c r="R285" s="264"/>
      <c r="S285" s="264"/>
      <c r="T285" s="264"/>
      <c r="U285" s="264"/>
      <c r="V285" s="264"/>
      <c r="W285" s="283"/>
      <c r="X285" s="288"/>
      <c r="Z285" s="1002"/>
      <c r="BK285" s="256"/>
      <c r="BX285" s="257"/>
      <c r="BY285" s="256"/>
      <c r="BZ285" s="258"/>
      <c r="CA285" s="258"/>
      <c r="CB285" s="256"/>
      <c r="CC285" s="1013"/>
      <c r="CD285" s="1012"/>
      <c r="CE285" s="268"/>
      <c r="CF285" s="411"/>
      <c r="CG285" s="419"/>
      <c r="CH285" s="411"/>
      <c r="CI285" s="411"/>
      <c r="CJ285" s="411"/>
      <c r="CK285" s="419"/>
      <c r="CL285" s="411"/>
      <c r="CM285" s="411"/>
      <c r="CN285" s="411"/>
      <c r="CO285" s="419"/>
      <c r="CP285" s="411"/>
      <c r="CQ285" s="411"/>
      <c r="CR285" s="411"/>
      <c r="CS285" s="411"/>
      <c r="CT285" s="411"/>
      <c r="CU285" s="411"/>
      <c r="CV285" s="411"/>
      <c r="CW285" s="411"/>
      <c r="CX285" s="411"/>
      <c r="CY285" s="419"/>
      <c r="CZ285" s="411"/>
      <c r="DA285" s="411"/>
      <c r="DB285" s="411"/>
      <c r="DC285" s="419"/>
      <c r="DD285" s="411"/>
      <c r="DE285" s="411"/>
      <c r="DF285" s="411"/>
      <c r="DG285" s="419"/>
      <c r="DH285" s="411"/>
      <c r="DI285" s="411"/>
      <c r="DJ285" s="411"/>
      <c r="DK285" s="411"/>
      <c r="DL285" s="411"/>
      <c r="DM285" s="411"/>
      <c r="DN285" s="411"/>
      <c r="DO285" s="411"/>
      <c r="DP285" s="411"/>
      <c r="DQ285" s="411"/>
      <c r="DR285" s="411"/>
      <c r="DS285" s="411"/>
      <c r="DT285" s="411"/>
      <c r="DU285" s="419"/>
      <c r="DV285" s="411"/>
      <c r="DW285" s="411"/>
      <c r="DX285" s="415"/>
      <c r="DY285" s="268"/>
      <c r="DZ285" s="268"/>
      <c r="EA285" s="268"/>
      <c r="EB285" s="268"/>
      <c r="EC285" s="268"/>
      <c r="ED285" s="268"/>
      <c r="EE285" s="268"/>
      <c r="EF285" s="268"/>
      <c r="EG285" s="268"/>
      <c r="EH285" s="268"/>
      <c r="EI285" s="268"/>
      <c r="EJ285" s="268"/>
    </row>
    <row r="286" spans="1:140" s="269" customFormat="1" x14ac:dyDescent="0.2">
      <c r="A286" s="288"/>
      <c r="B286" s="267"/>
      <c r="D286" s="264"/>
      <c r="E286" s="467"/>
      <c r="F286" s="264"/>
      <c r="G286" s="400"/>
      <c r="H286" s="264"/>
      <c r="I286" s="467"/>
      <c r="J286" s="264"/>
      <c r="K286" s="264"/>
      <c r="L286" s="264"/>
      <c r="M286" s="264"/>
      <c r="N286" s="264"/>
      <c r="O286" s="264"/>
      <c r="P286" s="264"/>
      <c r="Q286" s="264"/>
      <c r="R286" s="264"/>
      <c r="S286" s="264"/>
      <c r="T286" s="264"/>
      <c r="U286" s="264"/>
      <c r="V286" s="264"/>
      <c r="W286" s="283"/>
      <c r="X286" s="288"/>
      <c r="Z286" s="1002"/>
      <c r="BK286" s="256"/>
      <c r="BO286" s="1363"/>
      <c r="BX286" s="257"/>
      <c r="BY286" s="256"/>
      <c r="BZ286" s="258"/>
      <c r="CA286" s="258"/>
      <c r="CB286" s="256"/>
      <c r="CC286" s="1013"/>
      <c r="CD286" s="1012"/>
      <c r="CE286" s="268"/>
      <c r="CF286" s="411"/>
      <c r="CG286" s="419"/>
      <c r="CH286" s="411"/>
      <c r="CI286" s="411"/>
      <c r="CJ286" s="411"/>
      <c r="CK286" s="419"/>
      <c r="CL286" s="411"/>
      <c r="CM286" s="411"/>
      <c r="CN286" s="411"/>
      <c r="CO286" s="419"/>
      <c r="CP286" s="411"/>
      <c r="CQ286" s="411"/>
      <c r="CR286" s="411"/>
      <c r="CS286" s="411"/>
      <c r="CT286" s="411"/>
      <c r="CU286" s="411"/>
      <c r="CV286" s="411"/>
      <c r="CW286" s="411"/>
      <c r="CX286" s="411"/>
      <c r="CY286" s="419"/>
      <c r="CZ286" s="411"/>
      <c r="DA286" s="411"/>
      <c r="DB286" s="411"/>
      <c r="DC286" s="419"/>
      <c r="DD286" s="411"/>
      <c r="DE286" s="411"/>
      <c r="DF286" s="411"/>
      <c r="DG286" s="419"/>
      <c r="DH286" s="411"/>
      <c r="DI286" s="411"/>
      <c r="DJ286" s="411"/>
      <c r="DK286" s="411"/>
      <c r="DL286" s="411"/>
      <c r="DM286" s="411"/>
      <c r="DN286" s="411"/>
      <c r="DO286" s="411"/>
      <c r="DP286" s="411"/>
      <c r="DQ286" s="411"/>
      <c r="DR286" s="411"/>
      <c r="DS286" s="411"/>
      <c r="DT286" s="411"/>
      <c r="DU286" s="419"/>
      <c r="DV286" s="411"/>
      <c r="DW286" s="411"/>
      <c r="DX286" s="415"/>
      <c r="DY286" s="268"/>
      <c r="DZ286" s="268"/>
      <c r="EA286" s="268"/>
      <c r="EB286" s="268"/>
      <c r="EC286" s="268"/>
      <c r="ED286" s="268"/>
      <c r="EE286" s="268"/>
      <c r="EF286" s="268"/>
      <c r="EG286" s="268"/>
      <c r="EH286" s="268"/>
      <c r="EI286" s="268"/>
      <c r="EJ286" s="268"/>
    </row>
    <row r="287" spans="1:140" s="269" customFormat="1" x14ac:dyDescent="0.2">
      <c r="A287" s="288"/>
      <c r="B287" s="267"/>
      <c r="D287" s="264"/>
      <c r="E287" s="467"/>
      <c r="F287" s="264"/>
      <c r="G287" s="400"/>
      <c r="H287" s="264"/>
      <c r="I287" s="467"/>
      <c r="J287" s="264"/>
      <c r="K287" s="264"/>
      <c r="L287" s="264"/>
      <c r="M287" s="264"/>
      <c r="N287" s="264"/>
      <c r="O287" s="264"/>
      <c r="P287" s="264"/>
      <c r="Q287" s="264"/>
      <c r="R287" s="264"/>
      <c r="S287" s="264"/>
      <c r="T287" s="264"/>
      <c r="U287" s="264"/>
      <c r="V287" s="264"/>
      <c r="W287" s="283"/>
      <c r="X287" s="288"/>
      <c r="Z287" s="1002"/>
      <c r="BK287" s="256"/>
      <c r="BO287" s="1363"/>
      <c r="BX287" s="257"/>
      <c r="BY287" s="256"/>
      <c r="BZ287" s="258"/>
      <c r="CA287" s="258"/>
      <c r="CB287" s="256"/>
      <c r="CC287" s="1013"/>
      <c r="CD287" s="1012"/>
      <c r="CE287" s="268"/>
      <c r="CF287" s="411"/>
      <c r="CG287" s="419"/>
      <c r="CH287" s="411"/>
      <c r="CI287" s="411"/>
      <c r="CJ287" s="411"/>
      <c r="CK287" s="419"/>
      <c r="CL287" s="411"/>
      <c r="CM287" s="411"/>
      <c r="CN287" s="411"/>
      <c r="CO287" s="419"/>
      <c r="CP287" s="411"/>
      <c r="CQ287" s="411"/>
      <c r="CR287" s="411"/>
      <c r="CS287" s="411"/>
      <c r="CT287" s="411"/>
      <c r="CU287" s="411"/>
      <c r="CV287" s="411"/>
      <c r="CW287" s="411"/>
      <c r="CX287" s="411"/>
      <c r="CY287" s="419"/>
      <c r="CZ287" s="411"/>
      <c r="DA287" s="411"/>
      <c r="DB287" s="411"/>
      <c r="DC287" s="419"/>
      <c r="DD287" s="411"/>
      <c r="DE287" s="411"/>
      <c r="DF287" s="411"/>
      <c r="DG287" s="419"/>
      <c r="DH287" s="411"/>
      <c r="DI287" s="411"/>
      <c r="DJ287" s="411"/>
      <c r="DK287" s="411"/>
      <c r="DL287" s="411"/>
      <c r="DM287" s="411"/>
      <c r="DN287" s="411"/>
      <c r="DO287" s="411"/>
      <c r="DP287" s="411"/>
      <c r="DQ287" s="411"/>
      <c r="DR287" s="411"/>
      <c r="DS287" s="411"/>
      <c r="DT287" s="411"/>
      <c r="DU287" s="419"/>
      <c r="DV287" s="411"/>
      <c r="DW287" s="411"/>
      <c r="DX287" s="415"/>
      <c r="DY287" s="268"/>
      <c r="DZ287" s="268"/>
      <c r="EA287" s="268"/>
      <c r="EB287" s="268"/>
      <c r="EC287" s="268"/>
      <c r="ED287" s="268"/>
      <c r="EE287" s="268"/>
      <c r="EF287" s="268"/>
      <c r="EG287" s="268"/>
      <c r="EH287" s="268"/>
      <c r="EI287" s="268"/>
      <c r="EJ287" s="268"/>
    </row>
    <row r="288" spans="1:140" s="269" customFormat="1" x14ac:dyDescent="0.2">
      <c r="A288" s="288"/>
      <c r="B288" s="267"/>
      <c r="D288" s="264"/>
      <c r="E288" s="467"/>
      <c r="F288" s="264"/>
      <c r="G288" s="400"/>
      <c r="H288" s="264"/>
      <c r="I288" s="467"/>
      <c r="J288" s="264"/>
      <c r="K288" s="264"/>
      <c r="L288" s="264"/>
      <c r="M288" s="264"/>
      <c r="N288" s="264"/>
      <c r="O288" s="264"/>
      <c r="P288" s="264"/>
      <c r="Q288" s="264"/>
      <c r="R288" s="264"/>
      <c r="S288" s="264"/>
      <c r="T288" s="264"/>
      <c r="U288" s="264"/>
      <c r="V288" s="264"/>
      <c r="W288" s="283"/>
      <c r="X288" s="288"/>
      <c r="Z288" s="1002"/>
      <c r="BK288" s="256"/>
      <c r="BO288" s="1363"/>
      <c r="BX288" s="257"/>
      <c r="BY288" s="256"/>
      <c r="BZ288" s="258"/>
      <c r="CA288" s="258"/>
      <c r="CB288" s="256"/>
      <c r="CC288" s="1013"/>
      <c r="CD288" s="1012"/>
      <c r="CE288" s="268"/>
      <c r="CF288" s="411"/>
      <c r="CG288" s="419"/>
      <c r="CH288" s="411"/>
      <c r="CI288" s="411"/>
      <c r="CJ288" s="411"/>
      <c r="CK288" s="419"/>
      <c r="CL288" s="411"/>
      <c r="CM288" s="411"/>
      <c r="CN288" s="411"/>
      <c r="CO288" s="419"/>
      <c r="CP288" s="411"/>
      <c r="CQ288" s="411"/>
      <c r="CR288" s="411"/>
      <c r="CS288" s="411"/>
      <c r="CT288" s="411"/>
      <c r="CU288" s="411"/>
      <c r="CV288" s="411"/>
      <c r="CW288" s="411"/>
      <c r="CX288" s="411"/>
      <c r="CY288" s="419"/>
      <c r="CZ288" s="411"/>
      <c r="DA288" s="411"/>
      <c r="DB288" s="411"/>
      <c r="DC288" s="419"/>
      <c r="DD288" s="411"/>
      <c r="DE288" s="411"/>
      <c r="DF288" s="411"/>
      <c r="DG288" s="419"/>
      <c r="DH288" s="411"/>
      <c r="DI288" s="411"/>
      <c r="DJ288" s="411"/>
      <c r="DK288" s="411"/>
      <c r="DL288" s="411"/>
      <c r="DM288" s="411"/>
      <c r="DN288" s="411"/>
      <c r="DO288" s="411"/>
      <c r="DP288" s="411"/>
      <c r="DQ288" s="411"/>
      <c r="DR288" s="411"/>
      <c r="DS288" s="411"/>
      <c r="DT288" s="411"/>
      <c r="DU288" s="419"/>
      <c r="DV288" s="411"/>
      <c r="DW288" s="411"/>
      <c r="DX288" s="415"/>
      <c r="DY288" s="268"/>
      <c r="DZ288" s="268"/>
      <c r="EA288" s="268"/>
      <c r="EB288" s="268"/>
      <c r="EC288" s="268"/>
      <c r="ED288" s="268"/>
      <c r="EE288" s="268"/>
      <c r="EF288" s="268"/>
      <c r="EG288" s="268"/>
      <c r="EH288" s="268"/>
      <c r="EI288" s="268"/>
      <c r="EJ288" s="268"/>
    </row>
    <row r="289" spans="1:140" s="269" customFormat="1" x14ac:dyDescent="0.2">
      <c r="A289" s="288"/>
      <c r="B289" s="267"/>
      <c r="D289" s="264"/>
      <c r="E289" s="467"/>
      <c r="F289" s="264"/>
      <c r="G289" s="400"/>
      <c r="H289" s="264"/>
      <c r="I289" s="467"/>
      <c r="J289" s="264"/>
      <c r="K289" s="264"/>
      <c r="L289" s="264"/>
      <c r="M289" s="264"/>
      <c r="N289" s="264"/>
      <c r="O289" s="264"/>
      <c r="P289" s="264"/>
      <c r="Q289" s="264"/>
      <c r="R289" s="264"/>
      <c r="S289" s="264"/>
      <c r="T289" s="264"/>
      <c r="U289" s="264"/>
      <c r="V289" s="264"/>
      <c r="W289" s="283"/>
      <c r="X289" s="288"/>
      <c r="Z289" s="1002"/>
      <c r="BK289" s="256"/>
      <c r="BO289" s="1363"/>
      <c r="BX289" s="257"/>
      <c r="BY289" s="256"/>
      <c r="BZ289" s="258"/>
      <c r="CA289" s="258"/>
      <c r="CB289" s="256"/>
      <c r="CC289" s="1013"/>
      <c r="CD289" s="1012"/>
      <c r="CE289" s="268"/>
      <c r="CF289" s="411"/>
      <c r="CG289" s="419"/>
      <c r="CH289" s="411"/>
      <c r="CI289" s="411"/>
      <c r="CJ289" s="411"/>
      <c r="CK289" s="419"/>
      <c r="CL289" s="411"/>
      <c r="CM289" s="411"/>
      <c r="CN289" s="411"/>
      <c r="CO289" s="419"/>
      <c r="CP289" s="411"/>
      <c r="CQ289" s="411"/>
      <c r="CR289" s="411"/>
      <c r="CS289" s="411"/>
      <c r="CT289" s="411"/>
      <c r="CU289" s="411"/>
      <c r="CV289" s="411"/>
      <c r="CW289" s="411"/>
      <c r="CX289" s="411"/>
      <c r="CY289" s="419"/>
      <c r="CZ289" s="411"/>
      <c r="DA289" s="411"/>
      <c r="DB289" s="411"/>
      <c r="DC289" s="419"/>
      <c r="DD289" s="411"/>
      <c r="DE289" s="411"/>
      <c r="DF289" s="411"/>
      <c r="DG289" s="419"/>
      <c r="DH289" s="411"/>
      <c r="DI289" s="411"/>
      <c r="DJ289" s="411"/>
      <c r="DK289" s="411"/>
      <c r="DL289" s="411"/>
      <c r="DM289" s="411"/>
      <c r="DN289" s="411"/>
      <c r="DO289" s="411"/>
      <c r="DP289" s="411"/>
      <c r="DQ289" s="411"/>
      <c r="DR289" s="411"/>
      <c r="DS289" s="411"/>
      <c r="DT289" s="411"/>
      <c r="DU289" s="419"/>
      <c r="DV289" s="411"/>
      <c r="DW289" s="411"/>
      <c r="DX289" s="415"/>
      <c r="DY289" s="268"/>
      <c r="DZ289" s="268"/>
      <c r="EA289" s="268"/>
      <c r="EB289" s="268"/>
      <c r="EC289" s="268"/>
      <c r="ED289" s="268"/>
      <c r="EE289" s="268"/>
      <c r="EF289" s="268"/>
      <c r="EG289" s="268"/>
      <c r="EH289" s="268"/>
      <c r="EI289" s="268"/>
      <c r="EJ289" s="268"/>
    </row>
    <row r="290" spans="1:140" s="269" customFormat="1" x14ac:dyDescent="0.2">
      <c r="A290" s="288"/>
      <c r="B290" s="267"/>
      <c r="D290" s="264"/>
      <c r="E290" s="467"/>
      <c r="F290" s="264"/>
      <c r="G290" s="400"/>
      <c r="H290" s="264"/>
      <c r="I290" s="467"/>
      <c r="J290" s="264"/>
      <c r="K290" s="264"/>
      <c r="L290" s="264"/>
      <c r="M290" s="264"/>
      <c r="N290" s="264"/>
      <c r="O290" s="264"/>
      <c r="P290" s="264"/>
      <c r="Q290" s="264"/>
      <c r="R290" s="264"/>
      <c r="S290" s="264"/>
      <c r="T290" s="264"/>
      <c r="U290" s="264"/>
      <c r="V290" s="264"/>
      <c r="W290" s="283"/>
      <c r="X290" s="288"/>
      <c r="Z290" s="1002"/>
      <c r="BK290" s="256"/>
      <c r="BO290" s="1363"/>
      <c r="BX290" s="257"/>
      <c r="BY290" s="256"/>
      <c r="BZ290" s="258"/>
      <c r="CA290" s="258"/>
      <c r="CB290" s="256"/>
      <c r="CC290" s="1013"/>
      <c r="CD290" s="1012"/>
      <c r="CE290" s="268"/>
      <c r="CF290" s="411"/>
      <c r="CG290" s="419"/>
      <c r="CH290" s="411"/>
      <c r="CI290" s="411"/>
      <c r="CJ290" s="411"/>
      <c r="CK290" s="419"/>
      <c r="CL290" s="411"/>
      <c r="CM290" s="411"/>
      <c r="CN290" s="411"/>
      <c r="CO290" s="419"/>
      <c r="CP290" s="411"/>
      <c r="CQ290" s="411"/>
      <c r="CR290" s="411"/>
      <c r="CS290" s="411"/>
      <c r="CT290" s="411"/>
      <c r="CU290" s="411"/>
      <c r="CV290" s="411"/>
      <c r="CW290" s="411"/>
      <c r="CX290" s="411"/>
      <c r="CY290" s="419"/>
      <c r="CZ290" s="411"/>
      <c r="DA290" s="411"/>
      <c r="DB290" s="411"/>
      <c r="DC290" s="419"/>
      <c r="DD290" s="411"/>
      <c r="DE290" s="411"/>
      <c r="DF290" s="411"/>
      <c r="DG290" s="419"/>
      <c r="DH290" s="411"/>
      <c r="DI290" s="411"/>
      <c r="DJ290" s="411"/>
      <c r="DK290" s="411"/>
      <c r="DL290" s="411"/>
      <c r="DM290" s="411"/>
      <c r="DN290" s="411"/>
      <c r="DO290" s="411"/>
      <c r="DP290" s="411"/>
      <c r="DQ290" s="411"/>
      <c r="DR290" s="411"/>
      <c r="DS290" s="411"/>
      <c r="DT290" s="411"/>
      <c r="DU290" s="419"/>
      <c r="DV290" s="411"/>
      <c r="DW290" s="411"/>
      <c r="DX290" s="415"/>
      <c r="DY290" s="268"/>
      <c r="DZ290" s="268"/>
      <c r="EA290" s="268"/>
      <c r="EB290" s="268"/>
      <c r="EC290" s="268"/>
      <c r="ED290" s="268"/>
      <c r="EE290" s="268"/>
      <c r="EF290" s="268"/>
      <c r="EG290" s="268"/>
      <c r="EH290" s="268"/>
      <c r="EI290" s="268"/>
      <c r="EJ290" s="268"/>
    </row>
    <row r="291" spans="1:140" s="269" customFormat="1" x14ac:dyDescent="0.2">
      <c r="A291" s="288"/>
      <c r="B291" s="267"/>
      <c r="D291" s="264"/>
      <c r="E291" s="467"/>
      <c r="F291" s="264"/>
      <c r="G291" s="400"/>
      <c r="H291" s="264"/>
      <c r="I291" s="467"/>
      <c r="J291" s="264"/>
      <c r="K291" s="264"/>
      <c r="L291" s="264"/>
      <c r="M291" s="264"/>
      <c r="N291" s="264"/>
      <c r="O291" s="264"/>
      <c r="P291" s="264"/>
      <c r="Q291" s="264"/>
      <c r="R291" s="264"/>
      <c r="S291" s="264"/>
      <c r="T291" s="264"/>
      <c r="U291" s="264"/>
      <c r="V291" s="264"/>
      <c r="W291" s="283"/>
      <c r="X291" s="288"/>
      <c r="Z291" s="1002"/>
      <c r="AS291" s="1355"/>
      <c r="BK291" s="256"/>
      <c r="BO291" s="1363"/>
      <c r="BX291" s="257"/>
      <c r="BY291" s="256"/>
      <c r="BZ291" s="258"/>
      <c r="CA291" s="258"/>
      <c r="CB291" s="256"/>
      <c r="CC291" s="1013"/>
      <c r="CD291" s="1012"/>
      <c r="CE291" s="268"/>
      <c r="CF291" s="411"/>
      <c r="CG291" s="419"/>
      <c r="CH291" s="411"/>
      <c r="CI291" s="411"/>
      <c r="CJ291" s="411"/>
      <c r="CK291" s="419"/>
      <c r="CL291" s="411"/>
      <c r="CM291" s="411"/>
      <c r="CN291" s="411"/>
      <c r="CO291" s="419"/>
      <c r="CP291" s="411"/>
      <c r="CQ291" s="411"/>
      <c r="CR291" s="411"/>
      <c r="CS291" s="411"/>
      <c r="CT291" s="411"/>
      <c r="CU291" s="411"/>
      <c r="CV291" s="411"/>
      <c r="CW291" s="411"/>
      <c r="CX291" s="411"/>
      <c r="CY291" s="419"/>
      <c r="CZ291" s="411"/>
      <c r="DA291" s="411"/>
      <c r="DB291" s="411"/>
      <c r="DC291" s="419"/>
      <c r="DD291" s="411"/>
      <c r="DE291" s="411"/>
      <c r="DF291" s="411"/>
      <c r="DG291" s="419"/>
      <c r="DH291" s="411"/>
      <c r="DI291" s="411"/>
      <c r="DJ291" s="411"/>
      <c r="DK291" s="411"/>
      <c r="DL291" s="411"/>
      <c r="DM291" s="411"/>
      <c r="DN291" s="411"/>
      <c r="DO291" s="411"/>
      <c r="DP291" s="411"/>
      <c r="DQ291" s="411"/>
      <c r="DR291" s="411"/>
      <c r="DS291" s="411"/>
      <c r="DT291" s="411"/>
      <c r="DU291" s="419"/>
      <c r="DV291" s="411"/>
      <c r="DW291" s="411"/>
      <c r="DX291" s="415"/>
      <c r="DY291" s="268"/>
      <c r="DZ291" s="268"/>
      <c r="EA291" s="268"/>
      <c r="EB291" s="268"/>
      <c r="EC291" s="268"/>
      <c r="ED291" s="268"/>
      <c r="EE291" s="268"/>
      <c r="EF291" s="268"/>
      <c r="EG291" s="268"/>
      <c r="EH291" s="268"/>
      <c r="EI291" s="268"/>
      <c r="EJ291" s="268"/>
    </row>
    <row r="292" spans="1:140" s="269" customFormat="1" x14ac:dyDescent="0.2">
      <c r="A292" s="288"/>
      <c r="B292" s="267"/>
      <c r="D292" s="264"/>
      <c r="E292" s="467"/>
      <c r="F292" s="264"/>
      <c r="G292" s="400"/>
      <c r="H292" s="264"/>
      <c r="I292" s="467"/>
      <c r="J292" s="264"/>
      <c r="K292" s="264"/>
      <c r="L292" s="264"/>
      <c r="M292" s="264"/>
      <c r="N292" s="264"/>
      <c r="O292" s="264"/>
      <c r="P292" s="264"/>
      <c r="Q292" s="264"/>
      <c r="R292" s="264"/>
      <c r="S292" s="264"/>
      <c r="T292" s="264"/>
      <c r="U292" s="264"/>
      <c r="V292" s="264"/>
      <c r="W292" s="283"/>
      <c r="X292" s="288"/>
      <c r="Z292" s="1002"/>
      <c r="AS292" s="1355"/>
      <c r="BK292" s="256"/>
      <c r="BO292" s="1363"/>
      <c r="BX292" s="257"/>
      <c r="BY292" s="256"/>
      <c r="BZ292" s="258"/>
      <c r="CA292" s="258"/>
      <c r="CB292" s="256"/>
      <c r="CC292" s="1013"/>
      <c r="CD292" s="1012"/>
      <c r="CE292" s="268"/>
      <c r="CF292" s="411"/>
      <c r="CG292" s="419"/>
      <c r="CH292" s="411"/>
      <c r="CI292" s="411"/>
      <c r="CJ292" s="411"/>
      <c r="CK292" s="419"/>
      <c r="CL292" s="411"/>
      <c r="CM292" s="411"/>
      <c r="CN292" s="411"/>
      <c r="CO292" s="419"/>
      <c r="CP292" s="411"/>
      <c r="CQ292" s="411"/>
      <c r="CR292" s="411"/>
      <c r="CS292" s="411"/>
      <c r="CT292" s="411"/>
      <c r="CU292" s="411"/>
      <c r="CV292" s="411"/>
      <c r="CW292" s="411"/>
      <c r="CX292" s="411"/>
      <c r="CY292" s="419"/>
      <c r="CZ292" s="411"/>
      <c r="DA292" s="411"/>
      <c r="DB292" s="411"/>
      <c r="DC292" s="419"/>
      <c r="DD292" s="411"/>
      <c r="DE292" s="411"/>
      <c r="DF292" s="411"/>
      <c r="DG292" s="419"/>
      <c r="DH292" s="411"/>
      <c r="DI292" s="411"/>
      <c r="DJ292" s="411"/>
      <c r="DK292" s="411"/>
      <c r="DL292" s="411"/>
      <c r="DM292" s="411"/>
      <c r="DN292" s="411"/>
      <c r="DO292" s="411"/>
      <c r="DP292" s="411"/>
      <c r="DQ292" s="411"/>
      <c r="DR292" s="411"/>
      <c r="DS292" s="411"/>
      <c r="DT292" s="411"/>
      <c r="DU292" s="419"/>
      <c r="DV292" s="411"/>
      <c r="DW292" s="411"/>
      <c r="DX292" s="415"/>
      <c r="DY292" s="268"/>
      <c r="DZ292" s="268"/>
      <c r="EA292" s="268"/>
      <c r="EB292" s="268"/>
      <c r="EC292" s="268"/>
      <c r="ED292" s="268"/>
      <c r="EE292" s="268"/>
      <c r="EF292" s="268"/>
      <c r="EG292" s="268"/>
      <c r="EH292" s="268"/>
      <c r="EI292" s="268"/>
      <c r="EJ292" s="268"/>
    </row>
    <row r="293" spans="1:140" s="269" customFormat="1" x14ac:dyDescent="0.2">
      <c r="A293" s="288"/>
      <c r="B293" s="267"/>
      <c r="D293" s="264"/>
      <c r="E293" s="467"/>
      <c r="F293" s="264"/>
      <c r="G293" s="400"/>
      <c r="H293" s="264"/>
      <c r="I293" s="467"/>
      <c r="J293" s="264"/>
      <c r="K293" s="264"/>
      <c r="L293" s="264"/>
      <c r="M293" s="264"/>
      <c r="N293" s="264"/>
      <c r="O293" s="264"/>
      <c r="P293" s="264"/>
      <c r="Q293" s="264"/>
      <c r="R293" s="264"/>
      <c r="S293" s="264"/>
      <c r="T293" s="264"/>
      <c r="U293" s="264"/>
      <c r="V293" s="264"/>
      <c r="W293" s="283"/>
      <c r="X293" s="288"/>
      <c r="Z293" s="1002"/>
      <c r="AS293" s="1355"/>
      <c r="BK293" s="256"/>
      <c r="BO293" s="1363"/>
      <c r="BX293" s="257"/>
      <c r="BY293" s="256"/>
      <c r="BZ293" s="258"/>
      <c r="CA293" s="258"/>
      <c r="CB293" s="256"/>
      <c r="CC293" s="1013"/>
      <c r="CD293" s="1012"/>
      <c r="CE293" s="268"/>
      <c r="CF293" s="411"/>
      <c r="CG293" s="419"/>
      <c r="CH293" s="411"/>
      <c r="CI293" s="411"/>
      <c r="CJ293" s="411"/>
      <c r="CK293" s="419"/>
      <c r="CL293" s="411"/>
      <c r="CM293" s="411"/>
      <c r="CN293" s="411"/>
      <c r="CO293" s="419"/>
      <c r="CP293" s="411"/>
      <c r="CQ293" s="411"/>
      <c r="CR293" s="411"/>
      <c r="CS293" s="411"/>
      <c r="CT293" s="411"/>
      <c r="CU293" s="411"/>
      <c r="CV293" s="411"/>
      <c r="CW293" s="411"/>
      <c r="CX293" s="411"/>
      <c r="CY293" s="419"/>
      <c r="CZ293" s="411"/>
      <c r="DA293" s="411"/>
      <c r="DB293" s="411"/>
      <c r="DC293" s="419"/>
      <c r="DD293" s="411"/>
      <c r="DE293" s="411"/>
      <c r="DF293" s="411"/>
      <c r="DG293" s="419"/>
      <c r="DH293" s="411"/>
      <c r="DI293" s="411"/>
      <c r="DJ293" s="411"/>
      <c r="DK293" s="411"/>
      <c r="DL293" s="411"/>
      <c r="DM293" s="411"/>
      <c r="DN293" s="411"/>
      <c r="DO293" s="411"/>
      <c r="DP293" s="411"/>
      <c r="DQ293" s="411"/>
      <c r="DR293" s="411"/>
      <c r="DS293" s="411"/>
      <c r="DT293" s="411"/>
      <c r="DU293" s="419"/>
      <c r="DV293" s="411"/>
      <c r="DW293" s="411"/>
      <c r="DX293" s="415"/>
      <c r="DY293" s="268"/>
      <c r="DZ293" s="268"/>
      <c r="EA293" s="268"/>
      <c r="EB293" s="268"/>
      <c r="EC293" s="268"/>
      <c r="ED293" s="268"/>
      <c r="EE293" s="268"/>
      <c r="EF293" s="268"/>
      <c r="EG293" s="268"/>
      <c r="EH293" s="268"/>
      <c r="EI293" s="268"/>
      <c r="EJ293" s="268"/>
    </row>
    <row r="294" spans="1:140" s="269" customFormat="1" x14ac:dyDescent="0.2">
      <c r="A294" s="288"/>
      <c r="B294" s="267"/>
      <c r="D294" s="264"/>
      <c r="E294" s="467"/>
      <c r="F294" s="264"/>
      <c r="G294" s="400"/>
      <c r="H294" s="264"/>
      <c r="I294" s="467"/>
      <c r="J294" s="264"/>
      <c r="K294" s="264"/>
      <c r="L294" s="264"/>
      <c r="M294" s="264"/>
      <c r="N294" s="264"/>
      <c r="O294" s="264"/>
      <c r="P294" s="264"/>
      <c r="Q294" s="264"/>
      <c r="R294" s="264"/>
      <c r="S294" s="264"/>
      <c r="T294" s="264"/>
      <c r="U294" s="264"/>
      <c r="V294" s="264"/>
      <c r="W294" s="283"/>
      <c r="X294" s="288"/>
      <c r="Z294" s="1002"/>
      <c r="AS294" s="1355"/>
      <c r="BK294" s="256"/>
      <c r="BO294" s="1363"/>
      <c r="BX294" s="257"/>
      <c r="BY294" s="256"/>
      <c r="BZ294" s="258"/>
      <c r="CA294" s="258"/>
      <c r="CB294" s="256"/>
      <c r="CC294" s="1013"/>
      <c r="CD294" s="1012"/>
      <c r="CE294" s="268"/>
      <c r="CF294" s="411"/>
      <c r="CG294" s="419"/>
      <c r="CH294" s="411"/>
      <c r="CI294" s="411"/>
      <c r="CJ294" s="411"/>
      <c r="CK294" s="419"/>
      <c r="CL294" s="411"/>
      <c r="CM294" s="411"/>
      <c r="CN294" s="411"/>
      <c r="CO294" s="419"/>
      <c r="CP294" s="411"/>
      <c r="CQ294" s="411"/>
      <c r="CR294" s="411"/>
      <c r="CS294" s="411"/>
      <c r="CT294" s="411"/>
      <c r="CU294" s="411"/>
      <c r="CV294" s="411"/>
      <c r="CW294" s="411"/>
      <c r="CX294" s="411"/>
      <c r="CY294" s="419"/>
      <c r="CZ294" s="411"/>
      <c r="DA294" s="411"/>
      <c r="DB294" s="411"/>
      <c r="DC294" s="419"/>
      <c r="DD294" s="411"/>
      <c r="DE294" s="411"/>
      <c r="DF294" s="411"/>
      <c r="DG294" s="419"/>
      <c r="DH294" s="411"/>
      <c r="DI294" s="411"/>
      <c r="DJ294" s="411"/>
      <c r="DK294" s="411"/>
      <c r="DL294" s="411"/>
      <c r="DM294" s="411"/>
      <c r="DN294" s="411"/>
      <c r="DO294" s="411"/>
      <c r="DP294" s="411"/>
      <c r="DQ294" s="411"/>
      <c r="DR294" s="411"/>
      <c r="DS294" s="411"/>
      <c r="DT294" s="411"/>
      <c r="DU294" s="419"/>
      <c r="DV294" s="411"/>
      <c r="DW294" s="411"/>
      <c r="DX294" s="415"/>
      <c r="DY294" s="268"/>
      <c r="DZ294" s="268"/>
      <c r="EA294" s="268"/>
      <c r="EB294" s="268"/>
      <c r="EC294" s="268"/>
      <c r="ED294" s="268"/>
      <c r="EE294" s="268"/>
      <c r="EF294" s="268"/>
      <c r="EG294" s="268"/>
      <c r="EH294" s="268"/>
      <c r="EI294" s="268"/>
      <c r="EJ294" s="268"/>
    </row>
    <row r="295" spans="1:140" s="269" customFormat="1" x14ac:dyDescent="0.2">
      <c r="A295" s="288"/>
      <c r="B295" s="267"/>
      <c r="D295" s="264"/>
      <c r="E295" s="467"/>
      <c r="F295" s="264"/>
      <c r="G295" s="400"/>
      <c r="H295" s="264"/>
      <c r="I295" s="467"/>
      <c r="J295" s="264"/>
      <c r="K295" s="264"/>
      <c r="L295" s="264"/>
      <c r="M295" s="264"/>
      <c r="N295" s="264"/>
      <c r="O295" s="264"/>
      <c r="P295" s="264"/>
      <c r="Q295" s="264"/>
      <c r="R295" s="264"/>
      <c r="S295" s="264"/>
      <c r="T295" s="264"/>
      <c r="U295" s="264"/>
      <c r="V295" s="264"/>
      <c r="W295" s="283"/>
      <c r="X295" s="288"/>
      <c r="Z295" s="1002"/>
      <c r="AS295" s="1355"/>
      <c r="BK295" s="256"/>
      <c r="BO295" s="1363"/>
      <c r="BX295" s="257"/>
      <c r="BY295" s="256"/>
      <c r="BZ295" s="258"/>
      <c r="CA295" s="258"/>
      <c r="CB295" s="256"/>
      <c r="CC295" s="1013"/>
      <c r="CD295" s="1012"/>
      <c r="CE295" s="268"/>
      <c r="CF295" s="411"/>
      <c r="CG295" s="419"/>
      <c r="CH295" s="411"/>
      <c r="CI295" s="411"/>
      <c r="CJ295" s="411"/>
      <c r="CK295" s="419"/>
      <c r="CL295" s="411"/>
      <c r="CM295" s="411"/>
      <c r="CN295" s="411"/>
      <c r="CO295" s="419"/>
      <c r="CP295" s="411"/>
      <c r="CQ295" s="411"/>
      <c r="CR295" s="411"/>
      <c r="CS295" s="411"/>
      <c r="CT295" s="411"/>
      <c r="CU295" s="411"/>
      <c r="CV295" s="411"/>
      <c r="CW295" s="411"/>
      <c r="CX295" s="411"/>
      <c r="CY295" s="419"/>
      <c r="CZ295" s="411"/>
      <c r="DA295" s="411"/>
      <c r="DB295" s="411"/>
      <c r="DC295" s="419"/>
      <c r="DD295" s="411"/>
      <c r="DE295" s="411"/>
      <c r="DF295" s="411"/>
      <c r="DG295" s="419"/>
      <c r="DH295" s="411"/>
      <c r="DI295" s="411"/>
      <c r="DJ295" s="411"/>
      <c r="DK295" s="411"/>
      <c r="DL295" s="411"/>
      <c r="DM295" s="411"/>
      <c r="DN295" s="411"/>
      <c r="DO295" s="411"/>
      <c r="DP295" s="411"/>
      <c r="DQ295" s="411"/>
      <c r="DR295" s="411"/>
      <c r="DS295" s="411"/>
      <c r="DT295" s="411"/>
      <c r="DU295" s="419"/>
      <c r="DV295" s="411"/>
      <c r="DW295" s="411"/>
      <c r="DX295" s="415"/>
      <c r="DY295" s="268"/>
      <c r="DZ295" s="268"/>
      <c r="EA295" s="268"/>
      <c r="EB295" s="268"/>
      <c r="EC295" s="268"/>
      <c r="ED295" s="268"/>
      <c r="EE295" s="268"/>
      <c r="EF295" s="268"/>
      <c r="EG295" s="268"/>
      <c r="EH295" s="268"/>
      <c r="EI295" s="268"/>
      <c r="EJ295" s="268"/>
    </row>
    <row r="296" spans="1:140" s="269" customFormat="1" x14ac:dyDescent="0.2">
      <c r="A296" s="288"/>
      <c r="B296" s="267"/>
      <c r="D296" s="264"/>
      <c r="E296" s="467"/>
      <c r="F296" s="264"/>
      <c r="G296" s="400"/>
      <c r="H296" s="264"/>
      <c r="I296" s="467"/>
      <c r="J296" s="264"/>
      <c r="K296" s="264"/>
      <c r="L296" s="264"/>
      <c r="M296" s="264"/>
      <c r="N296" s="264"/>
      <c r="O296" s="264"/>
      <c r="P296" s="264"/>
      <c r="Q296" s="264"/>
      <c r="R296" s="264"/>
      <c r="S296" s="264"/>
      <c r="T296" s="264"/>
      <c r="U296" s="264"/>
      <c r="V296" s="264"/>
      <c r="W296" s="283"/>
      <c r="X296" s="288"/>
      <c r="Z296" s="1002"/>
      <c r="AS296" s="1355"/>
      <c r="BK296" s="256"/>
      <c r="BO296" s="1363"/>
      <c r="BX296" s="257"/>
      <c r="BY296" s="256"/>
      <c r="BZ296" s="258"/>
      <c r="CA296" s="258"/>
      <c r="CB296" s="256"/>
      <c r="CC296" s="1013"/>
      <c r="CD296" s="1012"/>
      <c r="CE296" s="268"/>
      <c r="CF296" s="411"/>
      <c r="CG296" s="419"/>
      <c r="CH296" s="411"/>
      <c r="CI296" s="411"/>
      <c r="CJ296" s="411"/>
      <c r="CK296" s="419"/>
      <c r="CL296" s="411"/>
      <c r="CM296" s="411"/>
      <c r="CN296" s="411"/>
      <c r="CO296" s="419"/>
      <c r="CP296" s="411"/>
      <c r="CQ296" s="411"/>
      <c r="CR296" s="411"/>
      <c r="CS296" s="411"/>
      <c r="CT296" s="411"/>
      <c r="CU296" s="411"/>
      <c r="CV296" s="411"/>
      <c r="CW296" s="411"/>
      <c r="CX296" s="411"/>
      <c r="CY296" s="419"/>
      <c r="CZ296" s="411"/>
      <c r="DA296" s="411"/>
      <c r="DB296" s="411"/>
      <c r="DC296" s="419"/>
      <c r="DD296" s="411"/>
      <c r="DE296" s="411"/>
      <c r="DF296" s="411"/>
      <c r="DG296" s="419"/>
      <c r="DH296" s="411"/>
      <c r="DI296" s="411"/>
      <c r="DJ296" s="411"/>
      <c r="DK296" s="411"/>
      <c r="DL296" s="411"/>
      <c r="DM296" s="411"/>
      <c r="DN296" s="411"/>
      <c r="DO296" s="411"/>
      <c r="DP296" s="411"/>
      <c r="DQ296" s="411"/>
      <c r="DR296" s="411"/>
      <c r="DS296" s="411"/>
      <c r="DT296" s="411"/>
      <c r="DU296" s="419"/>
      <c r="DV296" s="411"/>
      <c r="DW296" s="411"/>
      <c r="DX296" s="415"/>
      <c r="DY296" s="268"/>
      <c r="DZ296" s="268"/>
      <c r="EA296" s="268"/>
      <c r="EB296" s="268"/>
      <c r="EC296" s="268"/>
      <c r="ED296" s="268"/>
      <c r="EE296" s="268"/>
      <c r="EF296" s="268"/>
      <c r="EG296" s="268"/>
      <c r="EH296" s="268"/>
      <c r="EI296" s="268"/>
      <c r="EJ296" s="268"/>
    </row>
    <row r="297" spans="1:140" s="269" customFormat="1" x14ac:dyDescent="0.2">
      <c r="A297" s="288"/>
      <c r="B297" s="267"/>
      <c r="D297" s="264"/>
      <c r="E297" s="467"/>
      <c r="F297" s="264"/>
      <c r="G297" s="400"/>
      <c r="H297" s="264"/>
      <c r="I297" s="467"/>
      <c r="J297" s="264"/>
      <c r="K297" s="264"/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  <c r="V297" s="264"/>
      <c r="W297" s="283"/>
      <c r="X297" s="288"/>
      <c r="Z297" s="1002"/>
      <c r="AS297" s="1355"/>
      <c r="BK297" s="256"/>
      <c r="BO297" s="1363"/>
      <c r="BX297" s="257"/>
      <c r="BY297" s="256"/>
      <c r="BZ297" s="258"/>
      <c r="CA297" s="258"/>
      <c r="CB297" s="256"/>
      <c r="CC297" s="1013"/>
      <c r="CD297" s="1012"/>
      <c r="CE297" s="268"/>
      <c r="CF297" s="411"/>
      <c r="CG297" s="419"/>
      <c r="CH297" s="411"/>
      <c r="CI297" s="411"/>
      <c r="CJ297" s="411"/>
      <c r="CK297" s="419"/>
      <c r="CL297" s="411"/>
      <c r="CM297" s="411"/>
      <c r="CN297" s="411"/>
      <c r="CO297" s="419"/>
      <c r="CP297" s="411"/>
      <c r="CQ297" s="411"/>
      <c r="CR297" s="411"/>
      <c r="CS297" s="411"/>
      <c r="CT297" s="411"/>
      <c r="CU297" s="411"/>
      <c r="CV297" s="411"/>
      <c r="CW297" s="411"/>
      <c r="CX297" s="411"/>
      <c r="CY297" s="419"/>
      <c r="CZ297" s="411"/>
      <c r="DA297" s="411"/>
      <c r="DB297" s="411"/>
      <c r="DC297" s="419"/>
      <c r="DD297" s="411"/>
      <c r="DE297" s="411"/>
      <c r="DF297" s="411"/>
      <c r="DG297" s="419"/>
      <c r="DH297" s="411"/>
      <c r="DI297" s="411"/>
      <c r="DJ297" s="411"/>
      <c r="DK297" s="411"/>
      <c r="DL297" s="411"/>
      <c r="DM297" s="411"/>
      <c r="DN297" s="411"/>
      <c r="DO297" s="411"/>
      <c r="DP297" s="411"/>
      <c r="DQ297" s="411"/>
      <c r="DR297" s="411"/>
      <c r="DS297" s="411"/>
      <c r="DT297" s="411"/>
      <c r="DU297" s="419"/>
      <c r="DV297" s="411"/>
      <c r="DW297" s="411"/>
      <c r="DX297" s="415"/>
      <c r="DY297" s="268"/>
      <c r="DZ297" s="268"/>
      <c r="EA297" s="268"/>
      <c r="EB297" s="268"/>
      <c r="EC297" s="268"/>
      <c r="ED297" s="268"/>
      <c r="EE297" s="268"/>
      <c r="EF297" s="268"/>
      <c r="EG297" s="268"/>
      <c r="EH297" s="268"/>
      <c r="EI297" s="268"/>
      <c r="EJ297" s="268"/>
    </row>
    <row r="298" spans="1:140" s="269" customFormat="1" x14ac:dyDescent="0.2">
      <c r="A298" s="288"/>
      <c r="B298" s="267"/>
      <c r="D298" s="264"/>
      <c r="E298" s="467"/>
      <c r="F298" s="264"/>
      <c r="G298" s="400"/>
      <c r="H298" s="264"/>
      <c r="I298" s="467"/>
      <c r="J298" s="264"/>
      <c r="K298" s="264"/>
      <c r="L298" s="264"/>
      <c r="M298" s="264"/>
      <c r="N298" s="264"/>
      <c r="O298" s="264"/>
      <c r="P298" s="264"/>
      <c r="Q298" s="264"/>
      <c r="R298" s="264"/>
      <c r="S298" s="264"/>
      <c r="T298" s="264"/>
      <c r="U298" s="264"/>
      <c r="V298" s="264"/>
      <c r="W298" s="283"/>
      <c r="X298" s="288"/>
      <c r="Z298" s="1002"/>
      <c r="AS298" s="1355"/>
      <c r="BK298" s="256"/>
      <c r="BO298" s="1363"/>
      <c r="BX298" s="257"/>
      <c r="BY298" s="256"/>
      <c r="BZ298" s="258"/>
      <c r="CA298" s="258"/>
      <c r="CB298" s="256"/>
      <c r="CC298" s="1013"/>
      <c r="CD298" s="1012"/>
      <c r="CE298" s="268"/>
      <c r="CF298" s="411"/>
      <c r="CG298" s="419"/>
      <c r="CH298" s="411"/>
      <c r="CI298" s="411"/>
      <c r="CJ298" s="411"/>
      <c r="CK298" s="419"/>
      <c r="CL298" s="411"/>
      <c r="CM298" s="411"/>
      <c r="CN298" s="411"/>
      <c r="CO298" s="419"/>
      <c r="CP298" s="411"/>
      <c r="CQ298" s="411"/>
      <c r="CR298" s="411"/>
      <c r="CS298" s="411"/>
      <c r="CT298" s="411"/>
      <c r="CU298" s="411"/>
      <c r="CV298" s="411"/>
      <c r="CW298" s="411"/>
      <c r="CX298" s="411"/>
      <c r="CY298" s="419"/>
      <c r="CZ298" s="411"/>
      <c r="DA298" s="411"/>
      <c r="DB298" s="411"/>
      <c r="DC298" s="419"/>
      <c r="DD298" s="411"/>
      <c r="DE298" s="411"/>
      <c r="DF298" s="411"/>
      <c r="DG298" s="419"/>
      <c r="DH298" s="411"/>
      <c r="DI298" s="411"/>
      <c r="DJ298" s="411"/>
      <c r="DK298" s="411"/>
      <c r="DL298" s="411"/>
      <c r="DM298" s="411"/>
      <c r="DN298" s="411"/>
      <c r="DO298" s="411"/>
      <c r="DP298" s="411"/>
      <c r="DQ298" s="411"/>
      <c r="DR298" s="411"/>
      <c r="DS298" s="411"/>
      <c r="DT298" s="411"/>
      <c r="DU298" s="419"/>
      <c r="DV298" s="411"/>
      <c r="DW298" s="411"/>
      <c r="DX298" s="415"/>
      <c r="DY298" s="268"/>
      <c r="DZ298" s="268"/>
      <c r="EA298" s="268"/>
      <c r="EB298" s="268"/>
      <c r="EC298" s="268"/>
      <c r="ED298" s="268"/>
      <c r="EE298" s="268"/>
      <c r="EF298" s="268"/>
      <c r="EG298" s="268"/>
      <c r="EH298" s="268"/>
      <c r="EI298" s="268"/>
      <c r="EJ298" s="268"/>
    </row>
    <row r="299" spans="1:140" s="269" customFormat="1" x14ac:dyDescent="0.2">
      <c r="A299" s="288"/>
      <c r="B299" s="267"/>
      <c r="D299" s="264"/>
      <c r="E299" s="467"/>
      <c r="F299" s="264"/>
      <c r="G299" s="400"/>
      <c r="H299" s="264"/>
      <c r="I299" s="467"/>
      <c r="J299" s="264"/>
      <c r="K299" s="264"/>
      <c r="L299" s="264"/>
      <c r="M299" s="264"/>
      <c r="N299" s="264"/>
      <c r="O299" s="264"/>
      <c r="P299" s="264"/>
      <c r="Q299" s="264"/>
      <c r="R299" s="264"/>
      <c r="S299" s="264"/>
      <c r="T299" s="264"/>
      <c r="U299" s="264"/>
      <c r="V299" s="264"/>
      <c r="W299" s="283"/>
      <c r="X299" s="288"/>
      <c r="Z299" s="1002"/>
      <c r="AS299" s="1355"/>
      <c r="BK299" s="256"/>
      <c r="BO299" s="1363"/>
      <c r="BX299" s="257"/>
      <c r="BY299" s="256"/>
      <c r="BZ299" s="258"/>
      <c r="CA299" s="258"/>
      <c r="CB299" s="256"/>
      <c r="CC299" s="1013"/>
      <c r="CD299" s="1012"/>
      <c r="CE299" s="268"/>
      <c r="CF299" s="411"/>
      <c r="CG299" s="419"/>
      <c r="CH299" s="411"/>
      <c r="CI299" s="411"/>
      <c r="CJ299" s="411"/>
      <c r="CK299" s="419"/>
      <c r="CL299" s="411"/>
      <c r="CM299" s="411"/>
      <c r="CN299" s="411"/>
      <c r="CO299" s="419"/>
      <c r="CP299" s="411"/>
      <c r="CQ299" s="411"/>
      <c r="CR299" s="411"/>
      <c r="CS299" s="411"/>
      <c r="CT299" s="411"/>
      <c r="CU299" s="411"/>
      <c r="CV299" s="411"/>
      <c r="CW299" s="411"/>
      <c r="CX299" s="411"/>
      <c r="CY299" s="419"/>
      <c r="CZ299" s="411"/>
      <c r="DA299" s="411"/>
      <c r="DB299" s="411"/>
      <c r="DC299" s="419"/>
      <c r="DD299" s="411"/>
      <c r="DE299" s="411"/>
      <c r="DF299" s="411"/>
      <c r="DG299" s="419"/>
      <c r="DH299" s="411"/>
      <c r="DI299" s="411"/>
      <c r="DJ299" s="411"/>
      <c r="DK299" s="411"/>
      <c r="DL299" s="411"/>
      <c r="DM299" s="411"/>
      <c r="DN299" s="411"/>
      <c r="DO299" s="411"/>
      <c r="DP299" s="411"/>
      <c r="DQ299" s="411"/>
      <c r="DR299" s="411"/>
      <c r="DS299" s="411"/>
      <c r="DT299" s="411"/>
      <c r="DU299" s="419"/>
      <c r="DV299" s="411"/>
      <c r="DW299" s="411"/>
      <c r="DX299" s="415"/>
      <c r="DY299" s="268"/>
      <c r="DZ299" s="268"/>
      <c r="EA299" s="268"/>
      <c r="EB299" s="268"/>
      <c r="EC299" s="268"/>
      <c r="ED299" s="268"/>
      <c r="EE299" s="268"/>
      <c r="EF299" s="268"/>
      <c r="EG299" s="268"/>
      <c r="EH299" s="268"/>
      <c r="EI299" s="268"/>
      <c r="EJ299" s="268"/>
    </row>
    <row r="300" spans="1:140" s="269" customFormat="1" x14ac:dyDescent="0.2">
      <c r="A300" s="288"/>
      <c r="B300" s="267"/>
      <c r="D300" s="264"/>
      <c r="E300" s="467"/>
      <c r="F300" s="264"/>
      <c r="G300" s="400"/>
      <c r="H300" s="264"/>
      <c r="I300" s="467"/>
      <c r="J300" s="264"/>
      <c r="K300" s="264"/>
      <c r="L300" s="264"/>
      <c r="M300" s="264"/>
      <c r="N300" s="264"/>
      <c r="O300" s="264"/>
      <c r="P300" s="264"/>
      <c r="Q300" s="264"/>
      <c r="R300" s="264"/>
      <c r="S300" s="264"/>
      <c r="T300" s="264"/>
      <c r="U300" s="264"/>
      <c r="V300" s="264"/>
      <c r="W300" s="283"/>
      <c r="X300" s="288"/>
      <c r="Z300" s="1002"/>
      <c r="AS300" s="1355"/>
      <c r="BK300" s="256"/>
      <c r="BO300" s="1363"/>
      <c r="BX300" s="257"/>
      <c r="BY300" s="256"/>
      <c r="BZ300" s="258"/>
      <c r="CA300" s="258"/>
      <c r="CB300" s="256"/>
      <c r="CC300" s="1013"/>
      <c r="CD300" s="1012"/>
      <c r="CE300" s="268"/>
      <c r="CF300" s="411"/>
      <c r="CG300" s="419"/>
      <c r="CH300" s="411"/>
      <c r="CI300" s="411"/>
      <c r="CJ300" s="411"/>
      <c r="CK300" s="419"/>
      <c r="CL300" s="411"/>
      <c r="CM300" s="411"/>
      <c r="CN300" s="411"/>
      <c r="CO300" s="419"/>
      <c r="CP300" s="411"/>
      <c r="CQ300" s="411"/>
      <c r="CR300" s="411"/>
      <c r="CS300" s="411"/>
      <c r="CT300" s="411"/>
      <c r="CU300" s="411"/>
      <c r="CV300" s="411"/>
      <c r="CW300" s="411"/>
      <c r="CX300" s="411"/>
      <c r="CY300" s="419"/>
      <c r="CZ300" s="411"/>
      <c r="DA300" s="411"/>
      <c r="DB300" s="411"/>
      <c r="DC300" s="419"/>
      <c r="DD300" s="411"/>
      <c r="DE300" s="411"/>
      <c r="DF300" s="411"/>
      <c r="DG300" s="419"/>
      <c r="DH300" s="411"/>
      <c r="DI300" s="411"/>
      <c r="DJ300" s="411"/>
      <c r="DK300" s="411"/>
      <c r="DL300" s="411"/>
      <c r="DM300" s="411"/>
      <c r="DN300" s="411"/>
      <c r="DO300" s="411"/>
      <c r="DP300" s="411"/>
      <c r="DQ300" s="411"/>
      <c r="DR300" s="411"/>
      <c r="DS300" s="411"/>
      <c r="DT300" s="411"/>
      <c r="DU300" s="419"/>
      <c r="DV300" s="411"/>
      <c r="DW300" s="411"/>
      <c r="DX300" s="415"/>
      <c r="DY300" s="268"/>
      <c r="DZ300" s="268"/>
      <c r="EA300" s="268"/>
      <c r="EB300" s="268"/>
      <c r="EC300" s="268"/>
      <c r="ED300" s="268"/>
      <c r="EE300" s="268"/>
      <c r="EF300" s="268"/>
      <c r="EG300" s="268"/>
      <c r="EH300" s="268"/>
      <c r="EI300" s="268"/>
      <c r="EJ300" s="268"/>
    </row>
    <row r="301" spans="1:140" s="269" customFormat="1" x14ac:dyDescent="0.2">
      <c r="A301" s="288"/>
      <c r="B301" s="267"/>
      <c r="D301" s="264"/>
      <c r="E301" s="467"/>
      <c r="F301" s="264"/>
      <c r="G301" s="400"/>
      <c r="H301" s="264"/>
      <c r="I301" s="467"/>
      <c r="J301" s="264"/>
      <c r="K301" s="264"/>
      <c r="L301" s="264"/>
      <c r="M301" s="264"/>
      <c r="N301" s="264"/>
      <c r="O301" s="264"/>
      <c r="P301" s="264"/>
      <c r="Q301" s="264"/>
      <c r="R301" s="264"/>
      <c r="S301" s="264"/>
      <c r="T301" s="264"/>
      <c r="U301" s="264"/>
      <c r="V301" s="264"/>
      <c r="W301" s="283"/>
      <c r="X301" s="288"/>
      <c r="Z301" s="1002"/>
      <c r="AS301" s="1355"/>
      <c r="BK301" s="256"/>
      <c r="BO301" s="1363"/>
      <c r="BX301" s="257"/>
      <c r="BY301" s="256"/>
      <c r="BZ301" s="258"/>
      <c r="CA301" s="258"/>
      <c r="CB301" s="256"/>
      <c r="CC301" s="1013"/>
      <c r="CD301" s="1012"/>
      <c r="CE301" s="268"/>
      <c r="CF301" s="411"/>
      <c r="CG301" s="419"/>
      <c r="CH301" s="411"/>
      <c r="CI301" s="411"/>
      <c r="CJ301" s="411"/>
      <c r="CK301" s="419"/>
      <c r="CL301" s="411"/>
      <c r="CM301" s="411"/>
      <c r="CN301" s="411"/>
      <c r="CO301" s="419"/>
      <c r="CP301" s="411"/>
      <c r="CQ301" s="411"/>
      <c r="CR301" s="411"/>
      <c r="CS301" s="411"/>
      <c r="CT301" s="411"/>
      <c r="CU301" s="411"/>
      <c r="CV301" s="411"/>
      <c r="CW301" s="411"/>
      <c r="CX301" s="411"/>
      <c r="CY301" s="419"/>
      <c r="CZ301" s="411"/>
      <c r="DA301" s="411"/>
      <c r="DB301" s="411"/>
      <c r="DC301" s="419"/>
      <c r="DD301" s="411"/>
      <c r="DE301" s="411"/>
      <c r="DF301" s="411"/>
      <c r="DG301" s="419"/>
      <c r="DH301" s="411"/>
      <c r="DI301" s="411"/>
      <c r="DJ301" s="411"/>
      <c r="DK301" s="411"/>
      <c r="DL301" s="411"/>
      <c r="DM301" s="411"/>
      <c r="DN301" s="411"/>
      <c r="DO301" s="411"/>
      <c r="DP301" s="411"/>
      <c r="DQ301" s="411"/>
      <c r="DR301" s="411"/>
      <c r="DS301" s="411"/>
      <c r="DT301" s="411"/>
      <c r="DU301" s="419"/>
      <c r="DV301" s="411"/>
      <c r="DW301" s="411"/>
      <c r="DX301" s="415"/>
      <c r="DY301" s="268"/>
      <c r="DZ301" s="268"/>
      <c r="EA301" s="268"/>
      <c r="EB301" s="268"/>
      <c r="EC301" s="268"/>
      <c r="ED301" s="268"/>
      <c r="EE301" s="268"/>
      <c r="EF301" s="268"/>
      <c r="EG301" s="268"/>
      <c r="EH301" s="268"/>
      <c r="EI301" s="268"/>
      <c r="EJ301" s="268"/>
    </row>
    <row r="302" spans="1:140" s="269" customFormat="1" x14ac:dyDescent="0.2">
      <c r="A302" s="288"/>
      <c r="B302" s="267"/>
      <c r="D302" s="264"/>
      <c r="E302" s="467"/>
      <c r="F302" s="264"/>
      <c r="G302" s="400"/>
      <c r="H302" s="264"/>
      <c r="I302" s="467"/>
      <c r="J302" s="264"/>
      <c r="K302" s="264"/>
      <c r="L302" s="264"/>
      <c r="M302" s="264"/>
      <c r="N302" s="264"/>
      <c r="O302" s="264"/>
      <c r="P302" s="264"/>
      <c r="Q302" s="264"/>
      <c r="R302" s="264"/>
      <c r="S302" s="264"/>
      <c r="T302" s="264"/>
      <c r="U302" s="264"/>
      <c r="V302" s="264"/>
      <c r="W302" s="283"/>
      <c r="X302" s="288"/>
      <c r="Z302" s="1002"/>
      <c r="AS302" s="1355"/>
      <c r="BK302" s="256"/>
      <c r="BO302" s="1363"/>
      <c r="BX302" s="257"/>
      <c r="BY302" s="256"/>
      <c r="BZ302" s="258"/>
      <c r="CA302" s="258"/>
      <c r="CB302" s="256"/>
      <c r="CC302" s="1013"/>
      <c r="CD302" s="1012"/>
      <c r="CE302" s="268"/>
      <c r="CF302" s="411"/>
      <c r="CG302" s="419"/>
      <c r="CH302" s="411"/>
      <c r="CI302" s="411"/>
      <c r="CJ302" s="411"/>
      <c r="CK302" s="419"/>
      <c r="CL302" s="411"/>
      <c r="CM302" s="411"/>
      <c r="CN302" s="411"/>
      <c r="CO302" s="419"/>
      <c r="CP302" s="411"/>
      <c r="CQ302" s="411"/>
      <c r="CR302" s="411"/>
      <c r="CS302" s="411"/>
      <c r="CT302" s="411"/>
      <c r="CU302" s="411"/>
      <c r="CV302" s="411"/>
      <c r="CW302" s="411"/>
      <c r="CX302" s="411"/>
      <c r="CY302" s="419"/>
      <c r="CZ302" s="411"/>
      <c r="DA302" s="411"/>
      <c r="DB302" s="411"/>
      <c r="DC302" s="419"/>
      <c r="DD302" s="411"/>
      <c r="DE302" s="411"/>
      <c r="DF302" s="411"/>
      <c r="DG302" s="419"/>
      <c r="DH302" s="411"/>
      <c r="DI302" s="411"/>
      <c r="DJ302" s="411"/>
      <c r="DK302" s="411"/>
      <c r="DL302" s="411"/>
      <c r="DM302" s="411"/>
      <c r="DN302" s="411"/>
      <c r="DO302" s="411"/>
      <c r="DP302" s="411"/>
      <c r="DQ302" s="411"/>
      <c r="DR302" s="411"/>
      <c r="DS302" s="411"/>
      <c r="DT302" s="411"/>
      <c r="DU302" s="419"/>
      <c r="DV302" s="411"/>
      <c r="DW302" s="411"/>
      <c r="DX302" s="415"/>
      <c r="DY302" s="268"/>
      <c r="DZ302" s="268"/>
      <c r="EA302" s="268"/>
      <c r="EB302" s="268"/>
      <c r="EC302" s="268"/>
      <c r="ED302" s="268"/>
      <c r="EE302" s="268"/>
      <c r="EF302" s="268"/>
      <c r="EG302" s="268"/>
      <c r="EH302" s="268"/>
      <c r="EI302" s="268"/>
      <c r="EJ302" s="268"/>
    </row>
    <row r="303" spans="1:140" s="269" customFormat="1" x14ac:dyDescent="0.2">
      <c r="A303" s="288"/>
      <c r="B303" s="267"/>
      <c r="D303" s="264"/>
      <c r="E303" s="467"/>
      <c r="F303" s="264"/>
      <c r="G303" s="400"/>
      <c r="H303" s="264"/>
      <c r="I303" s="467"/>
      <c r="J303" s="264"/>
      <c r="K303" s="264"/>
      <c r="L303" s="264"/>
      <c r="M303" s="264"/>
      <c r="N303" s="264"/>
      <c r="O303" s="264"/>
      <c r="P303" s="264"/>
      <c r="Q303" s="264"/>
      <c r="R303" s="264"/>
      <c r="S303" s="264"/>
      <c r="T303" s="264"/>
      <c r="U303" s="264"/>
      <c r="V303" s="264"/>
      <c r="W303" s="283"/>
      <c r="X303" s="288"/>
      <c r="Z303" s="1002"/>
      <c r="AS303" s="1355"/>
      <c r="BK303" s="256"/>
      <c r="BO303" s="1363"/>
      <c r="BX303" s="257"/>
      <c r="BY303" s="256"/>
      <c r="BZ303" s="258"/>
      <c r="CA303" s="258"/>
      <c r="CB303" s="256"/>
      <c r="CC303" s="1013"/>
      <c r="CD303" s="1012"/>
      <c r="CE303" s="268"/>
      <c r="CF303" s="411"/>
      <c r="CG303" s="419"/>
      <c r="CH303" s="411"/>
      <c r="CI303" s="411"/>
      <c r="CJ303" s="411"/>
      <c r="CK303" s="419"/>
      <c r="CL303" s="411"/>
      <c r="CM303" s="411"/>
      <c r="CN303" s="411"/>
      <c r="CO303" s="419"/>
      <c r="CP303" s="411"/>
      <c r="CQ303" s="411"/>
      <c r="CR303" s="411"/>
      <c r="CS303" s="411"/>
      <c r="CT303" s="411"/>
      <c r="CU303" s="411"/>
      <c r="CV303" s="411"/>
      <c r="CW303" s="411"/>
      <c r="CX303" s="411"/>
      <c r="CY303" s="419"/>
      <c r="CZ303" s="411"/>
      <c r="DA303" s="411"/>
      <c r="DB303" s="411"/>
      <c r="DC303" s="419"/>
      <c r="DD303" s="411"/>
      <c r="DE303" s="411"/>
      <c r="DF303" s="411"/>
      <c r="DG303" s="419"/>
      <c r="DH303" s="411"/>
      <c r="DI303" s="411"/>
      <c r="DJ303" s="411"/>
      <c r="DK303" s="411"/>
      <c r="DL303" s="411"/>
      <c r="DM303" s="411"/>
      <c r="DN303" s="411"/>
      <c r="DO303" s="411"/>
      <c r="DP303" s="411"/>
      <c r="DQ303" s="411"/>
      <c r="DR303" s="411"/>
      <c r="DS303" s="411"/>
      <c r="DT303" s="411"/>
      <c r="DU303" s="419"/>
      <c r="DV303" s="411"/>
      <c r="DW303" s="411"/>
      <c r="DX303" s="415"/>
      <c r="DY303" s="268"/>
      <c r="DZ303" s="268"/>
      <c r="EA303" s="268"/>
      <c r="EB303" s="268"/>
      <c r="EC303" s="268"/>
      <c r="ED303" s="268"/>
      <c r="EE303" s="268"/>
      <c r="EF303" s="268"/>
      <c r="EG303" s="268"/>
      <c r="EH303" s="268"/>
      <c r="EI303" s="268"/>
      <c r="EJ303" s="268"/>
    </row>
    <row r="304" spans="1:140" s="269" customFormat="1" x14ac:dyDescent="0.2">
      <c r="A304" s="288"/>
      <c r="B304" s="267"/>
      <c r="D304" s="264"/>
      <c r="E304" s="467"/>
      <c r="F304" s="264"/>
      <c r="G304" s="400"/>
      <c r="H304" s="264"/>
      <c r="I304" s="467"/>
      <c r="J304" s="264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4"/>
      <c r="V304" s="264"/>
      <c r="W304" s="283"/>
      <c r="X304" s="288"/>
      <c r="Z304" s="1002"/>
      <c r="AS304" s="1355"/>
      <c r="BK304" s="256"/>
      <c r="BO304" s="1363"/>
      <c r="BX304" s="257"/>
      <c r="BY304" s="256"/>
      <c r="BZ304" s="258"/>
      <c r="CA304" s="258"/>
      <c r="CB304" s="256"/>
      <c r="CC304" s="1013"/>
      <c r="CD304" s="1012"/>
      <c r="CE304" s="268"/>
      <c r="CF304" s="411"/>
      <c r="CG304" s="419"/>
      <c r="CH304" s="411"/>
      <c r="CI304" s="411"/>
      <c r="CJ304" s="411"/>
      <c r="CK304" s="419"/>
      <c r="CL304" s="411"/>
      <c r="CM304" s="411"/>
      <c r="CN304" s="411"/>
      <c r="CO304" s="419"/>
      <c r="CP304" s="411"/>
      <c r="CQ304" s="411"/>
      <c r="CR304" s="411"/>
      <c r="CS304" s="411"/>
      <c r="CT304" s="411"/>
      <c r="CU304" s="411"/>
      <c r="CV304" s="411"/>
      <c r="CW304" s="411"/>
      <c r="CX304" s="411"/>
      <c r="CY304" s="419"/>
      <c r="CZ304" s="411"/>
      <c r="DA304" s="411"/>
      <c r="DB304" s="411"/>
      <c r="DC304" s="419"/>
      <c r="DD304" s="411"/>
      <c r="DE304" s="411"/>
      <c r="DF304" s="411"/>
      <c r="DG304" s="419"/>
      <c r="DH304" s="411"/>
      <c r="DI304" s="411"/>
      <c r="DJ304" s="411"/>
      <c r="DK304" s="411"/>
      <c r="DL304" s="411"/>
      <c r="DM304" s="411"/>
      <c r="DN304" s="411"/>
      <c r="DO304" s="411"/>
      <c r="DP304" s="411"/>
      <c r="DQ304" s="411"/>
      <c r="DR304" s="411"/>
      <c r="DS304" s="411"/>
      <c r="DT304" s="411"/>
      <c r="DU304" s="419"/>
      <c r="DV304" s="411"/>
      <c r="DW304" s="411"/>
      <c r="DX304" s="415"/>
      <c r="DY304" s="268"/>
      <c r="DZ304" s="268"/>
      <c r="EA304" s="268"/>
      <c r="EB304" s="268"/>
      <c r="EC304" s="268"/>
      <c r="ED304" s="268"/>
      <c r="EE304" s="268"/>
      <c r="EF304" s="268"/>
      <c r="EG304" s="268"/>
      <c r="EH304" s="268"/>
      <c r="EI304" s="268"/>
      <c r="EJ304" s="268"/>
    </row>
    <row r="305" spans="1:140" s="269" customFormat="1" x14ac:dyDescent="0.2">
      <c r="A305" s="288"/>
      <c r="B305" s="267"/>
      <c r="D305" s="264"/>
      <c r="E305" s="467"/>
      <c r="F305" s="264"/>
      <c r="G305" s="400"/>
      <c r="H305" s="264"/>
      <c r="I305" s="467"/>
      <c r="J305" s="264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  <c r="V305" s="264"/>
      <c r="W305" s="283"/>
      <c r="X305" s="288"/>
      <c r="Z305" s="1002"/>
      <c r="AS305" s="1355"/>
      <c r="BK305" s="256"/>
      <c r="BO305" s="1363"/>
      <c r="BX305" s="257"/>
      <c r="BY305" s="256"/>
      <c r="BZ305" s="258"/>
      <c r="CA305" s="258"/>
      <c r="CB305" s="256"/>
      <c r="CC305" s="1013"/>
      <c r="CD305" s="1012"/>
      <c r="CE305" s="268"/>
      <c r="CF305" s="411"/>
      <c r="CG305" s="419"/>
      <c r="CH305" s="411"/>
      <c r="CI305" s="411"/>
      <c r="CJ305" s="411"/>
      <c r="CK305" s="419"/>
      <c r="CL305" s="411"/>
      <c r="CM305" s="411"/>
      <c r="CN305" s="411"/>
      <c r="CO305" s="419"/>
      <c r="CP305" s="411"/>
      <c r="CQ305" s="411"/>
      <c r="CR305" s="411"/>
      <c r="CS305" s="411"/>
      <c r="CT305" s="411"/>
      <c r="CU305" s="411"/>
      <c r="CV305" s="411"/>
      <c r="CW305" s="411"/>
      <c r="CX305" s="411"/>
      <c r="CY305" s="419"/>
      <c r="CZ305" s="411"/>
      <c r="DA305" s="411"/>
      <c r="DB305" s="411"/>
      <c r="DC305" s="419"/>
      <c r="DD305" s="411"/>
      <c r="DE305" s="411"/>
      <c r="DF305" s="411"/>
      <c r="DG305" s="419"/>
      <c r="DH305" s="411"/>
      <c r="DI305" s="411"/>
      <c r="DJ305" s="411"/>
      <c r="DK305" s="411"/>
      <c r="DL305" s="411"/>
      <c r="DM305" s="411"/>
      <c r="DN305" s="411"/>
      <c r="DO305" s="411"/>
      <c r="DP305" s="411"/>
      <c r="DQ305" s="411"/>
      <c r="DR305" s="411"/>
      <c r="DS305" s="411"/>
      <c r="DT305" s="411"/>
      <c r="DU305" s="419"/>
      <c r="DV305" s="411"/>
      <c r="DW305" s="411"/>
      <c r="DX305" s="415"/>
      <c r="DY305" s="268"/>
      <c r="DZ305" s="268"/>
      <c r="EA305" s="268"/>
      <c r="EB305" s="268"/>
      <c r="EC305" s="268"/>
      <c r="ED305" s="268"/>
      <c r="EE305" s="268"/>
      <c r="EF305" s="268"/>
      <c r="EG305" s="268"/>
      <c r="EH305" s="268"/>
      <c r="EI305" s="268"/>
      <c r="EJ305" s="268"/>
    </row>
    <row r="306" spans="1:140" s="269" customFormat="1" x14ac:dyDescent="0.2">
      <c r="A306" s="288"/>
      <c r="B306" s="267"/>
      <c r="D306" s="264"/>
      <c r="E306" s="467"/>
      <c r="F306" s="264"/>
      <c r="G306" s="400"/>
      <c r="H306" s="264"/>
      <c r="I306" s="467"/>
      <c r="J306" s="264"/>
      <c r="K306" s="264"/>
      <c r="L306" s="264"/>
      <c r="M306" s="264"/>
      <c r="N306" s="264"/>
      <c r="O306" s="264"/>
      <c r="P306" s="264"/>
      <c r="Q306" s="264"/>
      <c r="R306" s="264"/>
      <c r="S306" s="264"/>
      <c r="T306" s="264"/>
      <c r="U306" s="264"/>
      <c r="V306" s="264"/>
      <c r="W306" s="283"/>
      <c r="X306" s="288"/>
      <c r="Z306" s="1002"/>
      <c r="AS306" s="1355"/>
      <c r="BK306" s="256"/>
      <c r="BO306" s="1363"/>
      <c r="BX306" s="257"/>
      <c r="BY306" s="256"/>
      <c r="BZ306" s="258"/>
      <c r="CA306" s="258"/>
      <c r="CB306" s="256"/>
      <c r="CC306" s="1013"/>
      <c r="CD306" s="1012"/>
      <c r="CE306" s="268"/>
      <c r="CF306" s="411"/>
      <c r="CG306" s="419"/>
      <c r="CH306" s="411"/>
      <c r="CI306" s="411"/>
      <c r="CJ306" s="411"/>
      <c r="CK306" s="419"/>
      <c r="CL306" s="411"/>
      <c r="CM306" s="411"/>
      <c r="CN306" s="411"/>
      <c r="CO306" s="419"/>
      <c r="CP306" s="411"/>
      <c r="CQ306" s="411"/>
      <c r="CR306" s="411"/>
      <c r="CS306" s="411"/>
      <c r="CT306" s="411"/>
      <c r="CU306" s="411"/>
      <c r="CV306" s="411"/>
      <c r="CW306" s="411"/>
      <c r="CX306" s="411"/>
      <c r="CY306" s="419"/>
      <c r="CZ306" s="411"/>
      <c r="DA306" s="411"/>
      <c r="DB306" s="411"/>
      <c r="DC306" s="419"/>
      <c r="DD306" s="411"/>
      <c r="DE306" s="411"/>
      <c r="DF306" s="411"/>
      <c r="DG306" s="419"/>
      <c r="DH306" s="411"/>
      <c r="DI306" s="411"/>
      <c r="DJ306" s="411"/>
      <c r="DK306" s="411"/>
      <c r="DL306" s="411"/>
      <c r="DM306" s="411"/>
      <c r="DN306" s="411"/>
      <c r="DO306" s="411"/>
      <c r="DP306" s="411"/>
      <c r="DQ306" s="411"/>
      <c r="DR306" s="411"/>
      <c r="DS306" s="411"/>
      <c r="DT306" s="411"/>
      <c r="DU306" s="419"/>
      <c r="DV306" s="411"/>
      <c r="DW306" s="411"/>
      <c r="DX306" s="415"/>
      <c r="DY306" s="268"/>
      <c r="DZ306" s="268"/>
      <c r="EA306" s="268"/>
      <c r="EB306" s="268"/>
      <c r="EC306" s="268"/>
      <c r="ED306" s="268"/>
      <c r="EE306" s="268"/>
      <c r="EF306" s="268"/>
      <c r="EG306" s="268"/>
      <c r="EH306" s="268"/>
      <c r="EI306" s="268"/>
      <c r="EJ306" s="268"/>
    </row>
    <row r="307" spans="1:140" s="269" customFormat="1" x14ac:dyDescent="0.2">
      <c r="A307" s="288"/>
      <c r="B307" s="267"/>
      <c r="D307" s="264"/>
      <c r="E307" s="467"/>
      <c r="F307" s="264"/>
      <c r="G307" s="400"/>
      <c r="H307" s="264"/>
      <c r="I307" s="467"/>
      <c r="J307" s="264"/>
      <c r="K307" s="264"/>
      <c r="L307" s="264"/>
      <c r="M307" s="264"/>
      <c r="N307" s="264"/>
      <c r="O307" s="264"/>
      <c r="P307" s="264"/>
      <c r="Q307" s="264"/>
      <c r="R307" s="264"/>
      <c r="S307" s="264"/>
      <c r="T307" s="264"/>
      <c r="U307" s="264"/>
      <c r="V307" s="264"/>
      <c r="W307" s="283"/>
      <c r="X307" s="288"/>
      <c r="Z307" s="1002"/>
      <c r="AS307" s="1355"/>
      <c r="BK307" s="256"/>
      <c r="BO307" s="1363"/>
      <c r="BX307" s="257"/>
      <c r="BY307" s="256"/>
      <c r="BZ307" s="258"/>
      <c r="CA307" s="258"/>
      <c r="CB307" s="256"/>
      <c r="CC307" s="1013"/>
      <c r="CD307" s="1012"/>
      <c r="CE307" s="268"/>
      <c r="CF307" s="411"/>
      <c r="CG307" s="419"/>
      <c r="CH307" s="411"/>
      <c r="CI307" s="411"/>
      <c r="CJ307" s="411"/>
      <c r="CK307" s="419"/>
      <c r="CL307" s="411"/>
      <c r="CM307" s="411"/>
      <c r="CN307" s="411"/>
      <c r="CO307" s="419"/>
      <c r="CP307" s="411"/>
      <c r="CQ307" s="411"/>
      <c r="CR307" s="411"/>
      <c r="CS307" s="411"/>
      <c r="CT307" s="411"/>
      <c r="CU307" s="411"/>
      <c r="CV307" s="411"/>
      <c r="CW307" s="411"/>
      <c r="CX307" s="411"/>
      <c r="CY307" s="419"/>
      <c r="CZ307" s="411"/>
      <c r="DA307" s="411"/>
      <c r="DB307" s="411"/>
      <c r="DC307" s="419"/>
      <c r="DD307" s="411"/>
      <c r="DE307" s="411"/>
      <c r="DF307" s="411"/>
      <c r="DG307" s="419"/>
      <c r="DH307" s="411"/>
      <c r="DI307" s="411"/>
      <c r="DJ307" s="411"/>
      <c r="DK307" s="411"/>
      <c r="DL307" s="411"/>
      <c r="DM307" s="411"/>
      <c r="DN307" s="411"/>
      <c r="DO307" s="411"/>
      <c r="DP307" s="411"/>
      <c r="DQ307" s="411"/>
      <c r="DR307" s="411"/>
      <c r="DS307" s="411"/>
      <c r="DT307" s="411"/>
      <c r="DU307" s="419"/>
      <c r="DV307" s="411"/>
      <c r="DW307" s="411"/>
      <c r="DX307" s="415"/>
      <c r="DY307" s="268"/>
      <c r="DZ307" s="268"/>
      <c r="EA307" s="268"/>
      <c r="EB307" s="268"/>
      <c r="EC307" s="268"/>
      <c r="ED307" s="268"/>
      <c r="EE307" s="268"/>
      <c r="EF307" s="268"/>
      <c r="EG307" s="268"/>
      <c r="EH307" s="268"/>
      <c r="EI307" s="268"/>
      <c r="EJ307" s="268"/>
    </row>
    <row r="308" spans="1:140" s="269" customFormat="1" x14ac:dyDescent="0.2">
      <c r="A308" s="288"/>
      <c r="B308" s="267"/>
      <c r="D308" s="264"/>
      <c r="E308" s="467"/>
      <c r="F308" s="264"/>
      <c r="G308" s="400"/>
      <c r="H308" s="264"/>
      <c r="I308" s="467"/>
      <c r="J308" s="264"/>
      <c r="K308" s="264"/>
      <c r="L308" s="264"/>
      <c r="M308" s="264"/>
      <c r="N308" s="264"/>
      <c r="O308" s="264"/>
      <c r="P308" s="264"/>
      <c r="Q308" s="264"/>
      <c r="R308" s="264"/>
      <c r="S308" s="264"/>
      <c r="T308" s="264"/>
      <c r="U308" s="264"/>
      <c r="V308" s="264"/>
      <c r="W308" s="283"/>
      <c r="X308" s="288"/>
      <c r="Z308" s="1002"/>
      <c r="AS308" s="1355"/>
      <c r="BK308" s="256"/>
      <c r="BO308" s="1363"/>
      <c r="BX308" s="257"/>
      <c r="BY308" s="256"/>
      <c r="BZ308" s="258"/>
      <c r="CA308" s="258"/>
      <c r="CB308" s="256"/>
      <c r="CC308" s="1013"/>
      <c r="CD308" s="1012"/>
      <c r="CE308" s="268"/>
      <c r="CF308" s="411"/>
      <c r="CG308" s="419"/>
      <c r="CH308" s="411"/>
      <c r="CI308" s="411"/>
      <c r="CJ308" s="411"/>
      <c r="CK308" s="419"/>
      <c r="CL308" s="411"/>
      <c r="CM308" s="411"/>
      <c r="CN308" s="411"/>
      <c r="CO308" s="419"/>
      <c r="CP308" s="411"/>
      <c r="CQ308" s="411"/>
      <c r="CR308" s="411"/>
      <c r="CS308" s="411"/>
      <c r="CT308" s="411"/>
      <c r="CU308" s="411"/>
      <c r="CV308" s="411"/>
      <c r="CW308" s="411"/>
      <c r="CX308" s="411"/>
      <c r="CY308" s="419"/>
      <c r="CZ308" s="411"/>
      <c r="DA308" s="411"/>
      <c r="DB308" s="411"/>
      <c r="DC308" s="419"/>
      <c r="DD308" s="411"/>
      <c r="DE308" s="411"/>
      <c r="DF308" s="411"/>
      <c r="DG308" s="419"/>
      <c r="DH308" s="411"/>
      <c r="DI308" s="411"/>
      <c r="DJ308" s="411"/>
      <c r="DK308" s="411"/>
      <c r="DL308" s="411"/>
      <c r="DM308" s="411"/>
      <c r="DN308" s="411"/>
      <c r="DO308" s="411"/>
      <c r="DP308" s="411"/>
      <c r="DQ308" s="411"/>
      <c r="DR308" s="411"/>
      <c r="DS308" s="411"/>
      <c r="DT308" s="411"/>
      <c r="DU308" s="419"/>
      <c r="DV308" s="411"/>
      <c r="DW308" s="411"/>
      <c r="DX308" s="415"/>
      <c r="DY308" s="268"/>
      <c r="DZ308" s="268"/>
      <c r="EA308" s="268"/>
      <c r="EB308" s="268"/>
      <c r="EC308" s="268"/>
      <c r="ED308" s="268"/>
      <c r="EE308" s="268"/>
      <c r="EF308" s="268"/>
      <c r="EG308" s="268"/>
      <c r="EH308" s="268"/>
      <c r="EI308" s="268"/>
      <c r="EJ308" s="268"/>
    </row>
    <row r="309" spans="1:140" s="269" customFormat="1" x14ac:dyDescent="0.2">
      <c r="A309" s="288"/>
      <c r="B309" s="267"/>
      <c r="D309" s="264"/>
      <c r="E309" s="467"/>
      <c r="F309" s="264"/>
      <c r="G309" s="400"/>
      <c r="H309" s="264"/>
      <c r="I309" s="467"/>
      <c r="J309" s="264"/>
      <c r="K309" s="264"/>
      <c r="L309" s="264"/>
      <c r="M309" s="264"/>
      <c r="N309" s="264"/>
      <c r="O309" s="264"/>
      <c r="P309" s="264"/>
      <c r="Q309" s="264"/>
      <c r="R309" s="264"/>
      <c r="S309" s="264"/>
      <c r="T309" s="264"/>
      <c r="U309" s="264"/>
      <c r="V309" s="264"/>
      <c r="W309" s="283"/>
      <c r="X309" s="288"/>
      <c r="Z309" s="1002"/>
      <c r="AS309" s="1355"/>
      <c r="BK309" s="256"/>
      <c r="BO309" s="1363"/>
      <c r="BX309" s="257"/>
      <c r="BY309" s="256"/>
      <c r="BZ309" s="258"/>
      <c r="CA309" s="258"/>
      <c r="CB309" s="256"/>
      <c r="CC309" s="1013"/>
      <c r="CD309" s="1012"/>
      <c r="CE309" s="268"/>
      <c r="CF309" s="411"/>
      <c r="CG309" s="419"/>
      <c r="CH309" s="411"/>
      <c r="CI309" s="411"/>
      <c r="CJ309" s="411"/>
      <c r="CK309" s="419"/>
      <c r="CL309" s="411"/>
      <c r="CM309" s="411"/>
      <c r="CN309" s="411"/>
      <c r="CO309" s="419"/>
      <c r="CP309" s="411"/>
      <c r="CQ309" s="411"/>
      <c r="CR309" s="411"/>
      <c r="CS309" s="411"/>
      <c r="CT309" s="411"/>
      <c r="CU309" s="411"/>
      <c r="CV309" s="411"/>
      <c r="CW309" s="411"/>
      <c r="CX309" s="411"/>
      <c r="CY309" s="419"/>
      <c r="CZ309" s="411"/>
      <c r="DA309" s="411"/>
      <c r="DB309" s="411"/>
      <c r="DC309" s="419"/>
      <c r="DD309" s="411"/>
      <c r="DE309" s="411"/>
      <c r="DF309" s="411"/>
      <c r="DG309" s="419"/>
      <c r="DH309" s="411"/>
      <c r="DI309" s="411"/>
      <c r="DJ309" s="411"/>
      <c r="DK309" s="411"/>
      <c r="DL309" s="411"/>
      <c r="DM309" s="411"/>
      <c r="DN309" s="411"/>
      <c r="DO309" s="411"/>
      <c r="DP309" s="411"/>
      <c r="DQ309" s="411"/>
      <c r="DR309" s="411"/>
      <c r="DS309" s="411"/>
      <c r="DT309" s="411"/>
      <c r="DU309" s="419"/>
      <c r="DV309" s="411"/>
      <c r="DW309" s="411"/>
      <c r="DX309" s="415"/>
      <c r="DY309" s="268"/>
      <c r="DZ309" s="268"/>
      <c r="EA309" s="268"/>
      <c r="EB309" s="268"/>
      <c r="EC309" s="268"/>
      <c r="ED309" s="268"/>
      <c r="EE309" s="268"/>
      <c r="EF309" s="268"/>
      <c r="EG309" s="268"/>
      <c r="EH309" s="268"/>
      <c r="EI309" s="268"/>
      <c r="EJ309" s="268"/>
    </row>
    <row r="310" spans="1:140" s="269" customFormat="1" x14ac:dyDescent="0.2">
      <c r="A310" s="288"/>
      <c r="B310" s="267"/>
      <c r="D310" s="264"/>
      <c r="E310" s="467"/>
      <c r="F310" s="264"/>
      <c r="G310" s="400"/>
      <c r="H310" s="264"/>
      <c r="I310" s="467"/>
      <c r="J310" s="264"/>
      <c r="K310" s="264"/>
      <c r="L310" s="264"/>
      <c r="M310" s="264"/>
      <c r="N310" s="264"/>
      <c r="O310" s="264"/>
      <c r="P310" s="264"/>
      <c r="Q310" s="264"/>
      <c r="R310" s="264"/>
      <c r="S310" s="264"/>
      <c r="T310" s="264"/>
      <c r="U310" s="264"/>
      <c r="V310" s="264"/>
      <c r="W310" s="283"/>
      <c r="X310" s="288"/>
      <c r="Z310" s="1002"/>
      <c r="AS310" s="1355"/>
      <c r="BK310" s="256"/>
      <c r="BO310" s="1363"/>
      <c r="BX310" s="257"/>
      <c r="BY310" s="256"/>
      <c r="BZ310" s="258"/>
      <c r="CA310" s="258"/>
      <c r="CB310" s="256"/>
      <c r="CC310" s="1013"/>
      <c r="CD310" s="1012"/>
      <c r="CE310" s="268"/>
      <c r="CF310" s="411"/>
      <c r="CG310" s="419"/>
      <c r="CH310" s="411"/>
      <c r="CI310" s="411"/>
      <c r="CJ310" s="411"/>
      <c r="CK310" s="419"/>
      <c r="CL310" s="411"/>
      <c r="CM310" s="411"/>
      <c r="CN310" s="411"/>
      <c r="CO310" s="419"/>
      <c r="CP310" s="411"/>
      <c r="CQ310" s="411"/>
      <c r="CR310" s="411"/>
      <c r="CS310" s="411"/>
      <c r="CT310" s="411"/>
      <c r="CU310" s="411"/>
      <c r="CV310" s="411"/>
      <c r="CW310" s="411"/>
      <c r="CX310" s="411"/>
      <c r="CY310" s="419"/>
      <c r="CZ310" s="411"/>
      <c r="DA310" s="411"/>
      <c r="DB310" s="411"/>
      <c r="DC310" s="419"/>
      <c r="DD310" s="411"/>
      <c r="DE310" s="411"/>
      <c r="DF310" s="411"/>
      <c r="DG310" s="419"/>
      <c r="DH310" s="411"/>
      <c r="DI310" s="411"/>
      <c r="DJ310" s="411"/>
      <c r="DK310" s="411"/>
      <c r="DL310" s="411"/>
      <c r="DM310" s="411"/>
      <c r="DN310" s="411"/>
      <c r="DO310" s="411"/>
      <c r="DP310" s="411"/>
      <c r="DQ310" s="411"/>
      <c r="DR310" s="411"/>
      <c r="DS310" s="411"/>
      <c r="DT310" s="411"/>
      <c r="DU310" s="419"/>
      <c r="DV310" s="411"/>
      <c r="DW310" s="411"/>
      <c r="DX310" s="415"/>
      <c r="DY310" s="268"/>
      <c r="DZ310" s="268"/>
      <c r="EA310" s="268"/>
      <c r="EB310" s="268"/>
      <c r="EC310" s="268"/>
      <c r="ED310" s="268"/>
      <c r="EE310" s="268"/>
      <c r="EF310" s="268"/>
      <c r="EG310" s="268"/>
      <c r="EH310" s="268"/>
      <c r="EI310" s="268"/>
      <c r="EJ310" s="268"/>
    </row>
    <row r="311" spans="1:140" s="269" customFormat="1" x14ac:dyDescent="0.2">
      <c r="A311" s="288"/>
      <c r="B311" s="267"/>
      <c r="D311" s="264"/>
      <c r="E311" s="467"/>
      <c r="F311" s="264"/>
      <c r="G311" s="400"/>
      <c r="H311" s="264"/>
      <c r="I311" s="467"/>
      <c r="J311" s="264"/>
      <c r="K311" s="264"/>
      <c r="L311" s="264"/>
      <c r="M311" s="264"/>
      <c r="N311" s="264"/>
      <c r="O311" s="264"/>
      <c r="P311" s="264"/>
      <c r="Q311" s="264"/>
      <c r="R311" s="264"/>
      <c r="S311" s="264"/>
      <c r="T311" s="264"/>
      <c r="U311" s="264"/>
      <c r="V311" s="264"/>
      <c r="W311" s="283"/>
      <c r="X311" s="288"/>
      <c r="Z311" s="1002"/>
      <c r="AS311" s="1355"/>
      <c r="BK311" s="256"/>
      <c r="BO311" s="1363"/>
      <c r="BX311" s="257"/>
      <c r="BY311" s="256"/>
      <c r="BZ311" s="258"/>
      <c r="CA311" s="258"/>
      <c r="CB311" s="256"/>
      <c r="CC311" s="1013"/>
      <c r="CD311" s="1012"/>
      <c r="CE311" s="268"/>
      <c r="CF311" s="411"/>
      <c r="CG311" s="419"/>
      <c r="CH311" s="411"/>
      <c r="CI311" s="411"/>
      <c r="CJ311" s="411"/>
      <c r="CK311" s="419"/>
      <c r="CL311" s="411"/>
      <c r="CM311" s="411"/>
      <c r="CN311" s="411"/>
      <c r="CO311" s="419"/>
      <c r="CP311" s="411"/>
      <c r="CQ311" s="411"/>
      <c r="CR311" s="411"/>
      <c r="CS311" s="411"/>
      <c r="CT311" s="411"/>
      <c r="CU311" s="411"/>
      <c r="CV311" s="411"/>
      <c r="CW311" s="411"/>
      <c r="CX311" s="411"/>
      <c r="CY311" s="419"/>
      <c r="CZ311" s="411"/>
      <c r="DA311" s="411"/>
      <c r="DB311" s="411"/>
      <c r="DC311" s="419"/>
      <c r="DD311" s="411"/>
      <c r="DE311" s="411"/>
      <c r="DF311" s="411"/>
      <c r="DG311" s="419"/>
      <c r="DH311" s="411"/>
      <c r="DI311" s="411"/>
      <c r="DJ311" s="411"/>
      <c r="DK311" s="411"/>
      <c r="DL311" s="411"/>
      <c r="DM311" s="411"/>
      <c r="DN311" s="411"/>
      <c r="DO311" s="411"/>
      <c r="DP311" s="411"/>
      <c r="DQ311" s="411"/>
      <c r="DR311" s="411"/>
      <c r="DS311" s="411"/>
      <c r="DT311" s="411"/>
      <c r="DU311" s="419"/>
      <c r="DV311" s="411"/>
      <c r="DW311" s="411"/>
      <c r="DX311" s="415"/>
      <c r="DY311" s="268"/>
      <c r="DZ311" s="268"/>
      <c r="EA311" s="268"/>
      <c r="EB311" s="268"/>
      <c r="EC311" s="268"/>
      <c r="ED311" s="268"/>
      <c r="EE311" s="268"/>
      <c r="EF311" s="268"/>
      <c r="EG311" s="268"/>
      <c r="EH311" s="268"/>
      <c r="EI311" s="268"/>
      <c r="EJ311" s="268"/>
    </row>
    <row r="312" spans="1:140" s="269" customFormat="1" x14ac:dyDescent="0.2">
      <c r="A312" s="288"/>
      <c r="B312" s="267"/>
      <c r="D312" s="264"/>
      <c r="E312" s="467"/>
      <c r="F312" s="264"/>
      <c r="G312" s="400"/>
      <c r="H312" s="264"/>
      <c r="I312" s="467"/>
      <c r="J312" s="264"/>
      <c r="K312" s="264"/>
      <c r="L312" s="264"/>
      <c r="M312" s="264"/>
      <c r="N312" s="264"/>
      <c r="O312" s="264"/>
      <c r="P312" s="264"/>
      <c r="Q312" s="264"/>
      <c r="R312" s="264"/>
      <c r="S312" s="264"/>
      <c r="T312" s="264"/>
      <c r="U312" s="264"/>
      <c r="V312" s="264"/>
      <c r="W312" s="283"/>
      <c r="X312" s="288"/>
      <c r="Z312" s="1002"/>
      <c r="AS312" s="1355"/>
      <c r="BK312" s="256"/>
      <c r="BO312" s="1363"/>
      <c r="BX312" s="257"/>
      <c r="BY312" s="256"/>
      <c r="BZ312" s="258"/>
      <c r="CA312" s="258"/>
      <c r="CB312" s="256"/>
      <c r="CC312" s="1013"/>
      <c r="CD312" s="1012"/>
      <c r="CE312" s="268"/>
      <c r="CF312" s="411"/>
      <c r="CG312" s="419"/>
      <c r="CH312" s="411"/>
      <c r="CI312" s="411"/>
      <c r="CJ312" s="411"/>
      <c r="CK312" s="419"/>
      <c r="CL312" s="411"/>
      <c r="CM312" s="411"/>
      <c r="CN312" s="411"/>
      <c r="CO312" s="419"/>
      <c r="CP312" s="411"/>
      <c r="CQ312" s="411"/>
      <c r="CR312" s="411"/>
      <c r="CS312" s="411"/>
      <c r="CT312" s="411"/>
      <c r="CU312" s="411"/>
      <c r="CV312" s="411"/>
      <c r="CW312" s="411"/>
      <c r="CX312" s="411"/>
      <c r="CY312" s="419"/>
      <c r="CZ312" s="411"/>
      <c r="DA312" s="411"/>
      <c r="DB312" s="411"/>
      <c r="DC312" s="419"/>
      <c r="DD312" s="411"/>
      <c r="DE312" s="411"/>
      <c r="DF312" s="411"/>
      <c r="DG312" s="419"/>
      <c r="DH312" s="411"/>
      <c r="DI312" s="411"/>
      <c r="DJ312" s="411"/>
      <c r="DK312" s="411"/>
      <c r="DL312" s="411"/>
      <c r="DM312" s="411"/>
      <c r="DN312" s="411"/>
      <c r="DO312" s="411"/>
      <c r="DP312" s="411"/>
      <c r="DQ312" s="411"/>
      <c r="DR312" s="411"/>
      <c r="DS312" s="411"/>
      <c r="DT312" s="411"/>
      <c r="DU312" s="419"/>
      <c r="DV312" s="411"/>
      <c r="DW312" s="411"/>
      <c r="DX312" s="415"/>
      <c r="DY312" s="268"/>
      <c r="DZ312" s="268"/>
      <c r="EA312" s="268"/>
      <c r="EB312" s="268"/>
      <c r="EC312" s="268"/>
      <c r="ED312" s="268"/>
      <c r="EE312" s="268"/>
      <c r="EF312" s="268"/>
      <c r="EG312" s="268"/>
      <c r="EH312" s="268"/>
      <c r="EI312" s="268"/>
      <c r="EJ312" s="268"/>
    </row>
    <row r="313" spans="1:140" s="269" customFormat="1" x14ac:dyDescent="0.2">
      <c r="A313" s="288"/>
      <c r="B313" s="267"/>
      <c r="D313" s="264"/>
      <c r="E313" s="467"/>
      <c r="F313" s="264"/>
      <c r="G313" s="400"/>
      <c r="H313" s="264"/>
      <c r="I313" s="467"/>
      <c r="J313" s="264"/>
      <c r="K313" s="264"/>
      <c r="L313" s="264"/>
      <c r="M313" s="264"/>
      <c r="N313" s="264"/>
      <c r="O313" s="264"/>
      <c r="P313" s="264"/>
      <c r="Q313" s="264"/>
      <c r="R313" s="264"/>
      <c r="S313" s="264"/>
      <c r="T313" s="264"/>
      <c r="U313" s="264"/>
      <c r="V313" s="264"/>
      <c r="W313" s="283"/>
      <c r="X313" s="288"/>
      <c r="Z313" s="1002"/>
      <c r="AS313" s="1355"/>
      <c r="BK313" s="256"/>
      <c r="BO313" s="1363"/>
      <c r="BX313" s="257"/>
      <c r="BY313" s="256"/>
      <c r="BZ313" s="258"/>
      <c r="CA313" s="258"/>
      <c r="CB313" s="256"/>
      <c r="CC313" s="1013"/>
      <c r="CD313" s="1012"/>
      <c r="CE313" s="268"/>
      <c r="CF313" s="411"/>
      <c r="CG313" s="419"/>
      <c r="CH313" s="411"/>
      <c r="CI313" s="411"/>
      <c r="CJ313" s="411"/>
      <c r="CK313" s="419"/>
      <c r="CL313" s="411"/>
      <c r="CM313" s="411"/>
      <c r="CN313" s="411"/>
      <c r="CO313" s="419"/>
      <c r="CP313" s="411"/>
      <c r="CQ313" s="411"/>
      <c r="CR313" s="411"/>
      <c r="CS313" s="411"/>
      <c r="CT313" s="411"/>
      <c r="CU313" s="411"/>
      <c r="CV313" s="411"/>
      <c r="CW313" s="411"/>
      <c r="CX313" s="411"/>
      <c r="CY313" s="419"/>
      <c r="CZ313" s="411"/>
      <c r="DA313" s="411"/>
      <c r="DB313" s="411"/>
      <c r="DC313" s="419"/>
      <c r="DD313" s="411"/>
      <c r="DE313" s="411"/>
      <c r="DF313" s="411"/>
      <c r="DG313" s="419"/>
      <c r="DH313" s="411"/>
      <c r="DI313" s="411"/>
      <c r="DJ313" s="411"/>
      <c r="DK313" s="411"/>
      <c r="DL313" s="411"/>
      <c r="DM313" s="411"/>
      <c r="DN313" s="411"/>
      <c r="DO313" s="411"/>
      <c r="DP313" s="411"/>
      <c r="DQ313" s="411"/>
      <c r="DR313" s="411"/>
      <c r="DS313" s="411"/>
      <c r="DT313" s="411"/>
      <c r="DU313" s="419"/>
      <c r="DV313" s="411"/>
      <c r="DW313" s="411"/>
      <c r="DX313" s="415"/>
      <c r="DY313" s="268"/>
      <c r="DZ313" s="268"/>
      <c r="EA313" s="268"/>
      <c r="EB313" s="268"/>
      <c r="EC313" s="268"/>
      <c r="ED313" s="268"/>
      <c r="EE313" s="268"/>
      <c r="EF313" s="268"/>
      <c r="EG313" s="268"/>
      <c r="EH313" s="268"/>
      <c r="EI313" s="268"/>
      <c r="EJ313" s="268"/>
    </row>
    <row r="314" spans="1:140" s="269" customFormat="1" x14ac:dyDescent="0.2">
      <c r="A314" s="288"/>
      <c r="B314" s="267"/>
      <c r="D314" s="264"/>
      <c r="E314" s="467"/>
      <c r="F314" s="264"/>
      <c r="G314" s="400"/>
      <c r="H314" s="264"/>
      <c r="I314" s="467"/>
      <c r="J314" s="264"/>
      <c r="K314" s="264"/>
      <c r="L314" s="264"/>
      <c r="M314" s="264"/>
      <c r="N314" s="264"/>
      <c r="O314" s="264"/>
      <c r="P314" s="264"/>
      <c r="Q314" s="264"/>
      <c r="R314" s="264"/>
      <c r="S314" s="264"/>
      <c r="T314" s="264"/>
      <c r="U314" s="264"/>
      <c r="V314" s="264"/>
      <c r="W314" s="283"/>
      <c r="X314" s="288"/>
      <c r="Z314" s="1002"/>
      <c r="AS314" s="1355"/>
      <c r="BK314" s="256"/>
      <c r="BO314" s="1363"/>
      <c r="BX314" s="257"/>
      <c r="BY314" s="256"/>
      <c r="BZ314" s="258"/>
      <c r="CA314" s="258"/>
      <c r="CB314" s="256"/>
      <c r="CC314" s="1013"/>
      <c r="CD314" s="1012"/>
      <c r="CE314" s="268"/>
      <c r="CF314" s="411"/>
      <c r="CG314" s="419"/>
      <c r="CH314" s="411"/>
      <c r="CI314" s="411"/>
      <c r="CJ314" s="411"/>
      <c r="CK314" s="419"/>
      <c r="CL314" s="411"/>
      <c r="CM314" s="411"/>
      <c r="CN314" s="411"/>
      <c r="CO314" s="419"/>
      <c r="CP314" s="411"/>
      <c r="CQ314" s="411"/>
      <c r="CR314" s="411"/>
      <c r="CS314" s="411"/>
      <c r="CT314" s="411"/>
      <c r="CU314" s="411"/>
      <c r="CV314" s="411"/>
      <c r="CW314" s="411"/>
      <c r="CX314" s="411"/>
      <c r="CY314" s="419"/>
      <c r="CZ314" s="411"/>
      <c r="DA314" s="411"/>
      <c r="DB314" s="411"/>
      <c r="DC314" s="419"/>
      <c r="DD314" s="411"/>
      <c r="DE314" s="411"/>
      <c r="DF314" s="411"/>
      <c r="DG314" s="419"/>
      <c r="DH314" s="411"/>
      <c r="DI314" s="411"/>
      <c r="DJ314" s="411"/>
      <c r="DK314" s="411"/>
      <c r="DL314" s="411"/>
      <c r="DM314" s="411"/>
      <c r="DN314" s="411"/>
      <c r="DO314" s="411"/>
      <c r="DP314" s="411"/>
      <c r="DQ314" s="411"/>
      <c r="DR314" s="411"/>
      <c r="DS314" s="411"/>
      <c r="DT314" s="411"/>
      <c r="DU314" s="419"/>
      <c r="DV314" s="411"/>
      <c r="DW314" s="411"/>
      <c r="DX314" s="415"/>
      <c r="DY314" s="268"/>
      <c r="DZ314" s="268"/>
      <c r="EA314" s="268"/>
      <c r="EB314" s="268"/>
      <c r="EC314" s="268"/>
      <c r="ED314" s="268"/>
      <c r="EE314" s="268"/>
      <c r="EF314" s="268"/>
      <c r="EG314" s="268"/>
      <c r="EH314" s="268"/>
      <c r="EI314" s="268"/>
      <c r="EJ314" s="268"/>
    </row>
    <row r="315" spans="1:140" s="269" customFormat="1" x14ac:dyDescent="0.2">
      <c r="A315" s="288"/>
      <c r="B315" s="267"/>
      <c r="D315" s="264"/>
      <c r="E315" s="467"/>
      <c r="F315" s="264"/>
      <c r="G315" s="400"/>
      <c r="H315" s="264"/>
      <c r="I315" s="467"/>
      <c r="J315" s="264"/>
      <c r="K315" s="264"/>
      <c r="L315" s="264"/>
      <c r="M315" s="264"/>
      <c r="N315" s="264"/>
      <c r="O315" s="264"/>
      <c r="P315" s="264"/>
      <c r="Q315" s="264"/>
      <c r="R315" s="264"/>
      <c r="S315" s="264"/>
      <c r="T315" s="264"/>
      <c r="U315" s="264"/>
      <c r="V315" s="264"/>
      <c r="W315" s="283"/>
      <c r="X315" s="288"/>
      <c r="Z315" s="1002"/>
      <c r="AS315" s="1355"/>
      <c r="BK315" s="256"/>
      <c r="BO315" s="1363"/>
      <c r="BX315" s="257"/>
      <c r="BY315" s="256"/>
      <c r="BZ315" s="258"/>
      <c r="CA315" s="258"/>
      <c r="CB315" s="256"/>
      <c r="CC315" s="1013"/>
      <c r="CD315" s="1012"/>
      <c r="CE315" s="268"/>
      <c r="CF315" s="411"/>
      <c r="CG315" s="419"/>
      <c r="CH315" s="411"/>
      <c r="CI315" s="411"/>
      <c r="CJ315" s="411"/>
      <c r="CK315" s="419"/>
      <c r="CL315" s="411"/>
      <c r="CM315" s="411"/>
      <c r="CN315" s="411"/>
      <c r="CO315" s="419"/>
      <c r="CP315" s="411"/>
      <c r="CQ315" s="411"/>
      <c r="CR315" s="411"/>
      <c r="CS315" s="411"/>
      <c r="CT315" s="411"/>
      <c r="CU315" s="411"/>
      <c r="CV315" s="411"/>
      <c r="CW315" s="411"/>
      <c r="CX315" s="411"/>
      <c r="CY315" s="419"/>
      <c r="CZ315" s="411"/>
      <c r="DA315" s="411"/>
      <c r="DB315" s="411"/>
      <c r="DC315" s="419"/>
      <c r="DD315" s="411"/>
      <c r="DE315" s="411"/>
      <c r="DF315" s="411"/>
      <c r="DG315" s="419"/>
      <c r="DH315" s="411"/>
      <c r="DI315" s="411"/>
      <c r="DJ315" s="411"/>
      <c r="DK315" s="411"/>
      <c r="DL315" s="411"/>
      <c r="DM315" s="411"/>
      <c r="DN315" s="411"/>
      <c r="DO315" s="411"/>
      <c r="DP315" s="411"/>
      <c r="DQ315" s="411"/>
      <c r="DR315" s="411"/>
      <c r="DS315" s="411"/>
      <c r="DT315" s="411"/>
      <c r="DU315" s="419"/>
      <c r="DV315" s="411"/>
      <c r="DW315" s="411"/>
      <c r="DX315" s="415"/>
      <c r="DY315" s="268"/>
      <c r="DZ315" s="268"/>
      <c r="EA315" s="268"/>
      <c r="EB315" s="268"/>
      <c r="EC315" s="268"/>
      <c r="ED315" s="268"/>
      <c r="EE315" s="268"/>
      <c r="EF315" s="268"/>
      <c r="EG315" s="268"/>
      <c r="EH315" s="268"/>
      <c r="EI315" s="268"/>
      <c r="EJ315" s="268"/>
    </row>
    <row r="316" spans="1:140" s="269" customFormat="1" x14ac:dyDescent="0.2">
      <c r="A316" s="288"/>
      <c r="B316" s="267"/>
      <c r="D316" s="264"/>
      <c r="E316" s="467"/>
      <c r="F316" s="264"/>
      <c r="G316" s="400"/>
      <c r="H316" s="264"/>
      <c r="I316" s="467"/>
      <c r="J316" s="264"/>
      <c r="K316" s="264"/>
      <c r="L316" s="264"/>
      <c r="M316" s="264"/>
      <c r="N316" s="264"/>
      <c r="O316" s="264"/>
      <c r="P316" s="264"/>
      <c r="Q316" s="264"/>
      <c r="R316" s="264"/>
      <c r="S316" s="264"/>
      <c r="T316" s="264"/>
      <c r="U316" s="264"/>
      <c r="V316" s="264"/>
      <c r="W316" s="283"/>
      <c r="X316" s="288"/>
      <c r="Z316" s="1002"/>
      <c r="AS316" s="1355"/>
      <c r="BK316" s="256"/>
      <c r="BO316" s="1363"/>
      <c r="BX316" s="257"/>
      <c r="BY316" s="256"/>
      <c r="BZ316" s="258"/>
      <c r="CA316" s="258"/>
      <c r="CB316" s="256"/>
      <c r="CC316" s="1013"/>
      <c r="CD316" s="1012"/>
      <c r="CE316" s="268"/>
      <c r="CF316" s="411"/>
      <c r="CG316" s="419"/>
      <c r="CH316" s="411"/>
      <c r="CI316" s="411"/>
      <c r="CJ316" s="411"/>
      <c r="CK316" s="419"/>
      <c r="CL316" s="411"/>
      <c r="CM316" s="411"/>
      <c r="CN316" s="411"/>
      <c r="CO316" s="419"/>
      <c r="CP316" s="411"/>
      <c r="CQ316" s="411"/>
      <c r="CR316" s="411"/>
      <c r="CS316" s="411"/>
      <c r="CT316" s="411"/>
      <c r="CU316" s="411"/>
      <c r="CV316" s="411"/>
      <c r="CW316" s="411"/>
      <c r="CX316" s="411"/>
      <c r="CY316" s="419"/>
      <c r="CZ316" s="411"/>
      <c r="DA316" s="411"/>
      <c r="DB316" s="411"/>
      <c r="DC316" s="419"/>
      <c r="DD316" s="411"/>
      <c r="DE316" s="411"/>
      <c r="DF316" s="411"/>
      <c r="DG316" s="419"/>
      <c r="DH316" s="411"/>
      <c r="DI316" s="411"/>
      <c r="DJ316" s="411"/>
      <c r="DK316" s="411"/>
      <c r="DL316" s="411"/>
      <c r="DM316" s="411"/>
      <c r="DN316" s="411"/>
      <c r="DO316" s="411"/>
      <c r="DP316" s="411"/>
      <c r="DQ316" s="411"/>
      <c r="DR316" s="411"/>
      <c r="DS316" s="411"/>
      <c r="DT316" s="411"/>
      <c r="DU316" s="419"/>
      <c r="DV316" s="411"/>
      <c r="DW316" s="411"/>
      <c r="DX316" s="415"/>
      <c r="DY316" s="268"/>
      <c r="DZ316" s="268"/>
      <c r="EA316" s="268"/>
      <c r="EB316" s="268"/>
      <c r="EC316" s="268"/>
      <c r="ED316" s="268"/>
      <c r="EE316" s="268"/>
      <c r="EF316" s="268"/>
      <c r="EG316" s="268"/>
      <c r="EH316" s="268"/>
      <c r="EI316" s="268"/>
      <c r="EJ316" s="268"/>
    </row>
    <row r="317" spans="1:140" s="269" customFormat="1" x14ac:dyDescent="0.2">
      <c r="A317" s="288"/>
      <c r="B317" s="267"/>
      <c r="D317" s="264"/>
      <c r="E317" s="467"/>
      <c r="F317" s="264"/>
      <c r="G317" s="400"/>
      <c r="H317" s="264"/>
      <c r="I317" s="467"/>
      <c r="J317" s="264"/>
      <c r="K317" s="264"/>
      <c r="L317" s="264"/>
      <c r="M317" s="264"/>
      <c r="N317" s="264"/>
      <c r="O317" s="264"/>
      <c r="P317" s="264"/>
      <c r="Q317" s="264"/>
      <c r="R317" s="264"/>
      <c r="S317" s="264"/>
      <c r="T317" s="264"/>
      <c r="U317" s="264"/>
      <c r="V317" s="264"/>
      <c r="W317" s="283"/>
      <c r="X317" s="288"/>
      <c r="Z317" s="1002"/>
      <c r="AS317" s="1355"/>
      <c r="BK317" s="256"/>
      <c r="BO317" s="1363"/>
      <c r="BX317" s="257"/>
      <c r="BY317" s="256"/>
      <c r="BZ317" s="258"/>
      <c r="CA317" s="258"/>
      <c r="CB317" s="256"/>
      <c r="CC317" s="1013"/>
      <c r="CD317" s="1012"/>
      <c r="CE317" s="268"/>
      <c r="CF317" s="411"/>
      <c r="CG317" s="419"/>
      <c r="CH317" s="411"/>
      <c r="CI317" s="411"/>
      <c r="CJ317" s="411"/>
      <c r="CK317" s="419"/>
      <c r="CL317" s="411"/>
      <c r="CM317" s="411"/>
      <c r="CN317" s="411"/>
      <c r="CO317" s="419"/>
      <c r="CP317" s="411"/>
      <c r="CQ317" s="411"/>
      <c r="CR317" s="411"/>
      <c r="CS317" s="411"/>
      <c r="CT317" s="411"/>
      <c r="CU317" s="411"/>
      <c r="CV317" s="411"/>
      <c r="CW317" s="411"/>
      <c r="CX317" s="411"/>
      <c r="CY317" s="419"/>
      <c r="CZ317" s="411"/>
      <c r="DA317" s="411"/>
      <c r="DB317" s="411"/>
      <c r="DC317" s="419"/>
      <c r="DD317" s="411"/>
      <c r="DE317" s="411"/>
      <c r="DF317" s="411"/>
      <c r="DG317" s="419"/>
      <c r="DH317" s="411"/>
      <c r="DI317" s="411"/>
      <c r="DJ317" s="411"/>
      <c r="DK317" s="411"/>
      <c r="DL317" s="411"/>
      <c r="DM317" s="411"/>
      <c r="DN317" s="411"/>
      <c r="DO317" s="411"/>
      <c r="DP317" s="411"/>
      <c r="DQ317" s="411"/>
      <c r="DR317" s="411"/>
      <c r="DS317" s="411"/>
      <c r="DT317" s="411"/>
      <c r="DU317" s="419"/>
      <c r="DV317" s="411"/>
      <c r="DW317" s="411"/>
      <c r="DX317" s="415"/>
      <c r="DY317" s="268"/>
      <c r="DZ317" s="268"/>
      <c r="EA317" s="268"/>
      <c r="EB317" s="268"/>
      <c r="EC317" s="268"/>
      <c r="ED317" s="268"/>
      <c r="EE317" s="268"/>
      <c r="EF317" s="268"/>
      <c r="EG317" s="268"/>
      <c r="EH317" s="268"/>
      <c r="EI317" s="268"/>
      <c r="EJ317" s="268"/>
    </row>
    <row r="318" spans="1:140" s="269" customFormat="1" x14ac:dyDescent="0.2">
      <c r="A318" s="288"/>
      <c r="B318" s="267"/>
      <c r="D318" s="264"/>
      <c r="E318" s="467"/>
      <c r="F318" s="264"/>
      <c r="G318" s="400"/>
      <c r="H318" s="264"/>
      <c r="I318" s="467"/>
      <c r="J318" s="264"/>
      <c r="K318" s="264"/>
      <c r="L318" s="264"/>
      <c r="M318" s="264"/>
      <c r="N318" s="264"/>
      <c r="O318" s="264"/>
      <c r="P318" s="264"/>
      <c r="Q318" s="264"/>
      <c r="R318" s="264"/>
      <c r="S318" s="264"/>
      <c r="T318" s="264"/>
      <c r="U318" s="264"/>
      <c r="V318" s="264"/>
      <c r="W318" s="283"/>
      <c r="X318" s="288"/>
      <c r="Z318" s="1002"/>
      <c r="AS318" s="1355"/>
      <c r="BK318" s="256"/>
      <c r="BO318" s="1363"/>
      <c r="BX318" s="257"/>
      <c r="BY318" s="256"/>
      <c r="BZ318" s="258"/>
      <c r="CA318" s="258"/>
      <c r="CB318" s="256"/>
      <c r="CC318" s="1013"/>
      <c r="CD318" s="1012"/>
      <c r="CE318" s="268"/>
      <c r="CF318" s="411"/>
      <c r="CG318" s="419"/>
      <c r="CH318" s="411"/>
      <c r="CI318" s="411"/>
      <c r="CJ318" s="411"/>
      <c r="CK318" s="419"/>
      <c r="CL318" s="411"/>
      <c r="CM318" s="411"/>
      <c r="CN318" s="411"/>
      <c r="CO318" s="419"/>
      <c r="CP318" s="411"/>
      <c r="CQ318" s="411"/>
      <c r="CR318" s="411"/>
      <c r="CS318" s="411"/>
      <c r="CT318" s="411"/>
      <c r="CU318" s="411"/>
      <c r="CV318" s="411"/>
      <c r="CW318" s="411"/>
      <c r="CX318" s="411"/>
      <c r="CY318" s="419"/>
      <c r="CZ318" s="411"/>
      <c r="DA318" s="411"/>
      <c r="DB318" s="411"/>
      <c r="DC318" s="419"/>
      <c r="DD318" s="411"/>
      <c r="DE318" s="411"/>
      <c r="DF318" s="411"/>
      <c r="DG318" s="419"/>
      <c r="DH318" s="411"/>
      <c r="DI318" s="411"/>
      <c r="DJ318" s="411"/>
      <c r="DK318" s="411"/>
      <c r="DL318" s="411"/>
      <c r="DM318" s="411"/>
      <c r="DN318" s="411"/>
      <c r="DO318" s="411"/>
      <c r="DP318" s="411"/>
      <c r="DQ318" s="411"/>
      <c r="DR318" s="411"/>
      <c r="DS318" s="411"/>
      <c r="DT318" s="411"/>
      <c r="DU318" s="419"/>
      <c r="DV318" s="411"/>
      <c r="DW318" s="411"/>
      <c r="DX318" s="415"/>
      <c r="DY318" s="268"/>
      <c r="DZ318" s="268"/>
      <c r="EA318" s="268"/>
      <c r="EB318" s="268"/>
      <c r="EC318" s="268"/>
      <c r="ED318" s="268"/>
      <c r="EE318" s="268"/>
      <c r="EF318" s="268"/>
      <c r="EG318" s="268"/>
      <c r="EH318" s="268"/>
      <c r="EI318" s="268"/>
      <c r="EJ318" s="268"/>
    </row>
    <row r="319" spans="1:140" s="269" customFormat="1" x14ac:dyDescent="0.2">
      <c r="A319" s="288"/>
      <c r="B319" s="267"/>
      <c r="D319" s="264"/>
      <c r="E319" s="467"/>
      <c r="F319" s="264"/>
      <c r="G319" s="400"/>
      <c r="H319" s="264"/>
      <c r="I319" s="467"/>
      <c r="J319" s="264"/>
      <c r="K319" s="264"/>
      <c r="L319" s="264"/>
      <c r="M319" s="264"/>
      <c r="N319" s="264"/>
      <c r="O319" s="264"/>
      <c r="P319" s="264"/>
      <c r="Q319" s="264"/>
      <c r="R319" s="264"/>
      <c r="S319" s="264"/>
      <c r="T319" s="264"/>
      <c r="U319" s="264"/>
      <c r="V319" s="264"/>
      <c r="W319" s="283"/>
      <c r="X319" s="288"/>
      <c r="Z319" s="1002"/>
      <c r="AS319" s="1355"/>
      <c r="BK319" s="256"/>
      <c r="BO319" s="1363"/>
      <c r="BX319" s="257"/>
      <c r="BY319" s="256"/>
      <c r="BZ319" s="258"/>
      <c r="CA319" s="258"/>
      <c r="CB319" s="256"/>
      <c r="CC319" s="1013"/>
      <c r="CD319" s="1012"/>
      <c r="CE319" s="268"/>
      <c r="CF319" s="411"/>
      <c r="CG319" s="419"/>
      <c r="CH319" s="411"/>
      <c r="CI319" s="411"/>
      <c r="CJ319" s="411"/>
      <c r="CK319" s="419"/>
      <c r="CL319" s="411"/>
      <c r="CM319" s="411"/>
      <c r="CN319" s="411"/>
      <c r="CO319" s="419"/>
      <c r="CP319" s="411"/>
      <c r="CQ319" s="411"/>
      <c r="CR319" s="411"/>
      <c r="CS319" s="411"/>
      <c r="CT319" s="411"/>
      <c r="CU319" s="411"/>
      <c r="CV319" s="411"/>
      <c r="CW319" s="411"/>
      <c r="CX319" s="411"/>
      <c r="CY319" s="419"/>
      <c r="CZ319" s="411"/>
      <c r="DA319" s="411"/>
      <c r="DB319" s="411"/>
      <c r="DC319" s="419"/>
      <c r="DD319" s="411"/>
      <c r="DE319" s="411"/>
      <c r="DF319" s="411"/>
      <c r="DG319" s="419"/>
      <c r="DH319" s="411"/>
      <c r="DI319" s="411"/>
      <c r="DJ319" s="411"/>
      <c r="DK319" s="411"/>
      <c r="DL319" s="411"/>
      <c r="DM319" s="411"/>
      <c r="DN319" s="411"/>
      <c r="DO319" s="411"/>
      <c r="DP319" s="411"/>
      <c r="DQ319" s="411"/>
      <c r="DR319" s="411"/>
      <c r="DS319" s="411"/>
      <c r="DT319" s="411"/>
      <c r="DU319" s="419"/>
      <c r="DV319" s="411"/>
      <c r="DW319" s="411"/>
      <c r="DX319" s="415"/>
      <c r="DY319" s="268"/>
      <c r="DZ319" s="268"/>
      <c r="EA319" s="268"/>
      <c r="EB319" s="268"/>
      <c r="EC319" s="268"/>
      <c r="ED319" s="268"/>
      <c r="EE319" s="268"/>
      <c r="EF319" s="268"/>
      <c r="EG319" s="268"/>
      <c r="EH319" s="268"/>
      <c r="EI319" s="268"/>
      <c r="EJ319" s="268"/>
    </row>
    <row r="320" spans="1:140" s="269" customFormat="1" x14ac:dyDescent="0.2">
      <c r="A320" s="288"/>
      <c r="B320" s="267"/>
      <c r="D320" s="264"/>
      <c r="E320" s="467"/>
      <c r="F320" s="264"/>
      <c r="G320" s="400"/>
      <c r="H320" s="264"/>
      <c r="I320" s="467"/>
      <c r="J320" s="264"/>
      <c r="K320" s="264"/>
      <c r="L320" s="264"/>
      <c r="M320" s="264"/>
      <c r="N320" s="264"/>
      <c r="O320" s="264"/>
      <c r="P320" s="264"/>
      <c r="Q320" s="264"/>
      <c r="R320" s="264"/>
      <c r="S320" s="264"/>
      <c r="T320" s="264"/>
      <c r="U320" s="264"/>
      <c r="V320" s="264"/>
      <c r="W320" s="283"/>
      <c r="X320" s="288"/>
      <c r="Z320" s="1002"/>
      <c r="AS320" s="1355"/>
      <c r="BK320" s="256"/>
      <c r="BO320" s="1363"/>
      <c r="BX320" s="257"/>
      <c r="BY320" s="256"/>
      <c r="BZ320" s="258"/>
      <c r="CA320" s="258"/>
      <c r="CB320" s="256"/>
      <c r="CC320" s="1013"/>
      <c r="CD320" s="1012"/>
      <c r="CE320" s="268"/>
      <c r="CF320" s="411"/>
      <c r="CG320" s="419"/>
      <c r="CH320" s="411"/>
      <c r="CI320" s="411"/>
      <c r="CJ320" s="411"/>
      <c r="CK320" s="419"/>
      <c r="CL320" s="411"/>
      <c r="CM320" s="411"/>
      <c r="CN320" s="411"/>
      <c r="CO320" s="419"/>
      <c r="CP320" s="411"/>
      <c r="CQ320" s="411"/>
      <c r="CR320" s="411"/>
      <c r="CS320" s="411"/>
      <c r="CT320" s="411"/>
      <c r="CU320" s="411"/>
      <c r="CV320" s="411"/>
      <c r="CW320" s="411"/>
      <c r="CX320" s="411"/>
      <c r="CY320" s="419"/>
      <c r="CZ320" s="411"/>
      <c r="DA320" s="411"/>
      <c r="DB320" s="411"/>
      <c r="DC320" s="419"/>
      <c r="DD320" s="411"/>
      <c r="DE320" s="411"/>
      <c r="DF320" s="411"/>
      <c r="DG320" s="419"/>
      <c r="DH320" s="411"/>
      <c r="DI320" s="411"/>
      <c r="DJ320" s="411"/>
      <c r="DK320" s="411"/>
      <c r="DL320" s="411"/>
      <c r="DM320" s="411"/>
      <c r="DN320" s="411"/>
      <c r="DO320" s="411"/>
      <c r="DP320" s="411"/>
      <c r="DQ320" s="411"/>
      <c r="DR320" s="411"/>
      <c r="DS320" s="411"/>
      <c r="DT320" s="411"/>
      <c r="DU320" s="419"/>
      <c r="DV320" s="411"/>
      <c r="DW320" s="411"/>
      <c r="DX320" s="415"/>
      <c r="DY320" s="268"/>
      <c r="DZ320" s="268"/>
      <c r="EA320" s="268"/>
      <c r="EB320" s="268"/>
      <c r="EC320" s="268"/>
      <c r="ED320" s="268"/>
      <c r="EE320" s="268"/>
      <c r="EF320" s="268"/>
      <c r="EG320" s="268"/>
      <c r="EH320" s="268"/>
      <c r="EI320" s="268"/>
      <c r="EJ320" s="268"/>
    </row>
    <row r="321" spans="1:140" s="269" customFormat="1" x14ac:dyDescent="0.2">
      <c r="A321" s="288"/>
      <c r="B321" s="267"/>
      <c r="D321" s="264"/>
      <c r="E321" s="467"/>
      <c r="F321" s="264"/>
      <c r="G321" s="400"/>
      <c r="H321" s="264"/>
      <c r="I321" s="467"/>
      <c r="J321" s="264"/>
      <c r="K321" s="264"/>
      <c r="L321" s="264"/>
      <c r="M321" s="264"/>
      <c r="N321" s="264"/>
      <c r="O321" s="264"/>
      <c r="P321" s="264"/>
      <c r="Q321" s="264"/>
      <c r="R321" s="264"/>
      <c r="S321" s="264"/>
      <c r="T321" s="264"/>
      <c r="U321" s="264"/>
      <c r="V321" s="264"/>
      <c r="W321" s="283"/>
      <c r="X321" s="288"/>
      <c r="Z321" s="1002"/>
      <c r="AS321" s="1355"/>
      <c r="BK321" s="256"/>
      <c r="BO321" s="1363"/>
      <c r="BX321" s="257"/>
      <c r="BY321" s="256"/>
      <c r="BZ321" s="258"/>
      <c r="CA321" s="258"/>
      <c r="CB321" s="256"/>
      <c r="CC321" s="1013"/>
      <c r="CD321" s="1012"/>
      <c r="CE321" s="268"/>
      <c r="CF321" s="411"/>
      <c r="CG321" s="419"/>
      <c r="CH321" s="411"/>
      <c r="CI321" s="411"/>
      <c r="CJ321" s="411"/>
      <c r="CK321" s="419"/>
      <c r="CL321" s="411"/>
      <c r="CM321" s="411"/>
      <c r="CN321" s="411"/>
      <c r="CO321" s="419"/>
      <c r="CP321" s="411"/>
      <c r="CQ321" s="411"/>
      <c r="CR321" s="411"/>
      <c r="CS321" s="411"/>
      <c r="CT321" s="411"/>
      <c r="CU321" s="411"/>
      <c r="CV321" s="411"/>
      <c r="CW321" s="411"/>
      <c r="CX321" s="411"/>
      <c r="CY321" s="419"/>
      <c r="CZ321" s="411"/>
      <c r="DA321" s="411"/>
      <c r="DB321" s="411"/>
      <c r="DC321" s="419"/>
      <c r="DD321" s="411"/>
      <c r="DE321" s="411"/>
      <c r="DF321" s="411"/>
      <c r="DG321" s="419"/>
      <c r="DH321" s="411"/>
      <c r="DI321" s="411"/>
      <c r="DJ321" s="411"/>
      <c r="DK321" s="411"/>
      <c r="DL321" s="411"/>
      <c r="DM321" s="411"/>
      <c r="DN321" s="411"/>
      <c r="DO321" s="411"/>
      <c r="DP321" s="411"/>
      <c r="DQ321" s="411"/>
      <c r="DR321" s="411"/>
      <c r="DS321" s="411"/>
      <c r="DT321" s="411"/>
      <c r="DU321" s="419"/>
      <c r="DV321" s="411"/>
      <c r="DW321" s="411"/>
      <c r="DX321" s="415"/>
      <c r="DY321" s="268"/>
      <c r="DZ321" s="268"/>
      <c r="EA321" s="268"/>
      <c r="EB321" s="268"/>
      <c r="EC321" s="268"/>
      <c r="ED321" s="268"/>
      <c r="EE321" s="268"/>
      <c r="EF321" s="268"/>
      <c r="EG321" s="268"/>
      <c r="EH321" s="268"/>
      <c r="EI321" s="268"/>
      <c r="EJ321" s="268"/>
    </row>
    <row r="322" spans="1:140" s="269" customFormat="1" x14ac:dyDescent="0.2">
      <c r="A322" s="288"/>
      <c r="B322" s="267"/>
      <c r="D322" s="264"/>
      <c r="E322" s="467"/>
      <c r="F322" s="264"/>
      <c r="G322" s="400"/>
      <c r="H322" s="264"/>
      <c r="I322" s="467"/>
      <c r="J322" s="264"/>
      <c r="K322" s="264"/>
      <c r="L322" s="264"/>
      <c r="M322" s="264"/>
      <c r="N322" s="264"/>
      <c r="O322" s="264"/>
      <c r="P322" s="264"/>
      <c r="Q322" s="264"/>
      <c r="R322" s="264"/>
      <c r="S322" s="264"/>
      <c r="T322" s="264"/>
      <c r="U322" s="264"/>
      <c r="V322" s="264"/>
      <c r="W322" s="283"/>
      <c r="X322" s="288"/>
      <c r="Z322" s="1002"/>
      <c r="AS322" s="1355"/>
      <c r="BK322" s="256"/>
      <c r="BO322" s="1363"/>
      <c r="BX322" s="257"/>
      <c r="BY322" s="256"/>
      <c r="BZ322" s="258"/>
      <c r="CA322" s="258"/>
      <c r="CB322" s="256"/>
      <c r="CC322" s="1013"/>
      <c r="CD322" s="1012"/>
      <c r="CE322" s="268"/>
      <c r="CF322" s="411"/>
      <c r="CG322" s="419"/>
      <c r="CH322" s="411"/>
      <c r="CI322" s="411"/>
      <c r="CJ322" s="411"/>
      <c r="CK322" s="419"/>
      <c r="CL322" s="411"/>
      <c r="CM322" s="411"/>
      <c r="CN322" s="411"/>
      <c r="CO322" s="419"/>
      <c r="CP322" s="411"/>
      <c r="CQ322" s="411"/>
      <c r="CR322" s="411"/>
      <c r="CS322" s="411"/>
      <c r="CT322" s="411"/>
      <c r="CU322" s="411"/>
      <c r="CV322" s="411"/>
      <c r="CW322" s="411"/>
      <c r="CX322" s="411"/>
      <c r="CY322" s="419"/>
      <c r="CZ322" s="411"/>
      <c r="DA322" s="411"/>
      <c r="DB322" s="411"/>
      <c r="DC322" s="419"/>
      <c r="DD322" s="411"/>
      <c r="DE322" s="411"/>
      <c r="DF322" s="411"/>
      <c r="DG322" s="419"/>
      <c r="DH322" s="411"/>
      <c r="DI322" s="411"/>
      <c r="DJ322" s="411"/>
      <c r="DK322" s="411"/>
      <c r="DL322" s="411"/>
      <c r="DM322" s="411"/>
      <c r="DN322" s="411"/>
      <c r="DO322" s="411"/>
      <c r="DP322" s="411"/>
      <c r="DQ322" s="411"/>
      <c r="DR322" s="411"/>
      <c r="DS322" s="411"/>
      <c r="DT322" s="411"/>
      <c r="DU322" s="419"/>
      <c r="DV322" s="411"/>
      <c r="DW322" s="411"/>
      <c r="DX322" s="415"/>
      <c r="DY322" s="268"/>
      <c r="DZ322" s="268"/>
      <c r="EA322" s="268"/>
      <c r="EB322" s="268"/>
      <c r="EC322" s="268"/>
      <c r="ED322" s="268"/>
      <c r="EE322" s="268"/>
      <c r="EF322" s="268"/>
      <c r="EG322" s="268"/>
      <c r="EH322" s="268"/>
      <c r="EI322" s="268"/>
      <c r="EJ322" s="268"/>
    </row>
    <row r="323" spans="1:140" s="269" customFormat="1" x14ac:dyDescent="0.2">
      <c r="A323" s="288"/>
      <c r="B323" s="267"/>
      <c r="D323" s="264"/>
      <c r="E323" s="467"/>
      <c r="F323" s="264"/>
      <c r="G323" s="400"/>
      <c r="H323" s="264"/>
      <c r="I323" s="467"/>
      <c r="J323" s="264"/>
      <c r="K323" s="264"/>
      <c r="L323" s="264"/>
      <c r="M323" s="264"/>
      <c r="N323" s="264"/>
      <c r="O323" s="264"/>
      <c r="P323" s="264"/>
      <c r="Q323" s="264"/>
      <c r="R323" s="264"/>
      <c r="S323" s="264"/>
      <c r="T323" s="264"/>
      <c r="U323" s="264"/>
      <c r="V323" s="264"/>
      <c r="W323" s="283"/>
      <c r="X323" s="288"/>
      <c r="Z323" s="1002"/>
      <c r="AS323" s="1355"/>
      <c r="BK323" s="256"/>
      <c r="BO323" s="1363"/>
      <c r="BX323" s="257"/>
      <c r="BY323" s="256"/>
      <c r="BZ323" s="258"/>
      <c r="CA323" s="258"/>
      <c r="CB323" s="256"/>
      <c r="CC323" s="1013"/>
      <c r="CD323" s="1012"/>
      <c r="CE323" s="268"/>
      <c r="CF323" s="411"/>
      <c r="CG323" s="419"/>
      <c r="CH323" s="411"/>
      <c r="CI323" s="411"/>
      <c r="CJ323" s="411"/>
      <c r="CK323" s="419"/>
      <c r="CL323" s="411"/>
      <c r="CM323" s="411"/>
      <c r="CN323" s="411"/>
      <c r="CO323" s="419"/>
      <c r="CP323" s="411"/>
      <c r="CQ323" s="411"/>
      <c r="CR323" s="411"/>
      <c r="CS323" s="411"/>
      <c r="CT323" s="411"/>
      <c r="CU323" s="411"/>
      <c r="CV323" s="411"/>
      <c r="CW323" s="411"/>
      <c r="CX323" s="411"/>
      <c r="CY323" s="419"/>
      <c r="CZ323" s="411"/>
      <c r="DA323" s="411"/>
      <c r="DB323" s="411"/>
      <c r="DC323" s="419"/>
      <c r="DD323" s="411"/>
      <c r="DE323" s="411"/>
      <c r="DF323" s="411"/>
      <c r="DG323" s="419"/>
      <c r="DH323" s="411"/>
      <c r="DI323" s="411"/>
      <c r="DJ323" s="411"/>
      <c r="DK323" s="411"/>
      <c r="DL323" s="411"/>
      <c r="DM323" s="411"/>
      <c r="DN323" s="411"/>
      <c r="DO323" s="411"/>
      <c r="DP323" s="411"/>
      <c r="DQ323" s="411"/>
      <c r="DR323" s="411"/>
      <c r="DS323" s="411"/>
      <c r="DT323" s="411"/>
      <c r="DU323" s="419"/>
      <c r="DV323" s="411"/>
      <c r="DW323" s="411"/>
      <c r="DX323" s="415"/>
      <c r="DY323" s="268"/>
      <c r="DZ323" s="268"/>
      <c r="EA323" s="268"/>
      <c r="EB323" s="268"/>
      <c r="EC323" s="268"/>
      <c r="ED323" s="268"/>
      <c r="EE323" s="268"/>
      <c r="EF323" s="268"/>
      <c r="EG323" s="268"/>
      <c r="EH323" s="268"/>
      <c r="EI323" s="268"/>
      <c r="EJ323" s="268"/>
    </row>
    <row r="324" spans="1:140" s="269" customFormat="1" x14ac:dyDescent="0.2">
      <c r="A324" s="288"/>
      <c r="B324" s="267"/>
      <c r="D324" s="264"/>
      <c r="E324" s="467"/>
      <c r="F324" s="264"/>
      <c r="G324" s="400"/>
      <c r="H324" s="264"/>
      <c r="I324" s="467"/>
      <c r="J324" s="264"/>
      <c r="K324" s="264"/>
      <c r="L324" s="264"/>
      <c r="M324" s="264"/>
      <c r="N324" s="264"/>
      <c r="O324" s="264"/>
      <c r="P324" s="264"/>
      <c r="Q324" s="264"/>
      <c r="R324" s="264"/>
      <c r="S324" s="264"/>
      <c r="T324" s="264"/>
      <c r="U324" s="264"/>
      <c r="V324" s="264"/>
      <c r="W324" s="283"/>
      <c r="X324" s="288"/>
      <c r="Z324" s="1002"/>
      <c r="AS324" s="1355"/>
      <c r="BK324" s="256"/>
      <c r="BO324" s="1363"/>
      <c r="BX324" s="257"/>
      <c r="BY324" s="256"/>
      <c r="BZ324" s="258"/>
      <c r="CA324" s="258"/>
      <c r="CB324" s="256"/>
      <c r="CC324" s="1013"/>
      <c r="CD324" s="1012"/>
      <c r="CE324" s="268"/>
      <c r="CF324" s="411"/>
      <c r="CG324" s="419"/>
      <c r="CH324" s="411"/>
      <c r="CI324" s="411"/>
      <c r="CJ324" s="411"/>
      <c r="CK324" s="419"/>
      <c r="CL324" s="411"/>
      <c r="CM324" s="411"/>
      <c r="CN324" s="411"/>
      <c r="CO324" s="419"/>
      <c r="CP324" s="411"/>
      <c r="CQ324" s="411"/>
      <c r="CR324" s="411"/>
      <c r="CS324" s="411"/>
      <c r="CT324" s="411"/>
      <c r="CU324" s="411"/>
      <c r="CV324" s="411"/>
      <c r="CW324" s="411"/>
      <c r="CX324" s="411"/>
      <c r="CY324" s="419"/>
      <c r="CZ324" s="411"/>
      <c r="DA324" s="411"/>
      <c r="DB324" s="411"/>
      <c r="DC324" s="419"/>
      <c r="DD324" s="411"/>
      <c r="DE324" s="411"/>
      <c r="DF324" s="411"/>
      <c r="DG324" s="419"/>
      <c r="DH324" s="411"/>
      <c r="DI324" s="411"/>
      <c r="DJ324" s="411"/>
      <c r="DK324" s="411"/>
      <c r="DL324" s="411"/>
      <c r="DM324" s="411"/>
      <c r="DN324" s="411"/>
      <c r="DO324" s="411"/>
      <c r="DP324" s="411"/>
      <c r="DQ324" s="411"/>
      <c r="DR324" s="411"/>
      <c r="DS324" s="411"/>
      <c r="DT324" s="411"/>
      <c r="DU324" s="419"/>
      <c r="DV324" s="411"/>
      <c r="DW324" s="411"/>
      <c r="DX324" s="415"/>
      <c r="DY324" s="268"/>
      <c r="DZ324" s="268"/>
      <c r="EA324" s="268"/>
      <c r="EB324" s="268"/>
      <c r="EC324" s="268"/>
      <c r="ED324" s="268"/>
      <c r="EE324" s="268"/>
      <c r="EF324" s="268"/>
      <c r="EG324" s="268"/>
      <c r="EH324" s="268"/>
      <c r="EI324" s="268"/>
      <c r="EJ324" s="268"/>
    </row>
    <row r="325" spans="1:140" s="269" customFormat="1" x14ac:dyDescent="0.2">
      <c r="A325" s="288"/>
      <c r="B325" s="267"/>
      <c r="D325" s="264"/>
      <c r="E325" s="467"/>
      <c r="F325" s="264"/>
      <c r="G325" s="400"/>
      <c r="H325" s="264"/>
      <c r="I325" s="467"/>
      <c r="J325" s="264"/>
      <c r="K325" s="264"/>
      <c r="L325" s="264"/>
      <c r="M325" s="264"/>
      <c r="N325" s="264"/>
      <c r="O325" s="264"/>
      <c r="P325" s="264"/>
      <c r="Q325" s="264"/>
      <c r="R325" s="264"/>
      <c r="S325" s="264"/>
      <c r="T325" s="264"/>
      <c r="U325" s="264"/>
      <c r="V325" s="264"/>
      <c r="W325" s="283"/>
      <c r="X325" s="288"/>
      <c r="Z325" s="1002"/>
      <c r="AS325" s="1355"/>
      <c r="BK325" s="256"/>
      <c r="BO325" s="1363"/>
      <c r="BX325" s="257"/>
      <c r="BY325" s="256"/>
      <c r="BZ325" s="258"/>
      <c r="CA325" s="258"/>
      <c r="CB325" s="256"/>
      <c r="CC325" s="1013"/>
      <c r="CD325" s="1012"/>
      <c r="CE325" s="268"/>
      <c r="CF325" s="411"/>
      <c r="CG325" s="419"/>
      <c r="CH325" s="411"/>
      <c r="CI325" s="411"/>
      <c r="CJ325" s="411"/>
      <c r="CK325" s="419"/>
      <c r="CL325" s="411"/>
      <c r="CM325" s="411"/>
      <c r="CN325" s="411"/>
      <c r="CO325" s="419"/>
      <c r="CP325" s="411"/>
      <c r="CQ325" s="411"/>
      <c r="CR325" s="411"/>
      <c r="CS325" s="411"/>
      <c r="CT325" s="411"/>
      <c r="CU325" s="411"/>
      <c r="CV325" s="411"/>
      <c r="CW325" s="411"/>
      <c r="CX325" s="411"/>
      <c r="CY325" s="419"/>
      <c r="CZ325" s="411"/>
      <c r="DA325" s="411"/>
      <c r="DB325" s="411"/>
      <c r="DC325" s="419"/>
      <c r="DD325" s="411"/>
      <c r="DE325" s="411"/>
      <c r="DF325" s="411"/>
      <c r="DG325" s="419"/>
      <c r="DH325" s="411"/>
      <c r="DI325" s="411"/>
      <c r="DJ325" s="411"/>
      <c r="DK325" s="411"/>
      <c r="DL325" s="411"/>
      <c r="DM325" s="411"/>
      <c r="DN325" s="411"/>
      <c r="DO325" s="411"/>
      <c r="DP325" s="411"/>
      <c r="DQ325" s="411"/>
      <c r="DR325" s="411"/>
      <c r="DS325" s="411"/>
      <c r="DT325" s="411"/>
      <c r="DU325" s="419"/>
      <c r="DV325" s="411"/>
      <c r="DW325" s="411"/>
      <c r="DX325" s="415"/>
      <c r="DY325" s="268"/>
      <c r="DZ325" s="268"/>
      <c r="EA325" s="268"/>
      <c r="EB325" s="268"/>
      <c r="EC325" s="268"/>
      <c r="ED325" s="268"/>
      <c r="EE325" s="268"/>
      <c r="EF325" s="268"/>
      <c r="EG325" s="268"/>
      <c r="EH325" s="268"/>
      <c r="EI325" s="268"/>
      <c r="EJ325" s="268"/>
    </row>
    <row r="326" spans="1:140" s="269" customFormat="1" x14ac:dyDescent="0.2">
      <c r="A326" s="288"/>
      <c r="B326" s="267"/>
      <c r="D326" s="264"/>
      <c r="E326" s="467"/>
      <c r="F326" s="264"/>
      <c r="G326" s="400"/>
      <c r="H326" s="264"/>
      <c r="I326" s="467"/>
      <c r="J326" s="264"/>
      <c r="K326" s="264"/>
      <c r="L326" s="264"/>
      <c r="M326" s="264"/>
      <c r="N326" s="264"/>
      <c r="O326" s="264"/>
      <c r="P326" s="264"/>
      <c r="Q326" s="264"/>
      <c r="R326" s="264"/>
      <c r="S326" s="264"/>
      <c r="T326" s="264"/>
      <c r="U326" s="264"/>
      <c r="V326" s="264"/>
      <c r="W326" s="283"/>
      <c r="X326" s="288"/>
      <c r="Z326" s="1002"/>
      <c r="AS326" s="1355"/>
      <c r="BK326" s="256"/>
      <c r="BO326" s="1363"/>
      <c r="BX326" s="257"/>
      <c r="BY326" s="256"/>
      <c r="BZ326" s="258"/>
      <c r="CA326" s="258"/>
      <c r="CB326" s="256"/>
      <c r="CC326" s="1013"/>
      <c r="CD326" s="1012"/>
      <c r="CE326" s="268"/>
      <c r="CF326" s="411"/>
      <c r="CG326" s="419"/>
      <c r="CH326" s="411"/>
      <c r="CI326" s="411"/>
      <c r="CJ326" s="411"/>
      <c r="CK326" s="419"/>
      <c r="CL326" s="411"/>
      <c r="CM326" s="411"/>
      <c r="CN326" s="411"/>
      <c r="CO326" s="419"/>
      <c r="CP326" s="411"/>
      <c r="CQ326" s="411"/>
      <c r="CR326" s="411"/>
      <c r="CS326" s="411"/>
      <c r="CT326" s="411"/>
      <c r="CU326" s="411"/>
      <c r="CV326" s="411"/>
      <c r="CW326" s="411"/>
      <c r="CX326" s="411"/>
      <c r="CY326" s="419"/>
      <c r="CZ326" s="411"/>
      <c r="DA326" s="411"/>
      <c r="DB326" s="411"/>
      <c r="DC326" s="419"/>
      <c r="DD326" s="411"/>
      <c r="DE326" s="411"/>
      <c r="DF326" s="411"/>
      <c r="DG326" s="419"/>
      <c r="DH326" s="411"/>
      <c r="DI326" s="411"/>
      <c r="DJ326" s="411"/>
      <c r="DK326" s="411"/>
      <c r="DL326" s="411"/>
      <c r="DM326" s="411"/>
      <c r="DN326" s="411"/>
      <c r="DO326" s="411"/>
      <c r="DP326" s="411"/>
      <c r="DQ326" s="411"/>
      <c r="DR326" s="411"/>
      <c r="DS326" s="411"/>
      <c r="DT326" s="411"/>
      <c r="DU326" s="419"/>
      <c r="DV326" s="411"/>
      <c r="DW326" s="411"/>
      <c r="DX326" s="415"/>
      <c r="DY326" s="268"/>
      <c r="DZ326" s="268"/>
      <c r="EA326" s="268"/>
      <c r="EB326" s="268"/>
      <c r="EC326" s="268"/>
      <c r="ED326" s="268"/>
      <c r="EE326" s="268"/>
      <c r="EF326" s="268"/>
      <c r="EG326" s="268"/>
      <c r="EH326" s="268"/>
      <c r="EI326" s="268"/>
      <c r="EJ326" s="268"/>
    </row>
    <row r="327" spans="1:140" s="269" customFormat="1" x14ac:dyDescent="0.2">
      <c r="A327" s="288"/>
      <c r="B327" s="267"/>
      <c r="D327" s="264"/>
      <c r="E327" s="467"/>
      <c r="F327" s="264"/>
      <c r="G327" s="400"/>
      <c r="H327" s="264"/>
      <c r="I327" s="467"/>
      <c r="J327" s="264"/>
      <c r="K327" s="264"/>
      <c r="L327" s="264"/>
      <c r="M327" s="264"/>
      <c r="N327" s="264"/>
      <c r="O327" s="264"/>
      <c r="P327" s="264"/>
      <c r="Q327" s="264"/>
      <c r="R327" s="264"/>
      <c r="S327" s="264"/>
      <c r="T327" s="264"/>
      <c r="U327" s="264"/>
      <c r="V327" s="264"/>
      <c r="W327" s="283"/>
      <c r="X327" s="288"/>
      <c r="Z327" s="1002"/>
      <c r="AS327" s="1355"/>
      <c r="BK327" s="256"/>
      <c r="BO327" s="1363"/>
      <c r="BX327" s="257"/>
      <c r="BY327" s="256"/>
      <c r="BZ327" s="258"/>
      <c r="CA327" s="258"/>
      <c r="CB327" s="256"/>
      <c r="CC327" s="1013"/>
      <c r="CD327" s="1012"/>
      <c r="CE327" s="268"/>
      <c r="CF327" s="411"/>
      <c r="CG327" s="419"/>
      <c r="CH327" s="411"/>
      <c r="CI327" s="411"/>
      <c r="CJ327" s="411"/>
      <c r="CK327" s="419"/>
      <c r="CL327" s="411"/>
      <c r="CM327" s="411"/>
      <c r="CN327" s="411"/>
      <c r="CO327" s="419"/>
      <c r="CP327" s="411"/>
      <c r="CQ327" s="411"/>
      <c r="CR327" s="411"/>
      <c r="CS327" s="411"/>
      <c r="CT327" s="411"/>
      <c r="CU327" s="411"/>
      <c r="CV327" s="411"/>
      <c r="CW327" s="411"/>
      <c r="CX327" s="411"/>
      <c r="CY327" s="419"/>
      <c r="CZ327" s="411"/>
      <c r="DA327" s="411"/>
      <c r="DB327" s="411"/>
      <c r="DC327" s="419"/>
      <c r="DD327" s="411"/>
      <c r="DE327" s="411"/>
      <c r="DF327" s="411"/>
      <c r="DG327" s="419"/>
      <c r="DH327" s="411"/>
      <c r="DI327" s="411"/>
      <c r="DJ327" s="411"/>
      <c r="DK327" s="411"/>
      <c r="DL327" s="411"/>
      <c r="DM327" s="411"/>
      <c r="DN327" s="411"/>
      <c r="DO327" s="411"/>
      <c r="DP327" s="411"/>
      <c r="DQ327" s="411"/>
      <c r="DR327" s="411"/>
      <c r="DS327" s="411"/>
      <c r="DT327" s="411"/>
      <c r="DU327" s="419"/>
      <c r="DV327" s="411"/>
      <c r="DW327" s="411"/>
      <c r="DX327" s="415"/>
      <c r="DY327" s="268"/>
      <c r="DZ327" s="268"/>
      <c r="EA327" s="268"/>
      <c r="EB327" s="268"/>
      <c r="EC327" s="268"/>
      <c r="ED327" s="268"/>
      <c r="EE327" s="268"/>
      <c r="EF327" s="268"/>
      <c r="EG327" s="268"/>
      <c r="EH327" s="268"/>
      <c r="EI327" s="268"/>
      <c r="EJ327" s="268"/>
    </row>
    <row r="328" spans="1:140" s="269" customFormat="1" x14ac:dyDescent="0.2">
      <c r="A328" s="288"/>
      <c r="B328" s="267"/>
      <c r="D328" s="264"/>
      <c r="E328" s="467"/>
      <c r="F328" s="264"/>
      <c r="G328" s="400"/>
      <c r="H328" s="264"/>
      <c r="I328" s="467"/>
      <c r="J328" s="264"/>
      <c r="K328" s="264"/>
      <c r="L328" s="264"/>
      <c r="M328" s="264"/>
      <c r="N328" s="264"/>
      <c r="O328" s="264"/>
      <c r="P328" s="264"/>
      <c r="Q328" s="264"/>
      <c r="R328" s="264"/>
      <c r="S328" s="264"/>
      <c r="T328" s="264"/>
      <c r="U328" s="264"/>
      <c r="V328" s="264"/>
      <c r="W328" s="283"/>
      <c r="X328" s="288"/>
      <c r="Z328" s="1002"/>
      <c r="AS328" s="1355"/>
      <c r="BK328" s="256"/>
      <c r="BO328" s="1363"/>
      <c r="BX328" s="257"/>
      <c r="BY328" s="256"/>
      <c r="BZ328" s="258"/>
      <c r="CA328" s="258"/>
      <c r="CB328" s="256"/>
      <c r="CC328" s="1013"/>
      <c r="CD328" s="1012"/>
      <c r="CE328" s="268"/>
      <c r="CF328" s="411"/>
      <c r="CG328" s="419"/>
      <c r="CH328" s="411"/>
      <c r="CI328" s="411"/>
      <c r="CJ328" s="411"/>
      <c r="CK328" s="419"/>
      <c r="CL328" s="411"/>
      <c r="CM328" s="411"/>
      <c r="CN328" s="411"/>
      <c r="CO328" s="419"/>
      <c r="CP328" s="411"/>
      <c r="CQ328" s="411"/>
      <c r="CR328" s="411"/>
      <c r="CS328" s="411"/>
      <c r="CT328" s="411"/>
      <c r="CU328" s="411"/>
      <c r="CV328" s="411"/>
      <c r="CW328" s="411"/>
      <c r="CX328" s="411"/>
      <c r="CY328" s="419"/>
      <c r="CZ328" s="411"/>
      <c r="DA328" s="411"/>
      <c r="DB328" s="411"/>
      <c r="DC328" s="419"/>
      <c r="DD328" s="411"/>
      <c r="DE328" s="411"/>
      <c r="DF328" s="411"/>
      <c r="DG328" s="419"/>
      <c r="DH328" s="411"/>
      <c r="DI328" s="411"/>
      <c r="DJ328" s="411"/>
      <c r="DK328" s="411"/>
      <c r="DL328" s="411"/>
      <c r="DM328" s="411"/>
      <c r="DN328" s="411"/>
      <c r="DO328" s="411"/>
      <c r="DP328" s="411"/>
      <c r="DQ328" s="411"/>
      <c r="DR328" s="411"/>
      <c r="DS328" s="411"/>
      <c r="DT328" s="411"/>
      <c r="DU328" s="419"/>
      <c r="DV328" s="411"/>
      <c r="DW328" s="411"/>
      <c r="DX328" s="415"/>
      <c r="DY328" s="268"/>
      <c r="DZ328" s="268"/>
      <c r="EA328" s="268"/>
      <c r="EB328" s="268"/>
      <c r="EC328" s="268"/>
      <c r="ED328" s="268"/>
      <c r="EE328" s="268"/>
      <c r="EF328" s="268"/>
      <c r="EG328" s="268"/>
      <c r="EH328" s="268"/>
      <c r="EI328" s="268"/>
      <c r="EJ328" s="268"/>
    </row>
    <row r="329" spans="1:140" s="269" customFormat="1" x14ac:dyDescent="0.2">
      <c r="A329" s="288"/>
      <c r="B329" s="267"/>
      <c r="D329" s="264"/>
      <c r="E329" s="467"/>
      <c r="F329" s="264"/>
      <c r="G329" s="400"/>
      <c r="H329" s="264"/>
      <c r="I329" s="467"/>
      <c r="J329" s="264"/>
      <c r="K329" s="264"/>
      <c r="L329" s="264"/>
      <c r="M329" s="264"/>
      <c r="N329" s="264"/>
      <c r="O329" s="264"/>
      <c r="P329" s="264"/>
      <c r="Q329" s="264"/>
      <c r="R329" s="264"/>
      <c r="S329" s="264"/>
      <c r="T329" s="264"/>
      <c r="U329" s="264"/>
      <c r="V329" s="264"/>
      <c r="W329" s="283"/>
      <c r="X329" s="288"/>
      <c r="Z329" s="1002"/>
      <c r="AS329" s="1355"/>
      <c r="BK329" s="256"/>
      <c r="BO329" s="1363"/>
      <c r="BX329" s="257"/>
      <c r="BY329" s="256"/>
      <c r="BZ329" s="258"/>
      <c r="CA329" s="258"/>
      <c r="CB329" s="256"/>
      <c r="CC329" s="1013"/>
      <c r="CD329" s="1012"/>
      <c r="CE329" s="268"/>
      <c r="CF329" s="411"/>
      <c r="CG329" s="419"/>
      <c r="CH329" s="411"/>
      <c r="CI329" s="411"/>
      <c r="CJ329" s="411"/>
      <c r="CK329" s="419"/>
      <c r="CL329" s="411"/>
      <c r="CM329" s="411"/>
      <c r="CN329" s="411"/>
      <c r="CO329" s="419"/>
      <c r="CP329" s="411"/>
      <c r="CQ329" s="411"/>
      <c r="CR329" s="411"/>
      <c r="CS329" s="411"/>
      <c r="CT329" s="411"/>
      <c r="CU329" s="411"/>
      <c r="CV329" s="411"/>
      <c r="CW329" s="411"/>
      <c r="CX329" s="411"/>
      <c r="CY329" s="419"/>
      <c r="CZ329" s="411"/>
      <c r="DA329" s="411"/>
      <c r="DB329" s="411"/>
      <c r="DC329" s="419"/>
      <c r="DD329" s="411"/>
      <c r="DE329" s="411"/>
      <c r="DF329" s="411"/>
      <c r="DG329" s="419"/>
      <c r="DH329" s="411"/>
      <c r="DI329" s="411"/>
      <c r="DJ329" s="411"/>
      <c r="DK329" s="411"/>
      <c r="DL329" s="411"/>
      <c r="DM329" s="411"/>
      <c r="DN329" s="411"/>
      <c r="DO329" s="411"/>
      <c r="DP329" s="411"/>
      <c r="DQ329" s="411"/>
      <c r="DR329" s="411"/>
      <c r="DS329" s="411"/>
      <c r="DT329" s="411"/>
      <c r="DU329" s="419"/>
      <c r="DV329" s="411"/>
      <c r="DW329" s="411"/>
      <c r="DX329" s="415"/>
      <c r="DY329" s="268"/>
      <c r="DZ329" s="268"/>
      <c r="EA329" s="268"/>
      <c r="EB329" s="268"/>
      <c r="EC329" s="268"/>
      <c r="ED329" s="268"/>
      <c r="EE329" s="268"/>
      <c r="EF329" s="268"/>
      <c r="EG329" s="268"/>
      <c r="EH329" s="268"/>
      <c r="EI329" s="268"/>
      <c r="EJ329" s="268"/>
    </row>
    <row r="330" spans="1:140" s="269" customFormat="1" x14ac:dyDescent="0.2">
      <c r="A330" s="288"/>
      <c r="B330" s="267"/>
      <c r="D330" s="264"/>
      <c r="E330" s="467"/>
      <c r="F330" s="264"/>
      <c r="G330" s="400"/>
      <c r="H330" s="264"/>
      <c r="I330" s="467"/>
      <c r="J330" s="264"/>
      <c r="K330" s="264"/>
      <c r="L330" s="264"/>
      <c r="M330" s="264"/>
      <c r="N330" s="264"/>
      <c r="O330" s="264"/>
      <c r="P330" s="264"/>
      <c r="Q330" s="264"/>
      <c r="R330" s="264"/>
      <c r="S330" s="264"/>
      <c r="T330" s="264"/>
      <c r="U330" s="264"/>
      <c r="V330" s="264"/>
      <c r="W330" s="283"/>
      <c r="X330" s="288"/>
      <c r="Z330" s="1002"/>
      <c r="AS330" s="1355"/>
      <c r="BK330" s="256"/>
      <c r="BO330" s="1363"/>
      <c r="BX330" s="257"/>
      <c r="BY330" s="256"/>
      <c r="BZ330" s="258"/>
      <c r="CA330" s="258"/>
      <c r="CB330" s="256"/>
      <c r="CC330" s="1013"/>
      <c r="CD330" s="1012"/>
      <c r="CE330" s="268"/>
      <c r="CF330" s="411"/>
      <c r="CG330" s="419"/>
      <c r="CH330" s="411"/>
      <c r="CI330" s="411"/>
      <c r="CJ330" s="411"/>
      <c r="CK330" s="419"/>
      <c r="CL330" s="411"/>
      <c r="CM330" s="411"/>
      <c r="CN330" s="411"/>
      <c r="CO330" s="419"/>
      <c r="CP330" s="411"/>
      <c r="CQ330" s="411"/>
      <c r="CR330" s="411"/>
      <c r="CS330" s="411"/>
      <c r="CT330" s="411"/>
      <c r="CU330" s="411"/>
      <c r="CV330" s="411"/>
      <c r="CW330" s="411"/>
      <c r="CX330" s="411"/>
      <c r="CY330" s="419"/>
      <c r="CZ330" s="411"/>
      <c r="DA330" s="411"/>
      <c r="DB330" s="411"/>
      <c r="DC330" s="419"/>
      <c r="DD330" s="411"/>
      <c r="DE330" s="411"/>
      <c r="DF330" s="411"/>
      <c r="DG330" s="419"/>
      <c r="DH330" s="411"/>
      <c r="DI330" s="411"/>
      <c r="DJ330" s="411"/>
      <c r="DK330" s="411"/>
      <c r="DL330" s="411"/>
      <c r="DM330" s="411"/>
      <c r="DN330" s="411"/>
      <c r="DO330" s="411"/>
      <c r="DP330" s="411"/>
      <c r="DQ330" s="411"/>
      <c r="DR330" s="411"/>
      <c r="DS330" s="411"/>
      <c r="DT330" s="411"/>
      <c r="DU330" s="419"/>
      <c r="DV330" s="411"/>
      <c r="DW330" s="411"/>
      <c r="DX330" s="415"/>
      <c r="DY330" s="268"/>
      <c r="DZ330" s="268"/>
      <c r="EA330" s="268"/>
      <c r="EB330" s="268"/>
      <c r="EC330" s="268"/>
      <c r="ED330" s="268"/>
      <c r="EE330" s="268"/>
      <c r="EF330" s="268"/>
      <c r="EG330" s="268"/>
      <c r="EH330" s="268"/>
      <c r="EI330" s="268"/>
      <c r="EJ330" s="268"/>
    </row>
    <row r="331" spans="1:140" s="269" customFormat="1" x14ac:dyDescent="0.2">
      <c r="A331" s="288"/>
      <c r="B331" s="267"/>
      <c r="D331" s="264"/>
      <c r="E331" s="467"/>
      <c r="F331" s="264"/>
      <c r="G331" s="400"/>
      <c r="H331" s="264"/>
      <c r="I331" s="467"/>
      <c r="J331" s="264"/>
      <c r="K331" s="264"/>
      <c r="L331" s="264"/>
      <c r="M331" s="264"/>
      <c r="N331" s="264"/>
      <c r="O331" s="264"/>
      <c r="P331" s="264"/>
      <c r="Q331" s="264"/>
      <c r="R331" s="264"/>
      <c r="S331" s="264"/>
      <c r="T331" s="264"/>
      <c r="U331" s="264"/>
      <c r="V331" s="264"/>
      <c r="W331" s="283"/>
      <c r="X331" s="288"/>
      <c r="Z331" s="1002"/>
      <c r="AS331" s="1355"/>
      <c r="BK331" s="256"/>
      <c r="BO331" s="1363"/>
      <c r="BX331" s="257"/>
      <c r="BY331" s="256"/>
      <c r="BZ331" s="258"/>
      <c r="CA331" s="258"/>
      <c r="CB331" s="256"/>
      <c r="CC331" s="1013"/>
      <c r="CD331" s="1012"/>
      <c r="CE331" s="268"/>
      <c r="CF331" s="411"/>
      <c r="CG331" s="419"/>
      <c r="CH331" s="411"/>
      <c r="CI331" s="411"/>
      <c r="CJ331" s="411"/>
      <c r="CK331" s="419"/>
      <c r="CL331" s="411"/>
      <c r="CM331" s="411"/>
      <c r="CN331" s="411"/>
      <c r="CO331" s="419"/>
      <c r="CP331" s="411"/>
      <c r="CQ331" s="411"/>
      <c r="CR331" s="411"/>
      <c r="CS331" s="411"/>
      <c r="CT331" s="411"/>
      <c r="CU331" s="411"/>
      <c r="CV331" s="411"/>
      <c r="CW331" s="411"/>
      <c r="CX331" s="411"/>
      <c r="CY331" s="419"/>
      <c r="CZ331" s="411"/>
      <c r="DA331" s="411"/>
      <c r="DB331" s="411"/>
      <c r="DC331" s="419"/>
      <c r="DD331" s="411"/>
      <c r="DE331" s="411"/>
      <c r="DF331" s="411"/>
      <c r="DG331" s="419"/>
      <c r="DH331" s="411"/>
      <c r="DI331" s="411"/>
      <c r="DJ331" s="411"/>
      <c r="DK331" s="411"/>
      <c r="DL331" s="411"/>
      <c r="DM331" s="411"/>
      <c r="DN331" s="411"/>
      <c r="DO331" s="411"/>
      <c r="DP331" s="411"/>
      <c r="DQ331" s="411"/>
      <c r="DR331" s="411"/>
      <c r="DS331" s="411"/>
      <c r="DT331" s="411"/>
      <c r="DU331" s="419"/>
      <c r="DV331" s="411"/>
      <c r="DW331" s="411"/>
      <c r="DX331" s="415"/>
      <c r="DY331" s="268"/>
      <c r="DZ331" s="268"/>
      <c r="EA331" s="268"/>
      <c r="EB331" s="268"/>
      <c r="EC331" s="268"/>
      <c r="ED331" s="268"/>
      <c r="EE331" s="268"/>
      <c r="EF331" s="268"/>
      <c r="EG331" s="268"/>
      <c r="EH331" s="268"/>
      <c r="EI331" s="268"/>
      <c r="EJ331" s="268"/>
    </row>
    <row r="332" spans="1:140" s="269" customFormat="1" x14ac:dyDescent="0.2">
      <c r="A332" s="288"/>
      <c r="B332" s="267"/>
      <c r="D332" s="264"/>
      <c r="E332" s="467"/>
      <c r="F332" s="264"/>
      <c r="G332" s="400"/>
      <c r="H332" s="264"/>
      <c r="I332" s="467"/>
      <c r="J332" s="264"/>
      <c r="K332" s="264"/>
      <c r="L332" s="264"/>
      <c r="M332" s="264"/>
      <c r="N332" s="264"/>
      <c r="O332" s="264"/>
      <c r="P332" s="264"/>
      <c r="Q332" s="264"/>
      <c r="R332" s="264"/>
      <c r="S332" s="264"/>
      <c r="T332" s="264"/>
      <c r="U332" s="264"/>
      <c r="V332" s="264"/>
      <c r="W332" s="283"/>
      <c r="X332" s="288"/>
      <c r="Z332" s="1002"/>
      <c r="AS332" s="1355"/>
      <c r="BK332" s="256"/>
      <c r="BO332" s="1363"/>
      <c r="BX332" s="257"/>
      <c r="BY332" s="256"/>
      <c r="BZ332" s="258"/>
      <c r="CA332" s="258"/>
      <c r="CB332" s="256"/>
      <c r="CC332" s="1013"/>
      <c r="CD332" s="1012"/>
      <c r="CE332" s="268"/>
      <c r="CF332" s="411"/>
      <c r="CG332" s="419"/>
      <c r="CH332" s="411"/>
      <c r="CI332" s="411"/>
      <c r="CJ332" s="411"/>
      <c r="CK332" s="419"/>
      <c r="CL332" s="411"/>
      <c r="CM332" s="411"/>
      <c r="CN332" s="411"/>
      <c r="CO332" s="419"/>
      <c r="CP332" s="411"/>
      <c r="CQ332" s="411"/>
      <c r="CR332" s="411"/>
      <c r="CS332" s="411"/>
      <c r="CT332" s="411"/>
      <c r="CU332" s="411"/>
      <c r="CV332" s="411"/>
      <c r="CW332" s="411"/>
      <c r="CX332" s="411"/>
      <c r="CY332" s="419"/>
      <c r="CZ332" s="411"/>
      <c r="DA332" s="411"/>
      <c r="DB332" s="411"/>
      <c r="DC332" s="419"/>
      <c r="DD332" s="411"/>
      <c r="DE332" s="411"/>
      <c r="DF332" s="411"/>
      <c r="DG332" s="419"/>
      <c r="DH332" s="411"/>
      <c r="DI332" s="411"/>
      <c r="DJ332" s="411"/>
      <c r="DK332" s="411"/>
      <c r="DL332" s="411"/>
      <c r="DM332" s="411"/>
      <c r="DN332" s="411"/>
      <c r="DO332" s="411"/>
      <c r="DP332" s="411"/>
      <c r="DQ332" s="411"/>
      <c r="DR332" s="411"/>
      <c r="DS332" s="411"/>
      <c r="DT332" s="411"/>
      <c r="DU332" s="419"/>
      <c r="DV332" s="411"/>
      <c r="DW332" s="411"/>
      <c r="DX332" s="415"/>
      <c r="DY332" s="268"/>
      <c r="DZ332" s="268"/>
      <c r="EA332" s="268"/>
      <c r="EB332" s="268"/>
      <c r="EC332" s="268"/>
      <c r="ED332" s="268"/>
      <c r="EE332" s="268"/>
      <c r="EF332" s="268"/>
      <c r="EG332" s="268"/>
      <c r="EH332" s="268"/>
      <c r="EI332" s="268"/>
      <c r="EJ332" s="268"/>
    </row>
    <row r="333" spans="1:140" s="269" customFormat="1" x14ac:dyDescent="0.2">
      <c r="A333" s="288"/>
      <c r="B333" s="267"/>
      <c r="D333" s="264"/>
      <c r="E333" s="467"/>
      <c r="F333" s="264"/>
      <c r="G333" s="400"/>
      <c r="H333" s="264"/>
      <c r="I333" s="467"/>
      <c r="J333" s="264"/>
      <c r="K333" s="264"/>
      <c r="L333" s="264"/>
      <c r="M333" s="264"/>
      <c r="N333" s="264"/>
      <c r="O333" s="264"/>
      <c r="P333" s="264"/>
      <c r="Q333" s="264"/>
      <c r="R333" s="264"/>
      <c r="S333" s="264"/>
      <c r="T333" s="264"/>
      <c r="U333" s="264"/>
      <c r="V333" s="264"/>
      <c r="W333" s="283"/>
      <c r="X333" s="288"/>
      <c r="Z333" s="1002"/>
      <c r="AS333" s="1355"/>
      <c r="BK333" s="256"/>
      <c r="BO333" s="1363"/>
      <c r="BX333" s="257"/>
      <c r="BY333" s="256"/>
      <c r="BZ333" s="258"/>
      <c r="CA333" s="258"/>
      <c r="CB333" s="256"/>
      <c r="CC333" s="1013"/>
      <c r="CD333" s="1012"/>
      <c r="CE333" s="268"/>
      <c r="CF333" s="411"/>
      <c r="CG333" s="419"/>
      <c r="CH333" s="411"/>
      <c r="CI333" s="411"/>
      <c r="CJ333" s="411"/>
      <c r="CK333" s="419"/>
      <c r="CL333" s="411"/>
      <c r="CM333" s="411"/>
      <c r="CN333" s="411"/>
      <c r="CO333" s="419"/>
      <c r="CP333" s="411"/>
      <c r="CQ333" s="411"/>
      <c r="CR333" s="411"/>
      <c r="CS333" s="411"/>
      <c r="CT333" s="411"/>
      <c r="CU333" s="411"/>
      <c r="CV333" s="411"/>
      <c r="CW333" s="411"/>
      <c r="CX333" s="411"/>
      <c r="CY333" s="419"/>
      <c r="CZ333" s="411"/>
      <c r="DA333" s="411"/>
      <c r="DB333" s="411"/>
      <c r="DC333" s="419"/>
      <c r="DD333" s="411"/>
      <c r="DE333" s="411"/>
      <c r="DF333" s="411"/>
      <c r="DG333" s="419"/>
      <c r="DH333" s="411"/>
      <c r="DI333" s="411"/>
      <c r="DJ333" s="411"/>
      <c r="DK333" s="411"/>
      <c r="DL333" s="411"/>
      <c r="DM333" s="411"/>
      <c r="DN333" s="411"/>
      <c r="DO333" s="411"/>
      <c r="DP333" s="411"/>
      <c r="DQ333" s="411"/>
      <c r="DR333" s="411"/>
      <c r="DS333" s="411"/>
      <c r="DT333" s="411"/>
      <c r="DU333" s="419"/>
      <c r="DV333" s="411"/>
      <c r="DW333" s="411"/>
      <c r="DX333" s="415"/>
      <c r="DY333" s="268"/>
      <c r="DZ333" s="268"/>
      <c r="EA333" s="268"/>
      <c r="EB333" s="268"/>
      <c r="EC333" s="268"/>
      <c r="ED333" s="268"/>
      <c r="EE333" s="268"/>
      <c r="EF333" s="268"/>
      <c r="EG333" s="268"/>
      <c r="EH333" s="268"/>
      <c r="EI333" s="268"/>
      <c r="EJ333" s="268"/>
    </row>
    <row r="334" spans="1:140" s="269" customFormat="1" x14ac:dyDescent="0.2">
      <c r="A334" s="288"/>
      <c r="B334" s="267"/>
      <c r="D334" s="264"/>
      <c r="E334" s="467"/>
      <c r="F334" s="264"/>
      <c r="G334" s="400"/>
      <c r="H334" s="264"/>
      <c r="I334" s="467"/>
      <c r="J334" s="264"/>
      <c r="K334" s="264"/>
      <c r="L334" s="264"/>
      <c r="M334" s="264"/>
      <c r="N334" s="264"/>
      <c r="O334" s="264"/>
      <c r="P334" s="264"/>
      <c r="Q334" s="264"/>
      <c r="R334" s="264"/>
      <c r="S334" s="264"/>
      <c r="T334" s="264"/>
      <c r="U334" s="264"/>
      <c r="V334" s="264"/>
      <c r="W334" s="283"/>
      <c r="X334" s="288"/>
      <c r="Z334" s="1002"/>
      <c r="AS334" s="1355"/>
      <c r="BK334" s="256"/>
      <c r="BO334" s="1363"/>
      <c r="BX334" s="257"/>
      <c r="BY334" s="256"/>
      <c r="BZ334" s="258"/>
      <c r="CA334" s="258"/>
      <c r="CB334" s="256"/>
      <c r="CC334" s="1013"/>
      <c r="CD334" s="1012"/>
      <c r="CE334" s="268"/>
      <c r="CF334" s="411"/>
      <c r="CG334" s="419"/>
      <c r="CH334" s="411"/>
      <c r="CI334" s="411"/>
      <c r="CJ334" s="411"/>
      <c r="CK334" s="419"/>
      <c r="CL334" s="411"/>
      <c r="CM334" s="411"/>
      <c r="CN334" s="411"/>
      <c r="CO334" s="419"/>
      <c r="CP334" s="411"/>
      <c r="CQ334" s="411"/>
      <c r="CR334" s="411"/>
      <c r="CS334" s="411"/>
      <c r="CT334" s="411"/>
      <c r="CU334" s="411"/>
      <c r="CV334" s="411"/>
      <c r="CW334" s="411"/>
      <c r="CX334" s="411"/>
      <c r="CY334" s="419"/>
      <c r="CZ334" s="411"/>
      <c r="DA334" s="411"/>
      <c r="DB334" s="411"/>
      <c r="DC334" s="419"/>
      <c r="DD334" s="411"/>
      <c r="DE334" s="411"/>
      <c r="DF334" s="411"/>
      <c r="DG334" s="419"/>
      <c r="DH334" s="411"/>
      <c r="DI334" s="411"/>
      <c r="DJ334" s="411"/>
      <c r="DK334" s="411"/>
      <c r="DL334" s="411"/>
      <c r="DM334" s="411"/>
      <c r="DN334" s="411"/>
      <c r="DO334" s="411"/>
      <c r="DP334" s="411"/>
      <c r="DQ334" s="411"/>
      <c r="DR334" s="411"/>
      <c r="DS334" s="411"/>
      <c r="DT334" s="411"/>
      <c r="DU334" s="419"/>
      <c r="DV334" s="411"/>
      <c r="DW334" s="411"/>
      <c r="DX334" s="415"/>
      <c r="DY334" s="268"/>
      <c r="DZ334" s="268"/>
      <c r="EA334" s="268"/>
      <c r="EB334" s="268"/>
      <c r="EC334" s="268"/>
      <c r="ED334" s="268"/>
      <c r="EE334" s="268"/>
      <c r="EF334" s="268"/>
      <c r="EG334" s="268"/>
      <c r="EH334" s="268"/>
      <c r="EI334" s="268"/>
      <c r="EJ334" s="268"/>
    </row>
    <row r="335" spans="1:140" s="269" customFormat="1" x14ac:dyDescent="0.2">
      <c r="A335" s="288"/>
      <c r="B335" s="267"/>
      <c r="D335" s="264"/>
      <c r="E335" s="467"/>
      <c r="F335" s="264"/>
      <c r="G335" s="400"/>
      <c r="H335" s="264"/>
      <c r="I335" s="467"/>
      <c r="J335" s="264"/>
      <c r="K335" s="264"/>
      <c r="L335" s="264"/>
      <c r="M335" s="264"/>
      <c r="N335" s="264"/>
      <c r="O335" s="264"/>
      <c r="P335" s="264"/>
      <c r="Q335" s="264"/>
      <c r="R335" s="264"/>
      <c r="S335" s="264"/>
      <c r="T335" s="264"/>
      <c r="U335" s="264"/>
      <c r="V335" s="264"/>
      <c r="W335" s="283"/>
      <c r="X335" s="288"/>
      <c r="Z335" s="1002"/>
      <c r="AS335" s="1355"/>
      <c r="BK335" s="256"/>
      <c r="BO335" s="1363"/>
      <c r="BX335" s="257"/>
      <c r="BY335" s="256"/>
      <c r="BZ335" s="258"/>
      <c r="CA335" s="258"/>
      <c r="CB335" s="256"/>
      <c r="CC335" s="1013"/>
      <c r="CD335" s="1012"/>
      <c r="CE335" s="268"/>
      <c r="CF335" s="411"/>
      <c r="CG335" s="419"/>
      <c r="CH335" s="411"/>
      <c r="CI335" s="411"/>
      <c r="CJ335" s="411"/>
      <c r="CK335" s="419"/>
      <c r="CL335" s="411"/>
      <c r="CM335" s="411"/>
      <c r="CN335" s="411"/>
      <c r="CO335" s="419"/>
      <c r="CP335" s="411"/>
      <c r="CQ335" s="411"/>
      <c r="CR335" s="411"/>
      <c r="CS335" s="411"/>
      <c r="CT335" s="411"/>
      <c r="CU335" s="411"/>
      <c r="CV335" s="411"/>
      <c r="CW335" s="411"/>
      <c r="CX335" s="411"/>
      <c r="CY335" s="419"/>
      <c r="CZ335" s="411"/>
      <c r="DA335" s="411"/>
      <c r="DB335" s="411"/>
      <c r="DC335" s="419"/>
      <c r="DD335" s="411"/>
      <c r="DE335" s="411"/>
      <c r="DF335" s="411"/>
      <c r="DG335" s="419"/>
      <c r="DH335" s="411"/>
      <c r="DI335" s="411"/>
      <c r="DJ335" s="411"/>
      <c r="DK335" s="411"/>
      <c r="DL335" s="411"/>
      <c r="DM335" s="411"/>
      <c r="DN335" s="411"/>
      <c r="DO335" s="411"/>
      <c r="DP335" s="411"/>
      <c r="DQ335" s="411"/>
      <c r="DR335" s="411"/>
      <c r="DS335" s="411"/>
      <c r="DT335" s="411"/>
      <c r="DU335" s="419"/>
      <c r="DV335" s="411"/>
      <c r="DW335" s="411"/>
      <c r="DX335" s="415"/>
      <c r="DY335" s="268"/>
      <c r="DZ335" s="268"/>
      <c r="EA335" s="268"/>
      <c r="EB335" s="268"/>
      <c r="EC335" s="268"/>
      <c r="ED335" s="268"/>
      <c r="EE335" s="268"/>
      <c r="EF335" s="268"/>
      <c r="EG335" s="268"/>
      <c r="EH335" s="268"/>
      <c r="EI335" s="268"/>
      <c r="EJ335" s="268"/>
    </row>
    <row r="336" spans="1:140" s="269" customFormat="1" x14ac:dyDescent="0.2">
      <c r="A336" s="288"/>
      <c r="B336" s="267"/>
      <c r="D336" s="264"/>
      <c r="E336" s="467"/>
      <c r="F336" s="264"/>
      <c r="G336" s="400"/>
      <c r="H336" s="264"/>
      <c r="I336" s="467"/>
      <c r="J336" s="264"/>
      <c r="K336" s="264"/>
      <c r="L336" s="264"/>
      <c r="M336" s="264"/>
      <c r="N336" s="264"/>
      <c r="O336" s="264"/>
      <c r="P336" s="264"/>
      <c r="Q336" s="264"/>
      <c r="R336" s="264"/>
      <c r="S336" s="264"/>
      <c r="T336" s="264"/>
      <c r="U336" s="264"/>
      <c r="V336" s="264"/>
      <c r="W336" s="283"/>
      <c r="X336" s="288"/>
      <c r="Z336" s="1002"/>
      <c r="AS336" s="1355"/>
      <c r="BK336" s="256"/>
      <c r="BO336" s="1363"/>
      <c r="BX336" s="257"/>
      <c r="BY336" s="256"/>
      <c r="BZ336" s="258"/>
      <c r="CA336" s="258"/>
      <c r="CB336" s="256"/>
      <c r="CC336" s="1013"/>
      <c r="CD336" s="1012"/>
      <c r="CE336" s="268"/>
      <c r="CF336" s="411"/>
      <c r="CG336" s="419"/>
      <c r="CH336" s="411"/>
      <c r="CI336" s="411"/>
      <c r="CJ336" s="411"/>
      <c r="CK336" s="419"/>
      <c r="CL336" s="411"/>
      <c r="CM336" s="411"/>
      <c r="CN336" s="411"/>
      <c r="CO336" s="419"/>
      <c r="CP336" s="411"/>
      <c r="CQ336" s="411"/>
      <c r="CR336" s="411"/>
      <c r="CS336" s="411"/>
      <c r="CT336" s="411"/>
      <c r="CU336" s="411"/>
      <c r="CV336" s="411"/>
      <c r="CW336" s="411"/>
      <c r="CX336" s="411"/>
      <c r="CY336" s="419"/>
      <c r="CZ336" s="411"/>
      <c r="DA336" s="411"/>
      <c r="DB336" s="411"/>
      <c r="DC336" s="419"/>
      <c r="DD336" s="411"/>
      <c r="DE336" s="411"/>
      <c r="DF336" s="411"/>
      <c r="DG336" s="419"/>
      <c r="DH336" s="411"/>
      <c r="DI336" s="411"/>
      <c r="DJ336" s="411"/>
      <c r="DK336" s="411"/>
      <c r="DL336" s="411"/>
      <c r="DM336" s="411"/>
      <c r="DN336" s="411"/>
      <c r="DO336" s="411"/>
      <c r="DP336" s="411"/>
      <c r="DQ336" s="411"/>
      <c r="DR336" s="411"/>
      <c r="DS336" s="411"/>
      <c r="DT336" s="411"/>
      <c r="DU336" s="419"/>
      <c r="DV336" s="411"/>
      <c r="DW336" s="411"/>
      <c r="DX336" s="415"/>
      <c r="DY336" s="268"/>
      <c r="DZ336" s="268"/>
      <c r="EA336" s="268"/>
      <c r="EB336" s="268"/>
      <c r="EC336" s="268"/>
      <c r="ED336" s="268"/>
      <c r="EE336" s="268"/>
      <c r="EF336" s="268"/>
      <c r="EG336" s="268"/>
      <c r="EH336" s="268"/>
      <c r="EI336" s="268"/>
      <c r="EJ336" s="268"/>
    </row>
    <row r="337" spans="1:140" s="269" customFormat="1" x14ac:dyDescent="0.2">
      <c r="A337" s="288"/>
      <c r="B337" s="267"/>
      <c r="D337" s="264"/>
      <c r="E337" s="467"/>
      <c r="F337" s="264"/>
      <c r="G337" s="400"/>
      <c r="H337" s="264"/>
      <c r="I337" s="467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/>
      <c r="U337" s="264"/>
      <c r="V337" s="264"/>
      <c r="W337" s="283"/>
      <c r="X337" s="288"/>
      <c r="Z337" s="1002"/>
      <c r="AS337" s="1355"/>
      <c r="BK337" s="256"/>
      <c r="BO337" s="1363"/>
      <c r="BX337" s="257"/>
      <c r="BY337" s="256"/>
      <c r="BZ337" s="258"/>
      <c r="CA337" s="258"/>
      <c r="CB337" s="256"/>
      <c r="CC337" s="1013"/>
      <c r="CD337" s="1012"/>
      <c r="CE337" s="268"/>
      <c r="CF337" s="411"/>
      <c r="CG337" s="419"/>
      <c r="CH337" s="411"/>
      <c r="CI337" s="411"/>
      <c r="CJ337" s="411"/>
      <c r="CK337" s="419"/>
      <c r="CL337" s="411"/>
      <c r="CM337" s="411"/>
      <c r="CN337" s="411"/>
      <c r="CO337" s="419"/>
      <c r="CP337" s="411"/>
      <c r="CQ337" s="411"/>
      <c r="CR337" s="411"/>
      <c r="CS337" s="411"/>
      <c r="CT337" s="411"/>
      <c r="CU337" s="411"/>
      <c r="CV337" s="411"/>
      <c r="CW337" s="411"/>
      <c r="CX337" s="411"/>
      <c r="CY337" s="419"/>
      <c r="CZ337" s="411"/>
      <c r="DA337" s="411"/>
      <c r="DB337" s="411"/>
      <c r="DC337" s="419"/>
      <c r="DD337" s="411"/>
      <c r="DE337" s="411"/>
      <c r="DF337" s="411"/>
      <c r="DG337" s="419"/>
      <c r="DH337" s="411"/>
      <c r="DI337" s="411"/>
      <c r="DJ337" s="411"/>
      <c r="DK337" s="411"/>
      <c r="DL337" s="411"/>
      <c r="DM337" s="411"/>
      <c r="DN337" s="411"/>
      <c r="DO337" s="411"/>
      <c r="DP337" s="411"/>
      <c r="DQ337" s="411"/>
      <c r="DR337" s="411"/>
      <c r="DS337" s="411"/>
      <c r="DT337" s="411"/>
      <c r="DU337" s="419"/>
      <c r="DV337" s="411"/>
      <c r="DW337" s="411"/>
      <c r="DX337" s="415"/>
      <c r="DY337" s="268"/>
      <c r="DZ337" s="268"/>
      <c r="EA337" s="268"/>
      <c r="EB337" s="268"/>
      <c r="EC337" s="268"/>
      <c r="ED337" s="268"/>
      <c r="EE337" s="268"/>
      <c r="EF337" s="268"/>
      <c r="EG337" s="268"/>
      <c r="EH337" s="268"/>
      <c r="EI337" s="268"/>
      <c r="EJ337" s="268"/>
    </row>
    <row r="338" spans="1:140" s="269" customFormat="1" x14ac:dyDescent="0.2">
      <c r="A338" s="288"/>
      <c r="B338" s="267"/>
      <c r="D338" s="264"/>
      <c r="E338" s="467"/>
      <c r="F338" s="264"/>
      <c r="G338" s="400"/>
      <c r="H338" s="264"/>
      <c r="I338" s="467"/>
      <c r="J338" s="264"/>
      <c r="K338" s="264"/>
      <c r="L338" s="264"/>
      <c r="M338" s="264"/>
      <c r="N338" s="264"/>
      <c r="O338" s="264"/>
      <c r="P338" s="264"/>
      <c r="Q338" s="264"/>
      <c r="R338" s="264"/>
      <c r="S338" s="264"/>
      <c r="T338" s="264"/>
      <c r="U338" s="264"/>
      <c r="V338" s="264"/>
      <c r="W338" s="283"/>
      <c r="X338" s="288"/>
      <c r="Z338" s="1002"/>
      <c r="AS338" s="1355"/>
      <c r="BK338" s="256"/>
      <c r="BO338" s="1363"/>
      <c r="BX338" s="257"/>
      <c r="BY338" s="256"/>
      <c r="BZ338" s="258"/>
      <c r="CA338" s="258"/>
      <c r="CB338" s="256"/>
      <c r="CC338" s="1013"/>
      <c r="CD338" s="1012"/>
      <c r="CE338" s="268"/>
      <c r="CF338" s="411"/>
      <c r="CG338" s="419"/>
      <c r="CH338" s="411"/>
      <c r="CI338" s="411"/>
      <c r="CJ338" s="411"/>
      <c r="CK338" s="419"/>
      <c r="CL338" s="411"/>
      <c r="CM338" s="411"/>
      <c r="CN338" s="411"/>
      <c r="CO338" s="419"/>
      <c r="CP338" s="411"/>
      <c r="CQ338" s="411"/>
      <c r="CR338" s="411"/>
      <c r="CS338" s="411"/>
      <c r="CT338" s="411"/>
      <c r="CU338" s="411"/>
      <c r="CV338" s="411"/>
      <c r="CW338" s="411"/>
      <c r="CX338" s="411"/>
      <c r="CY338" s="419"/>
      <c r="CZ338" s="411"/>
      <c r="DA338" s="411"/>
      <c r="DB338" s="411"/>
      <c r="DC338" s="419"/>
      <c r="DD338" s="411"/>
      <c r="DE338" s="411"/>
      <c r="DF338" s="411"/>
      <c r="DG338" s="419"/>
      <c r="DH338" s="411"/>
      <c r="DI338" s="411"/>
      <c r="DJ338" s="411"/>
      <c r="DK338" s="411"/>
      <c r="DL338" s="411"/>
      <c r="DM338" s="411"/>
      <c r="DN338" s="411"/>
      <c r="DO338" s="411"/>
      <c r="DP338" s="411"/>
      <c r="DQ338" s="411"/>
      <c r="DR338" s="411"/>
      <c r="DS338" s="411"/>
      <c r="DT338" s="411"/>
      <c r="DU338" s="419"/>
      <c r="DV338" s="411"/>
      <c r="DW338" s="411"/>
      <c r="DX338" s="415"/>
      <c r="DY338" s="268"/>
      <c r="DZ338" s="268"/>
      <c r="EA338" s="268"/>
      <c r="EB338" s="268"/>
      <c r="EC338" s="268"/>
      <c r="ED338" s="268"/>
      <c r="EE338" s="268"/>
      <c r="EF338" s="268"/>
      <c r="EG338" s="268"/>
      <c r="EH338" s="268"/>
      <c r="EI338" s="268"/>
      <c r="EJ338" s="268"/>
    </row>
    <row r="339" spans="1:140" s="269" customFormat="1" x14ac:dyDescent="0.2">
      <c r="A339" s="288"/>
      <c r="B339" s="267"/>
      <c r="D339" s="264"/>
      <c r="E339" s="467"/>
      <c r="F339" s="264"/>
      <c r="G339" s="400"/>
      <c r="H339" s="264"/>
      <c r="I339" s="467"/>
      <c r="J339" s="264"/>
      <c r="K339" s="264"/>
      <c r="L339" s="264"/>
      <c r="M339" s="264"/>
      <c r="N339" s="264"/>
      <c r="O339" s="264"/>
      <c r="P339" s="264"/>
      <c r="Q339" s="264"/>
      <c r="R339" s="264"/>
      <c r="S339" s="264"/>
      <c r="T339" s="264"/>
      <c r="U339" s="264"/>
      <c r="V339" s="264"/>
      <c r="W339" s="283"/>
      <c r="X339" s="288"/>
      <c r="Z339" s="1002"/>
      <c r="AS339" s="1355"/>
      <c r="BK339" s="256"/>
      <c r="BO339" s="1363"/>
      <c r="BX339" s="257"/>
      <c r="BY339" s="256"/>
      <c r="BZ339" s="258"/>
      <c r="CA339" s="258"/>
      <c r="CB339" s="256"/>
      <c r="CC339" s="1013"/>
      <c r="CD339" s="1012"/>
      <c r="CE339" s="268"/>
      <c r="CF339" s="411"/>
      <c r="CG339" s="419"/>
      <c r="CH339" s="411"/>
      <c r="CI339" s="411"/>
      <c r="CJ339" s="411"/>
      <c r="CK339" s="419"/>
      <c r="CL339" s="411"/>
      <c r="CM339" s="411"/>
      <c r="CN339" s="411"/>
      <c r="CO339" s="419"/>
      <c r="CP339" s="411"/>
      <c r="CQ339" s="411"/>
      <c r="CR339" s="411"/>
      <c r="CS339" s="411"/>
      <c r="CT339" s="411"/>
      <c r="CU339" s="411"/>
      <c r="CV339" s="411"/>
      <c r="CW339" s="411"/>
      <c r="CX339" s="411"/>
      <c r="CY339" s="419"/>
      <c r="CZ339" s="411"/>
      <c r="DA339" s="411"/>
      <c r="DB339" s="411"/>
      <c r="DC339" s="419"/>
      <c r="DD339" s="411"/>
      <c r="DE339" s="411"/>
      <c r="DF339" s="411"/>
      <c r="DG339" s="419"/>
      <c r="DH339" s="411"/>
      <c r="DI339" s="411"/>
      <c r="DJ339" s="411"/>
      <c r="DK339" s="411"/>
      <c r="DL339" s="411"/>
      <c r="DM339" s="411"/>
      <c r="DN339" s="411"/>
      <c r="DO339" s="411"/>
      <c r="DP339" s="411"/>
      <c r="DQ339" s="411"/>
      <c r="DR339" s="411"/>
      <c r="DS339" s="411"/>
      <c r="DT339" s="411"/>
      <c r="DU339" s="419"/>
      <c r="DV339" s="411"/>
      <c r="DW339" s="411"/>
      <c r="DX339" s="415"/>
      <c r="DY339" s="268"/>
      <c r="DZ339" s="268"/>
      <c r="EA339" s="268"/>
      <c r="EB339" s="268"/>
      <c r="EC339" s="268"/>
      <c r="ED339" s="268"/>
      <c r="EE339" s="268"/>
      <c r="EF339" s="268"/>
      <c r="EG339" s="268"/>
      <c r="EH339" s="268"/>
      <c r="EI339" s="268"/>
      <c r="EJ339" s="268"/>
    </row>
    <row r="340" spans="1:140" s="269" customFormat="1" x14ac:dyDescent="0.2">
      <c r="A340" s="288"/>
      <c r="B340" s="267"/>
      <c r="D340" s="264"/>
      <c r="E340" s="467"/>
      <c r="F340" s="264"/>
      <c r="G340" s="400"/>
      <c r="H340" s="264"/>
      <c r="I340" s="467"/>
      <c r="J340" s="264"/>
      <c r="K340" s="264"/>
      <c r="L340" s="264"/>
      <c r="M340" s="264"/>
      <c r="N340" s="264"/>
      <c r="O340" s="264"/>
      <c r="P340" s="264"/>
      <c r="Q340" s="264"/>
      <c r="R340" s="264"/>
      <c r="S340" s="264"/>
      <c r="T340" s="264"/>
      <c r="U340" s="264"/>
      <c r="V340" s="264"/>
      <c r="W340" s="283"/>
      <c r="X340" s="288"/>
      <c r="Z340" s="1002"/>
      <c r="AS340" s="1355"/>
      <c r="BK340" s="256"/>
      <c r="BO340" s="1363"/>
      <c r="BX340" s="257"/>
      <c r="BY340" s="256"/>
      <c r="BZ340" s="258"/>
      <c r="CA340" s="258"/>
      <c r="CB340" s="256"/>
      <c r="CC340" s="1013"/>
      <c r="CD340" s="1012"/>
      <c r="CE340" s="268"/>
      <c r="CF340" s="411"/>
      <c r="CG340" s="419"/>
      <c r="CH340" s="411"/>
      <c r="CI340" s="411"/>
      <c r="CJ340" s="411"/>
      <c r="CK340" s="419"/>
      <c r="CL340" s="411"/>
      <c r="CM340" s="411"/>
      <c r="CN340" s="411"/>
      <c r="CO340" s="419"/>
      <c r="CP340" s="411"/>
      <c r="CQ340" s="411"/>
      <c r="CR340" s="411"/>
      <c r="CS340" s="411"/>
      <c r="CT340" s="411"/>
      <c r="CU340" s="411"/>
      <c r="CV340" s="411"/>
      <c r="CW340" s="411"/>
      <c r="CX340" s="411"/>
      <c r="CY340" s="419"/>
      <c r="CZ340" s="411"/>
      <c r="DA340" s="411"/>
      <c r="DB340" s="411"/>
      <c r="DC340" s="419"/>
      <c r="DD340" s="411"/>
      <c r="DE340" s="411"/>
      <c r="DF340" s="411"/>
      <c r="DG340" s="419"/>
      <c r="DH340" s="411"/>
      <c r="DI340" s="411"/>
      <c r="DJ340" s="411"/>
      <c r="DK340" s="411"/>
      <c r="DL340" s="411"/>
      <c r="DM340" s="411"/>
      <c r="DN340" s="411"/>
      <c r="DO340" s="411"/>
      <c r="DP340" s="411"/>
      <c r="DQ340" s="411"/>
      <c r="DR340" s="411"/>
      <c r="DS340" s="411"/>
      <c r="DT340" s="411"/>
      <c r="DU340" s="419"/>
      <c r="DV340" s="411"/>
      <c r="DW340" s="411"/>
      <c r="DX340" s="415"/>
      <c r="DY340" s="268"/>
      <c r="DZ340" s="268"/>
      <c r="EA340" s="268"/>
      <c r="EB340" s="268"/>
      <c r="EC340" s="268"/>
      <c r="ED340" s="268"/>
      <c r="EE340" s="268"/>
      <c r="EF340" s="268"/>
      <c r="EG340" s="268"/>
      <c r="EH340" s="268"/>
      <c r="EI340" s="268"/>
      <c r="EJ340" s="268"/>
    </row>
    <row r="341" spans="1:140" s="269" customFormat="1" x14ac:dyDescent="0.2">
      <c r="A341" s="288"/>
      <c r="B341" s="267"/>
      <c r="D341" s="264"/>
      <c r="E341" s="467"/>
      <c r="F341" s="264"/>
      <c r="G341" s="400"/>
      <c r="H341" s="264"/>
      <c r="I341" s="467"/>
      <c r="J341" s="264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  <c r="V341" s="264"/>
      <c r="W341" s="283"/>
      <c r="X341" s="288"/>
      <c r="Z341" s="1002"/>
      <c r="AS341" s="1355"/>
      <c r="BK341" s="256"/>
      <c r="BO341" s="1363"/>
      <c r="BX341" s="257"/>
      <c r="BY341" s="256"/>
      <c r="BZ341" s="258"/>
      <c r="CA341" s="258"/>
      <c r="CB341" s="256"/>
      <c r="CC341" s="1013"/>
      <c r="CD341" s="1012"/>
      <c r="CE341" s="268"/>
      <c r="CF341" s="411"/>
      <c r="CG341" s="419"/>
      <c r="CH341" s="411"/>
      <c r="CI341" s="411"/>
      <c r="CJ341" s="411"/>
      <c r="CK341" s="419"/>
      <c r="CL341" s="411"/>
      <c r="CM341" s="411"/>
      <c r="CN341" s="411"/>
      <c r="CO341" s="419"/>
      <c r="CP341" s="411"/>
      <c r="CQ341" s="411"/>
      <c r="CR341" s="411"/>
      <c r="CS341" s="411"/>
      <c r="CT341" s="411"/>
      <c r="CU341" s="411"/>
      <c r="CV341" s="411"/>
      <c r="CW341" s="411"/>
      <c r="CX341" s="411"/>
      <c r="CY341" s="419"/>
      <c r="CZ341" s="411"/>
      <c r="DA341" s="411"/>
      <c r="DB341" s="411"/>
      <c r="DC341" s="419"/>
      <c r="DD341" s="411"/>
      <c r="DE341" s="411"/>
      <c r="DF341" s="411"/>
      <c r="DG341" s="419"/>
      <c r="DH341" s="411"/>
      <c r="DI341" s="411"/>
      <c r="DJ341" s="411"/>
      <c r="DK341" s="411"/>
      <c r="DL341" s="411"/>
      <c r="DM341" s="411"/>
      <c r="DN341" s="411"/>
      <c r="DO341" s="411"/>
      <c r="DP341" s="411"/>
      <c r="DQ341" s="411"/>
      <c r="DR341" s="411"/>
      <c r="DS341" s="411"/>
      <c r="DT341" s="411"/>
      <c r="DU341" s="419"/>
      <c r="DV341" s="411"/>
      <c r="DW341" s="411"/>
      <c r="DX341" s="415"/>
      <c r="DY341" s="268"/>
      <c r="DZ341" s="268"/>
      <c r="EA341" s="268"/>
      <c r="EB341" s="268"/>
      <c r="EC341" s="268"/>
      <c r="ED341" s="268"/>
      <c r="EE341" s="268"/>
      <c r="EF341" s="268"/>
      <c r="EG341" s="268"/>
      <c r="EH341" s="268"/>
      <c r="EI341" s="268"/>
      <c r="EJ341" s="268"/>
    </row>
    <row r="342" spans="1:140" s="269" customFormat="1" x14ac:dyDescent="0.2">
      <c r="A342" s="288"/>
      <c r="B342" s="267"/>
      <c r="D342" s="264"/>
      <c r="E342" s="467"/>
      <c r="F342" s="264"/>
      <c r="G342" s="400"/>
      <c r="H342" s="264"/>
      <c r="I342" s="467"/>
      <c r="J342" s="264"/>
      <c r="K342" s="264"/>
      <c r="L342" s="264"/>
      <c r="M342" s="264"/>
      <c r="N342" s="264"/>
      <c r="O342" s="264"/>
      <c r="P342" s="264"/>
      <c r="Q342" s="264"/>
      <c r="R342" s="264"/>
      <c r="S342" s="264"/>
      <c r="T342" s="264"/>
      <c r="U342" s="264"/>
      <c r="V342" s="264"/>
      <c r="W342" s="283"/>
      <c r="X342" s="288"/>
      <c r="Z342" s="1002"/>
      <c r="AS342" s="1355"/>
      <c r="BK342" s="256"/>
      <c r="BO342" s="1363"/>
      <c r="BX342" s="257"/>
      <c r="BY342" s="256"/>
      <c r="BZ342" s="258"/>
      <c r="CA342" s="258"/>
      <c r="CB342" s="256"/>
      <c r="CC342" s="1013"/>
      <c r="CD342" s="1012"/>
      <c r="CE342" s="268"/>
      <c r="CF342" s="411"/>
      <c r="CG342" s="419"/>
      <c r="CH342" s="411"/>
      <c r="CI342" s="411"/>
      <c r="CJ342" s="411"/>
      <c r="CK342" s="419"/>
      <c r="CL342" s="411"/>
      <c r="CM342" s="411"/>
      <c r="CN342" s="411"/>
      <c r="CO342" s="419"/>
      <c r="CP342" s="411"/>
      <c r="CQ342" s="411"/>
      <c r="CR342" s="411"/>
      <c r="CS342" s="411"/>
      <c r="CT342" s="411"/>
      <c r="CU342" s="411"/>
      <c r="CV342" s="411"/>
      <c r="CW342" s="411"/>
      <c r="CX342" s="411"/>
      <c r="CY342" s="419"/>
      <c r="CZ342" s="411"/>
      <c r="DA342" s="411"/>
      <c r="DB342" s="411"/>
      <c r="DC342" s="419"/>
      <c r="DD342" s="411"/>
      <c r="DE342" s="411"/>
      <c r="DF342" s="411"/>
      <c r="DG342" s="419"/>
      <c r="DH342" s="411"/>
      <c r="DI342" s="411"/>
      <c r="DJ342" s="411"/>
      <c r="DK342" s="411"/>
      <c r="DL342" s="411"/>
      <c r="DM342" s="411"/>
      <c r="DN342" s="411"/>
      <c r="DO342" s="411"/>
      <c r="DP342" s="411"/>
      <c r="DQ342" s="411"/>
      <c r="DR342" s="411"/>
      <c r="DS342" s="411"/>
      <c r="DT342" s="411"/>
      <c r="DU342" s="419"/>
      <c r="DV342" s="411"/>
      <c r="DW342" s="411"/>
      <c r="DX342" s="415"/>
      <c r="DY342" s="268"/>
      <c r="DZ342" s="268"/>
      <c r="EA342" s="268"/>
      <c r="EB342" s="268"/>
      <c r="EC342" s="268"/>
      <c r="ED342" s="268"/>
      <c r="EE342" s="268"/>
      <c r="EF342" s="268"/>
      <c r="EG342" s="268"/>
      <c r="EH342" s="268"/>
      <c r="EI342" s="268"/>
      <c r="EJ342" s="268"/>
    </row>
    <row r="343" spans="1:140" s="269" customFormat="1" x14ac:dyDescent="0.2">
      <c r="A343" s="288"/>
      <c r="B343" s="267"/>
      <c r="D343" s="264"/>
      <c r="E343" s="467"/>
      <c r="F343" s="264"/>
      <c r="G343" s="400"/>
      <c r="H343" s="264"/>
      <c r="I343" s="467"/>
      <c r="J343" s="264"/>
      <c r="K343" s="264"/>
      <c r="L343" s="264"/>
      <c r="M343" s="264"/>
      <c r="N343" s="264"/>
      <c r="O343" s="264"/>
      <c r="P343" s="264"/>
      <c r="Q343" s="264"/>
      <c r="R343" s="264"/>
      <c r="S343" s="264"/>
      <c r="T343" s="264"/>
      <c r="U343" s="264"/>
      <c r="V343" s="264"/>
      <c r="W343" s="283"/>
      <c r="X343" s="288"/>
      <c r="Z343" s="1002"/>
      <c r="AS343" s="1355"/>
      <c r="BK343" s="256"/>
      <c r="BO343" s="1363"/>
      <c r="BX343" s="257"/>
      <c r="BY343" s="256"/>
      <c r="BZ343" s="258"/>
      <c r="CA343" s="258"/>
      <c r="CB343" s="256"/>
      <c r="CC343" s="1013"/>
      <c r="CD343" s="1012"/>
      <c r="CE343" s="268"/>
      <c r="CF343" s="411"/>
      <c r="CG343" s="419"/>
      <c r="CH343" s="411"/>
      <c r="CI343" s="411"/>
      <c r="CJ343" s="411"/>
      <c r="CK343" s="419"/>
      <c r="CL343" s="411"/>
      <c r="CM343" s="411"/>
      <c r="CN343" s="411"/>
      <c r="CO343" s="419"/>
      <c r="CP343" s="411"/>
      <c r="CQ343" s="411"/>
      <c r="CR343" s="411"/>
      <c r="CS343" s="411"/>
      <c r="CT343" s="411"/>
      <c r="CU343" s="411"/>
      <c r="CV343" s="411"/>
      <c r="CW343" s="411"/>
      <c r="CX343" s="411"/>
      <c r="CY343" s="419"/>
      <c r="CZ343" s="411"/>
      <c r="DA343" s="411"/>
      <c r="DB343" s="411"/>
      <c r="DC343" s="419"/>
      <c r="DD343" s="411"/>
      <c r="DE343" s="411"/>
      <c r="DF343" s="411"/>
      <c r="DG343" s="419"/>
      <c r="DH343" s="411"/>
      <c r="DI343" s="411"/>
      <c r="DJ343" s="411"/>
      <c r="DK343" s="411"/>
      <c r="DL343" s="411"/>
      <c r="DM343" s="411"/>
      <c r="DN343" s="411"/>
      <c r="DO343" s="411"/>
      <c r="DP343" s="411"/>
      <c r="DQ343" s="411"/>
      <c r="DR343" s="411"/>
      <c r="DS343" s="411"/>
      <c r="DT343" s="411"/>
      <c r="DU343" s="419"/>
      <c r="DV343" s="411"/>
      <c r="DW343" s="411"/>
      <c r="DX343" s="415"/>
      <c r="DY343" s="268"/>
      <c r="DZ343" s="268"/>
      <c r="EA343" s="268"/>
      <c r="EB343" s="268"/>
      <c r="EC343" s="268"/>
      <c r="ED343" s="268"/>
      <c r="EE343" s="268"/>
      <c r="EF343" s="268"/>
      <c r="EG343" s="268"/>
      <c r="EH343" s="268"/>
      <c r="EI343" s="268"/>
      <c r="EJ343" s="268"/>
    </row>
    <row r="344" spans="1:140" s="269" customFormat="1" x14ac:dyDescent="0.2">
      <c r="A344" s="288"/>
      <c r="B344" s="267"/>
      <c r="D344" s="264"/>
      <c r="E344" s="467"/>
      <c r="F344" s="264"/>
      <c r="G344" s="400"/>
      <c r="H344" s="264"/>
      <c r="I344" s="467"/>
      <c r="J344" s="264"/>
      <c r="K344" s="264"/>
      <c r="L344" s="264"/>
      <c r="M344" s="264"/>
      <c r="N344" s="264"/>
      <c r="O344" s="264"/>
      <c r="P344" s="264"/>
      <c r="Q344" s="264"/>
      <c r="R344" s="264"/>
      <c r="S344" s="264"/>
      <c r="T344" s="264"/>
      <c r="U344" s="264"/>
      <c r="V344" s="264"/>
      <c r="W344" s="283"/>
      <c r="X344" s="288"/>
      <c r="Z344" s="1002"/>
      <c r="AS344" s="1355"/>
      <c r="BK344" s="256"/>
      <c r="BO344" s="1363"/>
      <c r="BX344" s="257"/>
      <c r="BY344" s="256"/>
      <c r="BZ344" s="258"/>
      <c r="CA344" s="258"/>
      <c r="CB344" s="256"/>
      <c r="CC344" s="1013"/>
      <c r="CD344" s="1012"/>
      <c r="CE344" s="268"/>
      <c r="CF344" s="411"/>
      <c r="CG344" s="419"/>
      <c r="CH344" s="411"/>
      <c r="CI344" s="411"/>
      <c r="CJ344" s="411"/>
      <c r="CK344" s="419"/>
      <c r="CL344" s="411"/>
      <c r="CM344" s="411"/>
      <c r="CN344" s="411"/>
      <c r="CO344" s="419"/>
      <c r="CP344" s="411"/>
      <c r="CQ344" s="411"/>
      <c r="CR344" s="411"/>
      <c r="CS344" s="411"/>
      <c r="CT344" s="411"/>
      <c r="CU344" s="411"/>
      <c r="CV344" s="411"/>
      <c r="CW344" s="411"/>
      <c r="CX344" s="411"/>
      <c r="CY344" s="419"/>
      <c r="CZ344" s="411"/>
      <c r="DA344" s="411"/>
      <c r="DB344" s="411"/>
      <c r="DC344" s="419"/>
      <c r="DD344" s="411"/>
      <c r="DE344" s="411"/>
      <c r="DF344" s="411"/>
      <c r="DG344" s="419"/>
      <c r="DH344" s="411"/>
      <c r="DI344" s="411"/>
      <c r="DJ344" s="411"/>
      <c r="DK344" s="411"/>
      <c r="DL344" s="411"/>
      <c r="DM344" s="411"/>
      <c r="DN344" s="411"/>
      <c r="DO344" s="411"/>
      <c r="DP344" s="411"/>
      <c r="DQ344" s="411"/>
      <c r="DR344" s="411"/>
      <c r="DS344" s="411"/>
      <c r="DT344" s="411"/>
      <c r="DU344" s="419"/>
      <c r="DV344" s="411"/>
      <c r="DW344" s="411"/>
      <c r="DX344" s="415"/>
      <c r="DY344" s="268"/>
      <c r="DZ344" s="268"/>
      <c r="EA344" s="268"/>
      <c r="EB344" s="268"/>
      <c r="EC344" s="268"/>
      <c r="ED344" s="268"/>
      <c r="EE344" s="268"/>
      <c r="EF344" s="268"/>
      <c r="EG344" s="268"/>
      <c r="EH344" s="268"/>
      <c r="EI344" s="268"/>
      <c r="EJ344" s="268"/>
    </row>
    <row r="345" spans="1:140" s="269" customFormat="1" x14ac:dyDescent="0.2">
      <c r="A345" s="288"/>
      <c r="B345" s="267"/>
      <c r="D345" s="264"/>
      <c r="E345" s="467"/>
      <c r="F345" s="264"/>
      <c r="G345" s="400"/>
      <c r="H345" s="264"/>
      <c r="I345" s="467"/>
      <c r="J345" s="264"/>
      <c r="K345" s="264"/>
      <c r="L345" s="264"/>
      <c r="M345" s="264"/>
      <c r="N345" s="264"/>
      <c r="O345" s="264"/>
      <c r="P345" s="264"/>
      <c r="Q345" s="264"/>
      <c r="R345" s="264"/>
      <c r="S345" s="264"/>
      <c r="T345" s="264"/>
      <c r="U345" s="264"/>
      <c r="V345" s="264"/>
      <c r="W345" s="283"/>
      <c r="X345" s="288"/>
      <c r="Z345" s="1002"/>
      <c r="AS345" s="1355"/>
      <c r="BK345" s="256"/>
      <c r="BO345" s="1363"/>
      <c r="BX345" s="257"/>
      <c r="BY345" s="256"/>
      <c r="BZ345" s="258"/>
      <c r="CA345" s="258"/>
      <c r="CB345" s="256"/>
      <c r="CC345" s="1013"/>
      <c r="CD345" s="1012"/>
      <c r="CE345" s="268"/>
      <c r="CF345" s="411"/>
      <c r="CG345" s="419"/>
      <c r="CH345" s="411"/>
      <c r="CI345" s="411"/>
      <c r="CJ345" s="411"/>
      <c r="CK345" s="419"/>
      <c r="CL345" s="411"/>
      <c r="CM345" s="411"/>
      <c r="CN345" s="411"/>
      <c r="CO345" s="419"/>
      <c r="CP345" s="411"/>
      <c r="CQ345" s="411"/>
      <c r="CR345" s="411"/>
      <c r="CS345" s="411"/>
      <c r="CT345" s="411"/>
      <c r="CU345" s="411"/>
      <c r="CV345" s="411"/>
      <c r="CW345" s="411"/>
      <c r="CX345" s="411"/>
      <c r="CY345" s="419"/>
      <c r="CZ345" s="411"/>
      <c r="DA345" s="411"/>
      <c r="DB345" s="411"/>
      <c r="DC345" s="419"/>
      <c r="DD345" s="411"/>
      <c r="DE345" s="411"/>
      <c r="DF345" s="411"/>
      <c r="DG345" s="419"/>
      <c r="DH345" s="411"/>
      <c r="DI345" s="411"/>
      <c r="DJ345" s="411"/>
      <c r="DK345" s="411"/>
      <c r="DL345" s="411"/>
      <c r="DM345" s="411"/>
      <c r="DN345" s="411"/>
      <c r="DO345" s="411"/>
      <c r="DP345" s="411"/>
      <c r="DQ345" s="411"/>
      <c r="DR345" s="411"/>
      <c r="DS345" s="411"/>
      <c r="DT345" s="411"/>
      <c r="DU345" s="419"/>
      <c r="DV345" s="411"/>
      <c r="DW345" s="411"/>
      <c r="DX345" s="415"/>
      <c r="DY345" s="268"/>
      <c r="DZ345" s="268"/>
      <c r="EA345" s="268"/>
      <c r="EB345" s="268"/>
      <c r="EC345" s="268"/>
      <c r="ED345" s="268"/>
      <c r="EE345" s="268"/>
      <c r="EF345" s="268"/>
      <c r="EG345" s="268"/>
      <c r="EH345" s="268"/>
      <c r="EI345" s="268"/>
      <c r="EJ345" s="268"/>
    </row>
    <row r="346" spans="1:140" s="269" customFormat="1" x14ac:dyDescent="0.2">
      <c r="A346" s="288"/>
      <c r="B346" s="267"/>
      <c r="D346" s="264"/>
      <c r="E346" s="467"/>
      <c r="F346" s="264"/>
      <c r="G346" s="400"/>
      <c r="H346" s="264"/>
      <c r="I346" s="467"/>
      <c r="J346" s="264"/>
      <c r="K346" s="264"/>
      <c r="L346" s="264"/>
      <c r="M346" s="264"/>
      <c r="N346" s="264"/>
      <c r="O346" s="264"/>
      <c r="P346" s="264"/>
      <c r="Q346" s="264"/>
      <c r="R346" s="264"/>
      <c r="S346" s="264"/>
      <c r="T346" s="264"/>
      <c r="U346" s="264"/>
      <c r="V346" s="264"/>
      <c r="W346" s="283"/>
      <c r="X346" s="288"/>
      <c r="Z346" s="1002"/>
      <c r="AS346" s="1355"/>
      <c r="BK346" s="256"/>
      <c r="BO346" s="1363"/>
      <c r="BX346" s="257"/>
      <c r="BY346" s="256"/>
      <c r="BZ346" s="258"/>
      <c r="CA346" s="258"/>
      <c r="CB346" s="256"/>
      <c r="CC346" s="1013"/>
      <c r="CD346" s="1012"/>
      <c r="CE346" s="268"/>
      <c r="CF346" s="411"/>
      <c r="CG346" s="419"/>
      <c r="CH346" s="411"/>
      <c r="CI346" s="411"/>
      <c r="CJ346" s="411"/>
      <c r="CK346" s="419"/>
      <c r="CL346" s="411"/>
      <c r="CM346" s="411"/>
      <c r="CN346" s="411"/>
      <c r="CO346" s="419"/>
      <c r="CP346" s="411"/>
      <c r="CQ346" s="411"/>
      <c r="CR346" s="411"/>
      <c r="CS346" s="411"/>
      <c r="CT346" s="411"/>
      <c r="CU346" s="411"/>
      <c r="CV346" s="411"/>
      <c r="CW346" s="411"/>
      <c r="CX346" s="411"/>
      <c r="CY346" s="419"/>
      <c r="CZ346" s="411"/>
      <c r="DA346" s="411"/>
      <c r="DB346" s="411"/>
      <c r="DC346" s="419"/>
      <c r="DD346" s="411"/>
      <c r="DE346" s="411"/>
      <c r="DF346" s="411"/>
      <c r="DG346" s="419"/>
      <c r="DH346" s="411"/>
      <c r="DI346" s="411"/>
      <c r="DJ346" s="411"/>
      <c r="DK346" s="411"/>
      <c r="DL346" s="411"/>
      <c r="DM346" s="411"/>
      <c r="DN346" s="411"/>
      <c r="DO346" s="411"/>
      <c r="DP346" s="411"/>
      <c r="DQ346" s="411"/>
      <c r="DR346" s="411"/>
      <c r="DS346" s="411"/>
      <c r="DT346" s="411"/>
      <c r="DU346" s="419"/>
      <c r="DV346" s="411"/>
      <c r="DW346" s="411"/>
      <c r="DX346" s="415"/>
      <c r="DY346" s="268"/>
      <c r="DZ346" s="268"/>
      <c r="EA346" s="268"/>
      <c r="EB346" s="268"/>
      <c r="EC346" s="268"/>
      <c r="ED346" s="268"/>
      <c r="EE346" s="268"/>
      <c r="EF346" s="268"/>
      <c r="EG346" s="268"/>
      <c r="EH346" s="268"/>
      <c r="EI346" s="268"/>
      <c r="EJ346" s="268"/>
    </row>
    <row r="347" spans="1:140" s="269" customFormat="1" x14ac:dyDescent="0.2">
      <c r="A347" s="288"/>
      <c r="B347" s="267"/>
      <c r="D347" s="264"/>
      <c r="E347" s="467"/>
      <c r="F347" s="264"/>
      <c r="G347" s="400"/>
      <c r="H347" s="264"/>
      <c r="I347" s="467"/>
      <c r="J347" s="264"/>
      <c r="K347" s="264"/>
      <c r="L347" s="264"/>
      <c r="M347" s="264"/>
      <c r="N347" s="264"/>
      <c r="O347" s="264"/>
      <c r="P347" s="264"/>
      <c r="Q347" s="264"/>
      <c r="R347" s="264"/>
      <c r="S347" s="264"/>
      <c r="T347" s="264"/>
      <c r="U347" s="264"/>
      <c r="V347" s="264"/>
      <c r="W347" s="283"/>
      <c r="X347" s="288"/>
      <c r="Z347" s="1002"/>
      <c r="AS347" s="1355"/>
      <c r="BK347" s="256"/>
      <c r="BO347" s="1363"/>
      <c r="BX347" s="257"/>
      <c r="BY347" s="256"/>
      <c r="BZ347" s="258"/>
      <c r="CA347" s="258"/>
      <c r="CB347" s="256"/>
      <c r="CC347" s="1013"/>
      <c r="CD347" s="1012"/>
      <c r="CE347" s="268"/>
      <c r="CF347" s="411"/>
      <c r="CG347" s="419"/>
      <c r="CH347" s="411"/>
      <c r="CI347" s="411"/>
      <c r="CJ347" s="411"/>
      <c r="CK347" s="419"/>
      <c r="CL347" s="411"/>
      <c r="CM347" s="411"/>
      <c r="CN347" s="411"/>
      <c r="CO347" s="419"/>
      <c r="CP347" s="411"/>
      <c r="CQ347" s="411"/>
      <c r="CR347" s="411"/>
      <c r="CS347" s="411"/>
      <c r="CT347" s="411"/>
      <c r="CU347" s="411"/>
      <c r="CV347" s="411"/>
      <c r="CW347" s="411"/>
      <c r="CX347" s="411"/>
      <c r="CY347" s="419"/>
      <c r="CZ347" s="411"/>
      <c r="DA347" s="411"/>
      <c r="DB347" s="411"/>
      <c r="DC347" s="419"/>
      <c r="DD347" s="411"/>
      <c r="DE347" s="411"/>
      <c r="DF347" s="411"/>
      <c r="DG347" s="419"/>
      <c r="DH347" s="411"/>
      <c r="DI347" s="411"/>
      <c r="DJ347" s="411"/>
      <c r="DK347" s="411"/>
      <c r="DL347" s="411"/>
      <c r="DM347" s="411"/>
      <c r="DN347" s="411"/>
      <c r="DO347" s="411"/>
      <c r="DP347" s="411"/>
      <c r="DQ347" s="411"/>
      <c r="DR347" s="411"/>
      <c r="DS347" s="411"/>
      <c r="DT347" s="411"/>
      <c r="DU347" s="419"/>
      <c r="DV347" s="411"/>
      <c r="DW347" s="411"/>
      <c r="DX347" s="415"/>
      <c r="DY347" s="268"/>
      <c r="DZ347" s="268"/>
      <c r="EA347" s="268"/>
      <c r="EB347" s="268"/>
      <c r="EC347" s="268"/>
      <c r="ED347" s="268"/>
      <c r="EE347" s="268"/>
      <c r="EF347" s="268"/>
      <c r="EG347" s="268"/>
      <c r="EH347" s="268"/>
      <c r="EI347" s="268"/>
      <c r="EJ347" s="268"/>
    </row>
    <row r="348" spans="1:140" s="269" customFormat="1" x14ac:dyDescent="0.2">
      <c r="A348" s="288"/>
      <c r="B348" s="267"/>
      <c r="D348" s="264"/>
      <c r="E348" s="467"/>
      <c r="F348" s="264"/>
      <c r="G348" s="400"/>
      <c r="H348" s="264"/>
      <c r="I348" s="467"/>
      <c r="J348" s="264"/>
      <c r="K348" s="264"/>
      <c r="L348" s="264"/>
      <c r="M348" s="264"/>
      <c r="N348" s="264"/>
      <c r="O348" s="264"/>
      <c r="P348" s="264"/>
      <c r="Q348" s="264"/>
      <c r="R348" s="264"/>
      <c r="S348" s="264"/>
      <c r="T348" s="264"/>
      <c r="U348" s="264"/>
      <c r="V348" s="264"/>
      <c r="W348" s="283"/>
      <c r="X348" s="288"/>
      <c r="Z348" s="1002"/>
      <c r="AS348" s="1355"/>
      <c r="BK348" s="256"/>
      <c r="BO348" s="1363"/>
      <c r="BX348" s="257"/>
      <c r="BY348" s="256"/>
      <c r="BZ348" s="258"/>
      <c r="CA348" s="258"/>
      <c r="CB348" s="256"/>
      <c r="CC348" s="1013"/>
      <c r="CD348" s="1012"/>
      <c r="CE348" s="268"/>
      <c r="CF348" s="411"/>
      <c r="CG348" s="419"/>
      <c r="CH348" s="411"/>
      <c r="CI348" s="411"/>
      <c r="CJ348" s="411"/>
      <c r="CK348" s="419"/>
      <c r="CL348" s="411"/>
      <c r="CM348" s="411"/>
      <c r="CN348" s="411"/>
      <c r="CO348" s="419"/>
      <c r="CP348" s="411"/>
      <c r="CQ348" s="411"/>
      <c r="CR348" s="411"/>
      <c r="CS348" s="411"/>
      <c r="CT348" s="411"/>
      <c r="CU348" s="411"/>
      <c r="CV348" s="411"/>
      <c r="CW348" s="411"/>
      <c r="CX348" s="411"/>
      <c r="CY348" s="419"/>
      <c r="CZ348" s="411"/>
      <c r="DA348" s="411"/>
      <c r="DB348" s="411"/>
      <c r="DC348" s="419"/>
      <c r="DD348" s="411"/>
      <c r="DE348" s="411"/>
      <c r="DF348" s="411"/>
      <c r="DG348" s="419"/>
      <c r="DH348" s="411"/>
      <c r="DI348" s="411"/>
      <c r="DJ348" s="411"/>
      <c r="DK348" s="411"/>
      <c r="DL348" s="411"/>
      <c r="DM348" s="411"/>
      <c r="DN348" s="411"/>
      <c r="DO348" s="411"/>
      <c r="DP348" s="411"/>
      <c r="DQ348" s="411"/>
      <c r="DR348" s="411"/>
      <c r="DS348" s="411"/>
      <c r="DT348" s="411"/>
      <c r="DU348" s="419"/>
      <c r="DV348" s="411"/>
      <c r="DW348" s="411"/>
      <c r="DX348" s="415"/>
      <c r="DY348" s="268"/>
      <c r="DZ348" s="268"/>
      <c r="EA348" s="268"/>
      <c r="EB348" s="268"/>
      <c r="EC348" s="268"/>
      <c r="ED348" s="268"/>
      <c r="EE348" s="268"/>
      <c r="EF348" s="268"/>
      <c r="EG348" s="268"/>
      <c r="EH348" s="268"/>
      <c r="EI348" s="268"/>
      <c r="EJ348" s="268"/>
    </row>
    <row r="349" spans="1:140" s="269" customFormat="1" x14ac:dyDescent="0.2">
      <c r="A349" s="288"/>
      <c r="B349" s="267"/>
      <c r="D349" s="264"/>
      <c r="E349" s="467"/>
      <c r="F349" s="264"/>
      <c r="G349" s="400"/>
      <c r="H349" s="264"/>
      <c r="I349" s="467"/>
      <c r="J349" s="264"/>
      <c r="K349" s="264"/>
      <c r="L349" s="264"/>
      <c r="M349" s="264"/>
      <c r="N349" s="264"/>
      <c r="O349" s="264"/>
      <c r="P349" s="264"/>
      <c r="Q349" s="264"/>
      <c r="R349" s="264"/>
      <c r="S349" s="264"/>
      <c r="T349" s="264"/>
      <c r="U349" s="264"/>
      <c r="V349" s="264"/>
      <c r="W349" s="283"/>
      <c r="X349" s="288"/>
      <c r="Z349" s="1002"/>
      <c r="AS349" s="1355"/>
      <c r="BK349" s="256"/>
      <c r="BO349" s="1363"/>
      <c r="BX349" s="257"/>
      <c r="BY349" s="256"/>
      <c r="BZ349" s="258"/>
      <c r="CA349" s="258"/>
      <c r="CB349" s="256"/>
      <c r="CC349" s="1013"/>
      <c r="CD349" s="1012"/>
      <c r="CE349" s="268"/>
      <c r="CF349" s="411"/>
      <c r="CG349" s="419"/>
      <c r="CH349" s="411"/>
      <c r="CI349" s="411"/>
      <c r="CJ349" s="411"/>
      <c r="CK349" s="419"/>
      <c r="CL349" s="411"/>
      <c r="CM349" s="411"/>
      <c r="CN349" s="411"/>
      <c r="CO349" s="419"/>
      <c r="CP349" s="411"/>
      <c r="CQ349" s="411"/>
      <c r="CR349" s="411"/>
      <c r="CS349" s="411"/>
      <c r="CT349" s="411"/>
      <c r="CU349" s="411"/>
      <c r="CV349" s="411"/>
      <c r="CW349" s="411"/>
      <c r="CX349" s="411"/>
      <c r="CY349" s="419"/>
      <c r="CZ349" s="411"/>
      <c r="DA349" s="411"/>
      <c r="DB349" s="411"/>
      <c r="DC349" s="419"/>
      <c r="DD349" s="411"/>
      <c r="DE349" s="411"/>
      <c r="DF349" s="411"/>
      <c r="DG349" s="419"/>
      <c r="DH349" s="411"/>
      <c r="DI349" s="411"/>
      <c r="DJ349" s="411"/>
      <c r="DK349" s="411"/>
      <c r="DL349" s="411"/>
      <c r="DM349" s="411"/>
      <c r="DN349" s="411"/>
      <c r="DO349" s="411"/>
      <c r="DP349" s="411"/>
      <c r="DQ349" s="411"/>
      <c r="DR349" s="411"/>
      <c r="DS349" s="411"/>
      <c r="DT349" s="411"/>
      <c r="DU349" s="419"/>
      <c r="DV349" s="411"/>
      <c r="DW349" s="411"/>
      <c r="DX349" s="415"/>
      <c r="DY349" s="268"/>
      <c r="DZ349" s="268"/>
      <c r="EA349" s="268"/>
      <c r="EB349" s="268"/>
      <c r="EC349" s="268"/>
      <c r="ED349" s="268"/>
      <c r="EE349" s="268"/>
      <c r="EF349" s="268"/>
      <c r="EG349" s="268"/>
      <c r="EH349" s="268"/>
      <c r="EI349" s="268"/>
      <c r="EJ349" s="268"/>
    </row>
    <row r="350" spans="1:140" s="269" customFormat="1" x14ac:dyDescent="0.2">
      <c r="A350" s="288"/>
      <c r="B350" s="267"/>
      <c r="D350" s="264"/>
      <c r="E350" s="467"/>
      <c r="F350" s="264"/>
      <c r="G350" s="400"/>
      <c r="H350" s="264"/>
      <c r="I350" s="467"/>
      <c r="J350" s="264"/>
      <c r="K350" s="264"/>
      <c r="L350" s="264"/>
      <c r="M350" s="264"/>
      <c r="N350" s="264"/>
      <c r="O350" s="264"/>
      <c r="P350" s="264"/>
      <c r="Q350" s="264"/>
      <c r="R350" s="264"/>
      <c r="S350" s="264"/>
      <c r="T350" s="264"/>
      <c r="U350" s="264"/>
      <c r="V350" s="264"/>
      <c r="W350" s="283"/>
      <c r="X350" s="288"/>
      <c r="Z350" s="1002"/>
      <c r="AS350" s="1355"/>
      <c r="BK350" s="256"/>
      <c r="BO350" s="1363"/>
      <c r="BX350" s="257"/>
      <c r="BY350" s="256"/>
      <c r="BZ350" s="258"/>
      <c r="CA350" s="258"/>
      <c r="CB350" s="256"/>
      <c r="CC350" s="1013"/>
      <c r="CD350" s="1012"/>
      <c r="CE350" s="268"/>
      <c r="CF350" s="411"/>
      <c r="CG350" s="419"/>
      <c r="CH350" s="411"/>
      <c r="CI350" s="411"/>
      <c r="CJ350" s="411"/>
      <c r="CK350" s="419"/>
      <c r="CL350" s="411"/>
      <c r="CM350" s="411"/>
      <c r="CN350" s="411"/>
      <c r="CO350" s="419"/>
      <c r="CP350" s="411"/>
      <c r="CQ350" s="411"/>
      <c r="CR350" s="411"/>
      <c r="CS350" s="411"/>
      <c r="CT350" s="411"/>
      <c r="CU350" s="411"/>
      <c r="CV350" s="411"/>
      <c r="CW350" s="411"/>
      <c r="CX350" s="411"/>
      <c r="CY350" s="419"/>
      <c r="CZ350" s="411"/>
      <c r="DA350" s="411"/>
      <c r="DB350" s="411"/>
      <c r="DC350" s="419"/>
      <c r="DD350" s="411"/>
      <c r="DE350" s="411"/>
      <c r="DF350" s="411"/>
      <c r="DG350" s="419"/>
      <c r="DH350" s="411"/>
      <c r="DI350" s="411"/>
      <c r="DJ350" s="411"/>
      <c r="DK350" s="411"/>
      <c r="DL350" s="411"/>
      <c r="DM350" s="411"/>
      <c r="DN350" s="411"/>
      <c r="DO350" s="411"/>
      <c r="DP350" s="411"/>
      <c r="DQ350" s="411"/>
      <c r="DR350" s="411"/>
      <c r="DS350" s="411"/>
      <c r="DT350" s="411"/>
      <c r="DU350" s="419"/>
      <c r="DV350" s="411"/>
      <c r="DW350" s="411"/>
      <c r="DX350" s="415"/>
      <c r="DY350" s="268"/>
      <c r="DZ350" s="268"/>
      <c r="EA350" s="268"/>
      <c r="EB350" s="268"/>
      <c r="EC350" s="268"/>
      <c r="ED350" s="268"/>
      <c r="EE350" s="268"/>
      <c r="EF350" s="268"/>
      <c r="EG350" s="268"/>
      <c r="EH350" s="268"/>
      <c r="EI350" s="268"/>
      <c r="EJ350" s="268"/>
    </row>
    <row r="351" spans="1:140" s="269" customFormat="1" x14ac:dyDescent="0.2">
      <c r="A351" s="288"/>
      <c r="B351" s="267"/>
      <c r="D351" s="264"/>
      <c r="E351" s="467"/>
      <c r="F351" s="264"/>
      <c r="G351" s="400"/>
      <c r="H351" s="264"/>
      <c r="I351" s="467"/>
      <c r="J351" s="264"/>
      <c r="K351" s="264"/>
      <c r="L351" s="264"/>
      <c r="M351" s="264"/>
      <c r="N351" s="264"/>
      <c r="O351" s="264"/>
      <c r="P351" s="264"/>
      <c r="Q351" s="264"/>
      <c r="R351" s="264"/>
      <c r="S351" s="264"/>
      <c r="T351" s="264"/>
      <c r="U351" s="264"/>
      <c r="V351" s="264"/>
      <c r="W351" s="283"/>
      <c r="X351" s="288"/>
      <c r="Z351" s="1002"/>
      <c r="AS351" s="1355"/>
      <c r="BK351" s="256"/>
      <c r="BO351" s="1363"/>
      <c r="BX351" s="257"/>
      <c r="BY351" s="256"/>
      <c r="BZ351" s="258"/>
      <c r="CA351" s="258"/>
      <c r="CB351" s="256"/>
      <c r="CC351" s="1013"/>
      <c r="CD351" s="1012"/>
      <c r="CE351" s="268"/>
      <c r="CF351" s="411"/>
      <c r="CG351" s="419"/>
      <c r="CH351" s="411"/>
      <c r="CI351" s="411"/>
      <c r="CJ351" s="411"/>
      <c r="CK351" s="419"/>
      <c r="CL351" s="411"/>
      <c r="CM351" s="411"/>
      <c r="CN351" s="411"/>
      <c r="CO351" s="419"/>
      <c r="CP351" s="411"/>
      <c r="CQ351" s="411"/>
      <c r="CR351" s="411"/>
      <c r="CS351" s="411"/>
      <c r="CT351" s="411"/>
      <c r="CU351" s="411"/>
      <c r="CV351" s="411"/>
      <c r="CW351" s="411"/>
      <c r="CX351" s="411"/>
      <c r="CY351" s="419"/>
      <c r="CZ351" s="411"/>
      <c r="DA351" s="411"/>
      <c r="DB351" s="411"/>
      <c r="DC351" s="419"/>
      <c r="DD351" s="411"/>
      <c r="DE351" s="411"/>
      <c r="DF351" s="411"/>
      <c r="DG351" s="419"/>
      <c r="DH351" s="411"/>
      <c r="DI351" s="411"/>
      <c r="DJ351" s="411"/>
      <c r="DK351" s="411"/>
      <c r="DL351" s="411"/>
      <c r="DM351" s="411"/>
      <c r="DN351" s="411"/>
      <c r="DO351" s="411"/>
      <c r="DP351" s="411"/>
      <c r="DQ351" s="411"/>
      <c r="DR351" s="411"/>
      <c r="DS351" s="411"/>
      <c r="DT351" s="411"/>
      <c r="DU351" s="419"/>
      <c r="DV351" s="411"/>
      <c r="DW351" s="411"/>
      <c r="DX351" s="415"/>
      <c r="DY351" s="268"/>
      <c r="DZ351" s="268"/>
      <c r="EA351" s="268"/>
      <c r="EB351" s="268"/>
      <c r="EC351" s="268"/>
      <c r="ED351" s="268"/>
      <c r="EE351" s="268"/>
      <c r="EF351" s="268"/>
      <c r="EG351" s="268"/>
      <c r="EH351" s="268"/>
      <c r="EI351" s="268"/>
      <c r="EJ351" s="268"/>
    </row>
    <row r="352" spans="1:140" s="269" customFormat="1" x14ac:dyDescent="0.2">
      <c r="A352" s="288"/>
      <c r="B352" s="267"/>
      <c r="D352" s="264"/>
      <c r="E352" s="467"/>
      <c r="F352" s="264"/>
      <c r="G352" s="400"/>
      <c r="H352" s="264"/>
      <c r="I352" s="467"/>
      <c r="J352" s="264"/>
      <c r="K352" s="264"/>
      <c r="L352" s="264"/>
      <c r="M352" s="264"/>
      <c r="N352" s="264"/>
      <c r="O352" s="264"/>
      <c r="P352" s="264"/>
      <c r="Q352" s="264"/>
      <c r="R352" s="264"/>
      <c r="S352" s="264"/>
      <c r="T352" s="264"/>
      <c r="U352" s="264"/>
      <c r="V352" s="264"/>
      <c r="W352" s="283"/>
      <c r="X352" s="288"/>
      <c r="Z352" s="1002"/>
      <c r="AS352" s="1355"/>
      <c r="BK352" s="256"/>
      <c r="BO352" s="1363"/>
      <c r="BX352" s="257"/>
      <c r="BY352" s="256"/>
      <c r="BZ352" s="258"/>
      <c r="CA352" s="258"/>
      <c r="CB352" s="256"/>
      <c r="CC352" s="1013"/>
      <c r="CD352" s="1012"/>
      <c r="CE352" s="268"/>
      <c r="CF352" s="411"/>
      <c r="CG352" s="419"/>
      <c r="CH352" s="411"/>
      <c r="CI352" s="411"/>
      <c r="CJ352" s="411"/>
      <c r="CK352" s="419"/>
      <c r="CL352" s="411"/>
      <c r="CM352" s="411"/>
      <c r="CN352" s="411"/>
      <c r="CO352" s="419"/>
      <c r="CP352" s="411"/>
      <c r="CQ352" s="411"/>
      <c r="CR352" s="411"/>
      <c r="CS352" s="411"/>
      <c r="CT352" s="411"/>
      <c r="CU352" s="411"/>
      <c r="CV352" s="411"/>
      <c r="CW352" s="411"/>
      <c r="CX352" s="411"/>
      <c r="CY352" s="419"/>
      <c r="CZ352" s="411"/>
      <c r="DA352" s="411"/>
      <c r="DB352" s="411"/>
      <c r="DC352" s="419"/>
      <c r="DD352" s="411"/>
      <c r="DE352" s="411"/>
      <c r="DF352" s="411"/>
      <c r="DG352" s="419"/>
      <c r="DH352" s="411"/>
      <c r="DI352" s="411"/>
      <c r="DJ352" s="411"/>
      <c r="DK352" s="411"/>
      <c r="DL352" s="411"/>
      <c r="DM352" s="411"/>
      <c r="DN352" s="411"/>
      <c r="DO352" s="411"/>
      <c r="DP352" s="411"/>
      <c r="DQ352" s="411"/>
      <c r="DR352" s="411"/>
      <c r="DS352" s="411"/>
      <c r="DT352" s="411"/>
      <c r="DU352" s="419"/>
      <c r="DV352" s="411"/>
      <c r="DW352" s="411"/>
      <c r="DX352" s="415"/>
      <c r="DY352" s="268"/>
      <c r="DZ352" s="268"/>
      <c r="EA352" s="268"/>
      <c r="EB352" s="268"/>
      <c r="EC352" s="268"/>
      <c r="ED352" s="268"/>
      <c r="EE352" s="268"/>
      <c r="EF352" s="268"/>
      <c r="EG352" s="268"/>
      <c r="EH352" s="268"/>
      <c r="EI352" s="268"/>
      <c r="EJ352" s="268"/>
    </row>
    <row r="353" spans="1:140" s="269" customFormat="1" x14ac:dyDescent="0.2">
      <c r="A353" s="288"/>
      <c r="B353" s="267"/>
      <c r="D353" s="264"/>
      <c r="E353" s="467"/>
      <c r="F353" s="264"/>
      <c r="G353" s="400"/>
      <c r="H353" s="264"/>
      <c r="I353" s="467"/>
      <c r="J353" s="264"/>
      <c r="K353" s="264"/>
      <c r="L353" s="264"/>
      <c r="M353" s="264"/>
      <c r="N353" s="264"/>
      <c r="O353" s="264"/>
      <c r="P353" s="264"/>
      <c r="Q353" s="264"/>
      <c r="R353" s="264"/>
      <c r="S353" s="264"/>
      <c r="T353" s="264"/>
      <c r="U353" s="264"/>
      <c r="V353" s="264"/>
      <c r="W353" s="283"/>
      <c r="X353" s="288"/>
      <c r="Z353" s="1002"/>
      <c r="AS353" s="1355"/>
      <c r="BK353" s="256"/>
      <c r="BO353" s="1363"/>
      <c r="BX353" s="257"/>
      <c r="BY353" s="256"/>
      <c r="BZ353" s="258"/>
      <c r="CA353" s="258"/>
      <c r="CB353" s="256"/>
      <c r="CC353" s="1013"/>
      <c r="CD353" s="1012"/>
      <c r="CE353" s="268"/>
      <c r="CF353" s="411"/>
      <c r="CG353" s="419"/>
      <c r="CH353" s="411"/>
      <c r="CI353" s="411"/>
      <c r="CJ353" s="411"/>
      <c r="CK353" s="419"/>
      <c r="CL353" s="411"/>
      <c r="CM353" s="411"/>
      <c r="CN353" s="411"/>
      <c r="CO353" s="419"/>
      <c r="CP353" s="411"/>
      <c r="CQ353" s="411"/>
      <c r="CR353" s="411"/>
      <c r="CS353" s="411"/>
      <c r="CT353" s="411"/>
      <c r="CU353" s="411"/>
      <c r="CV353" s="411"/>
      <c r="CW353" s="411"/>
      <c r="CX353" s="411"/>
      <c r="CY353" s="419"/>
      <c r="CZ353" s="411"/>
      <c r="DA353" s="411"/>
      <c r="DB353" s="411"/>
      <c r="DC353" s="419"/>
      <c r="DD353" s="411"/>
      <c r="DE353" s="411"/>
      <c r="DF353" s="411"/>
      <c r="DG353" s="419"/>
      <c r="DH353" s="411"/>
      <c r="DI353" s="411"/>
      <c r="DJ353" s="411"/>
      <c r="DK353" s="411"/>
      <c r="DL353" s="411"/>
      <c r="DM353" s="411"/>
      <c r="DN353" s="411"/>
      <c r="DO353" s="411"/>
      <c r="DP353" s="411"/>
      <c r="DQ353" s="411"/>
      <c r="DR353" s="411"/>
      <c r="DS353" s="411"/>
      <c r="DT353" s="411"/>
      <c r="DU353" s="419"/>
      <c r="DV353" s="411"/>
      <c r="DW353" s="411"/>
      <c r="DX353" s="415"/>
      <c r="DY353" s="268"/>
      <c r="DZ353" s="268"/>
      <c r="EA353" s="268"/>
      <c r="EB353" s="268"/>
      <c r="EC353" s="268"/>
      <c r="ED353" s="268"/>
      <c r="EE353" s="268"/>
      <c r="EF353" s="268"/>
      <c r="EG353" s="268"/>
      <c r="EH353" s="268"/>
      <c r="EI353" s="268"/>
      <c r="EJ353" s="268"/>
    </row>
    <row r="354" spans="1:140" s="269" customFormat="1" x14ac:dyDescent="0.2">
      <c r="A354" s="288"/>
      <c r="B354" s="267"/>
      <c r="D354" s="264"/>
      <c r="E354" s="467"/>
      <c r="F354" s="264"/>
      <c r="G354" s="400"/>
      <c r="H354" s="264"/>
      <c r="I354" s="467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283"/>
      <c r="X354" s="288"/>
      <c r="Z354" s="1002"/>
      <c r="AS354" s="1355"/>
      <c r="BK354" s="256"/>
      <c r="BO354" s="1363"/>
      <c r="BX354" s="257"/>
      <c r="BY354" s="256"/>
      <c r="BZ354" s="258"/>
      <c r="CA354" s="258"/>
      <c r="CB354" s="256"/>
      <c r="CC354" s="1013"/>
      <c r="CD354" s="1012"/>
      <c r="CE354" s="268"/>
      <c r="CF354" s="411"/>
      <c r="CG354" s="419"/>
      <c r="CH354" s="411"/>
      <c r="CI354" s="411"/>
      <c r="CJ354" s="411"/>
      <c r="CK354" s="419"/>
      <c r="CL354" s="411"/>
      <c r="CM354" s="411"/>
      <c r="CN354" s="411"/>
      <c r="CO354" s="419"/>
      <c r="CP354" s="411"/>
      <c r="CQ354" s="411"/>
      <c r="CR354" s="411"/>
      <c r="CS354" s="411"/>
      <c r="CT354" s="411"/>
      <c r="CU354" s="411"/>
      <c r="CV354" s="411"/>
      <c r="CW354" s="411"/>
      <c r="CX354" s="411"/>
      <c r="CY354" s="419"/>
      <c r="CZ354" s="411"/>
      <c r="DA354" s="411"/>
      <c r="DB354" s="411"/>
      <c r="DC354" s="419"/>
      <c r="DD354" s="411"/>
      <c r="DE354" s="411"/>
      <c r="DF354" s="411"/>
      <c r="DG354" s="419"/>
      <c r="DH354" s="411"/>
      <c r="DI354" s="411"/>
      <c r="DJ354" s="411"/>
      <c r="DK354" s="411"/>
      <c r="DL354" s="411"/>
      <c r="DM354" s="411"/>
      <c r="DN354" s="411"/>
      <c r="DO354" s="411"/>
      <c r="DP354" s="411"/>
      <c r="DQ354" s="411"/>
      <c r="DR354" s="411"/>
      <c r="DS354" s="411"/>
      <c r="DT354" s="411"/>
      <c r="DU354" s="419"/>
      <c r="DV354" s="411"/>
      <c r="DW354" s="411"/>
      <c r="DX354" s="415"/>
      <c r="DY354" s="268"/>
      <c r="DZ354" s="268"/>
      <c r="EA354" s="268"/>
      <c r="EB354" s="268"/>
      <c r="EC354" s="268"/>
      <c r="ED354" s="268"/>
      <c r="EE354" s="268"/>
      <c r="EF354" s="268"/>
      <c r="EG354" s="268"/>
      <c r="EH354" s="268"/>
      <c r="EI354" s="268"/>
      <c r="EJ354" s="268"/>
    </row>
    <row r="355" spans="1:140" s="269" customFormat="1" x14ac:dyDescent="0.2">
      <c r="A355" s="288"/>
      <c r="B355" s="267"/>
      <c r="D355" s="264"/>
      <c r="E355" s="467"/>
      <c r="F355" s="264"/>
      <c r="G355" s="400"/>
      <c r="H355" s="264"/>
      <c r="I355" s="467"/>
      <c r="J355" s="264"/>
      <c r="K355" s="264"/>
      <c r="L355" s="264"/>
      <c r="M355" s="264"/>
      <c r="N355" s="264"/>
      <c r="O355" s="264"/>
      <c r="P355" s="264"/>
      <c r="Q355" s="264"/>
      <c r="R355" s="264"/>
      <c r="S355" s="264"/>
      <c r="T355" s="264"/>
      <c r="U355" s="264"/>
      <c r="V355" s="264"/>
      <c r="W355" s="283"/>
      <c r="X355" s="288"/>
      <c r="Z355" s="1002"/>
      <c r="AS355" s="1355"/>
      <c r="BK355" s="256"/>
      <c r="BO355" s="1363"/>
      <c r="BX355" s="257"/>
      <c r="BY355" s="256"/>
      <c r="BZ355" s="258"/>
      <c r="CA355" s="258"/>
      <c r="CB355" s="256"/>
      <c r="CC355" s="1013"/>
      <c r="CD355" s="1012"/>
      <c r="CE355" s="268"/>
      <c r="CF355" s="411"/>
      <c r="CG355" s="419"/>
      <c r="CH355" s="411"/>
      <c r="CI355" s="411"/>
      <c r="CJ355" s="411"/>
      <c r="CK355" s="419"/>
      <c r="CL355" s="411"/>
      <c r="CM355" s="411"/>
      <c r="CN355" s="411"/>
      <c r="CO355" s="419"/>
      <c r="CP355" s="411"/>
      <c r="CQ355" s="411"/>
      <c r="CR355" s="411"/>
      <c r="CS355" s="411"/>
      <c r="CT355" s="411"/>
      <c r="CU355" s="411"/>
      <c r="CV355" s="411"/>
      <c r="CW355" s="411"/>
      <c r="CX355" s="411"/>
      <c r="CY355" s="419"/>
      <c r="CZ355" s="411"/>
      <c r="DA355" s="411"/>
      <c r="DB355" s="411"/>
      <c r="DC355" s="419"/>
      <c r="DD355" s="411"/>
      <c r="DE355" s="411"/>
      <c r="DF355" s="411"/>
      <c r="DG355" s="419"/>
      <c r="DH355" s="411"/>
      <c r="DI355" s="411"/>
      <c r="DJ355" s="411"/>
      <c r="DK355" s="411"/>
      <c r="DL355" s="411"/>
      <c r="DM355" s="411"/>
      <c r="DN355" s="411"/>
      <c r="DO355" s="411"/>
      <c r="DP355" s="411"/>
      <c r="DQ355" s="411"/>
      <c r="DR355" s="411"/>
      <c r="DS355" s="411"/>
      <c r="DT355" s="411"/>
      <c r="DU355" s="419"/>
      <c r="DV355" s="411"/>
      <c r="DW355" s="411"/>
      <c r="DX355" s="415"/>
      <c r="DY355" s="268"/>
      <c r="DZ355" s="268"/>
      <c r="EA355" s="268"/>
      <c r="EB355" s="268"/>
      <c r="EC355" s="268"/>
      <c r="ED355" s="268"/>
      <c r="EE355" s="268"/>
      <c r="EF355" s="268"/>
      <c r="EG355" s="268"/>
      <c r="EH355" s="268"/>
      <c r="EI355" s="268"/>
      <c r="EJ355" s="268"/>
    </row>
    <row r="356" spans="1:140" s="269" customFormat="1" x14ac:dyDescent="0.2">
      <c r="A356" s="288"/>
      <c r="B356" s="267"/>
      <c r="D356" s="264"/>
      <c r="E356" s="467"/>
      <c r="F356" s="264"/>
      <c r="G356" s="400"/>
      <c r="H356" s="264"/>
      <c r="I356" s="467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  <c r="V356" s="264"/>
      <c r="W356" s="283"/>
      <c r="X356" s="288"/>
      <c r="Z356" s="1002"/>
      <c r="AS356" s="1355"/>
      <c r="BK356" s="256"/>
      <c r="BO356" s="1363"/>
      <c r="BX356" s="257"/>
      <c r="BY356" s="256"/>
      <c r="BZ356" s="258"/>
      <c r="CA356" s="258"/>
      <c r="CB356" s="256"/>
      <c r="CC356" s="1013"/>
      <c r="CD356" s="1012"/>
      <c r="CE356" s="268"/>
      <c r="CF356" s="411"/>
      <c r="CG356" s="419"/>
      <c r="CH356" s="411"/>
      <c r="CI356" s="411"/>
      <c r="CJ356" s="411"/>
      <c r="CK356" s="419"/>
      <c r="CL356" s="411"/>
      <c r="CM356" s="411"/>
      <c r="CN356" s="411"/>
      <c r="CO356" s="419"/>
      <c r="CP356" s="411"/>
      <c r="CQ356" s="411"/>
      <c r="CR356" s="411"/>
      <c r="CS356" s="411"/>
      <c r="CT356" s="411"/>
      <c r="CU356" s="411"/>
      <c r="CV356" s="411"/>
      <c r="CW356" s="411"/>
      <c r="CX356" s="411"/>
      <c r="CY356" s="419"/>
      <c r="CZ356" s="411"/>
      <c r="DA356" s="411"/>
      <c r="DB356" s="411"/>
      <c r="DC356" s="419"/>
      <c r="DD356" s="411"/>
      <c r="DE356" s="411"/>
      <c r="DF356" s="411"/>
      <c r="DG356" s="419"/>
      <c r="DH356" s="411"/>
      <c r="DI356" s="411"/>
      <c r="DJ356" s="411"/>
      <c r="DK356" s="411"/>
      <c r="DL356" s="411"/>
      <c r="DM356" s="411"/>
      <c r="DN356" s="411"/>
      <c r="DO356" s="411"/>
      <c r="DP356" s="411"/>
      <c r="DQ356" s="411"/>
      <c r="DR356" s="411"/>
      <c r="DS356" s="411"/>
      <c r="DT356" s="411"/>
      <c r="DU356" s="419"/>
      <c r="DV356" s="411"/>
      <c r="DW356" s="411"/>
      <c r="DX356" s="415"/>
      <c r="DY356" s="268"/>
      <c r="DZ356" s="268"/>
      <c r="EA356" s="268"/>
      <c r="EB356" s="268"/>
      <c r="EC356" s="268"/>
      <c r="ED356" s="268"/>
      <c r="EE356" s="268"/>
      <c r="EF356" s="268"/>
      <c r="EG356" s="268"/>
      <c r="EH356" s="268"/>
      <c r="EI356" s="268"/>
      <c r="EJ356" s="268"/>
    </row>
    <row r="357" spans="1:140" s="269" customFormat="1" x14ac:dyDescent="0.2">
      <c r="A357" s="288"/>
      <c r="B357" s="267"/>
      <c r="D357" s="264"/>
      <c r="E357" s="467"/>
      <c r="F357" s="264"/>
      <c r="G357" s="400"/>
      <c r="H357" s="264"/>
      <c r="I357" s="467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83"/>
      <c r="X357" s="288"/>
      <c r="Z357" s="1002"/>
      <c r="AS357" s="1355"/>
      <c r="BK357" s="256"/>
      <c r="BO357" s="1363"/>
      <c r="BX357" s="257"/>
      <c r="BY357" s="256"/>
      <c r="BZ357" s="258"/>
      <c r="CA357" s="258"/>
      <c r="CB357" s="256"/>
      <c r="CC357" s="1013"/>
      <c r="CD357" s="1012"/>
      <c r="CE357" s="268"/>
      <c r="CF357" s="411"/>
      <c r="CG357" s="419"/>
      <c r="CH357" s="411"/>
      <c r="CI357" s="411"/>
      <c r="CJ357" s="411"/>
      <c r="CK357" s="419"/>
      <c r="CL357" s="411"/>
      <c r="CM357" s="411"/>
      <c r="CN357" s="411"/>
      <c r="CO357" s="419"/>
      <c r="CP357" s="411"/>
      <c r="CQ357" s="411"/>
      <c r="CR357" s="411"/>
      <c r="CS357" s="411"/>
      <c r="CT357" s="411"/>
      <c r="CU357" s="411"/>
      <c r="CV357" s="411"/>
      <c r="CW357" s="411"/>
      <c r="CX357" s="411"/>
      <c r="CY357" s="419"/>
      <c r="CZ357" s="411"/>
      <c r="DA357" s="411"/>
      <c r="DB357" s="411"/>
      <c r="DC357" s="419"/>
      <c r="DD357" s="411"/>
      <c r="DE357" s="411"/>
      <c r="DF357" s="411"/>
      <c r="DG357" s="419"/>
      <c r="DH357" s="411"/>
      <c r="DI357" s="411"/>
      <c r="DJ357" s="411"/>
      <c r="DK357" s="411"/>
      <c r="DL357" s="411"/>
      <c r="DM357" s="411"/>
      <c r="DN357" s="411"/>
      <c r="DO357" s="411"/>
      <c r="DP357" s="411"/>
      <c r="DQ357" s="411"/>
      <c r="DR357" s="411"/>
      <c r="DS357" s="411"/>
      <c r="DT357" s="411"/>
      <c r="DU357" s="419"/>
      <c r="DV357" s="411"/>
      <c r="DW357" s="411"/>
      <c r="DX357" s="415"/>
      <c r="DY357" s="268"/>
      <c r="DZ357" s="268"/>
      <c r="EA357" s="268"/>
      <c r="EB357" s="268"/>
      <c r="EC357" s="268"/>
      <c r="ED357" s="268"/>
      <c r="EE357" s="268"/>
      <c r="EF357" s="268"/>
      <c r="EG357" s="268"/>
      <c r="EH357" s="268"/>
      <c r="EI357" s="268"/>
      <c r="EJ357" s="268"/>
    </row>
    <row r="358" spans="1:140" s="269" customFormat="1" x14ac:dyDescent="0.2">
      <c r="A358" s="288"/>
      <c r="B358" s="267"/>
      <c r="D358" s="264"/>
      <c r="E358" s="467"/>
      <c r="F358" s="264"/>
      <c r="G358" s="400"/>
      <c r="H358" s="264"/>
      <c r="I358" s="467"/>
      <c r="J358" s="264"/>
      <c r="K358" s="264"/>
      <c r="L358" s="264"/>
      <c r="M358" s="264"/>
      <c r="N358" s="264"/>
      <c r="O358" s="264"/>
      <c r="P358" s="264"/>
      <c r="Q358" s="264"/>
      <c r="R358" s="264"/>
      <c r="S358" s="264"/>
      <c r="T358" s="264"/>
      <c r="U358" s="264"/>
      <c r="V358" s="264"/>
      <c r="W358" s="283"/>
      <c r="X358" s="288"/>
      <c r="Z358" s="1002"/>
      <c r="AS358" s="1355"/>
      <c r="BK358" s="256"/>
      <c r="BO358" s="1363"/>
      <c r="BX358" s="257"/>
      <c r="BY358" s="256"/>
      <c r="BZ358" s="258"/>
      <c r="CA358" s="258"/>
      <c r="CB358" s="256"/>
      <c r="CC358" s="1013"/>
      <c r="CD358" s="1012"/>
      <c r="CE358" s="268"/>
      <c r="CF358" s="411"/>
      <c r="CG358" s="419"/>
      <c r="CH358" s="411"/>
      <c r="CI358" s="411"/>
      <c r="CJ358" s="411"/>
      <c r="CK358" s="419"/>
      <c r="CL358" s="411"/>
      <c r="CM358" s="411"/>
      <c r="CN358" s="411"/>
      <c r="CO358" s="419"/>
      <c r="CP358" s="411"/>
      <c r="CQ358" s="411"/>
      <c r="CR358" s="411"/>
      <c r="CS358" s="411"/>
      <c r="CT358" s="411"/>
      <c r="CU358" s="411"/>
      <c r="CV358" s="411"/>
      <c r="CW358" s="411"/>
      <c r="CX358" s="411"/>
      <c r="CY358" s="419"/>
      <c r="CZ358" s="411"/>
      <c r="DA358" s="411"/>
      <c r="DB358" s="411"/>
      <c r="DC358" s="419"/>
      <c r="DD358" s="411"/>
      <c r="DE358" s="411"/>
      <c r="DF358" s="411"/>
      <c r="DG358" s="419"/>
      <c r="DH358" s="411"/>
      <c r="DI358" s="411"/>
      <c r="DJ358" s="411"/>
      <c r="DK358" s="411"/>
      <c r="DL358" s="411"/>
      <c r="DM358" s="411"/>
      <c r="DN358" s="411"/>
      <c r="DO358" s="411"/>
      <c r="DP358" s="411"/>
      <c r="DQ358" s="411"/>
      <c r="DR358" s="411"/>
      <c r="DS358" s="411"/>
      <c r="DT358" s="411"/>
      <c r="DU358" s="419"/>
      <c r="DV358" s="411"/>
      <c r="DW358" s="411"/>
      <c r="DX358" s="415"/>
      <c r="DY358" s="268"/>
      <c r="DZ358" s="268"/>
      <c r="EA358" s="268"/>
      <c r="EB358" s="268"/>
      <c r="EC358" s="268"/>
      <c r="ED358" s="268"/>
      <c r="EE358" s="268"/>
      <c r="EF358" s="268"/>
      <c r="EG358" s="268"/>
      <c r="EH358" s="268"/>
      <c r="EI358" s="268"/>
      <c r="EJ358" s="268"/>
    </row>
    <row r="359" spans="1:140" s="269" customFormat="1" x14ac:dyDescent="0.2">
      <c r="A359" s="288"/>
      <c r="B359" s="267"/>
      <c r="D359" s="264"/>
      <c r="E359" s="467"/>
      <c r="F359" s="264"/>
      <c r="G359" s="400"/>
      <c r="H359" s="264"/>
      <c r="I359" s="467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283"/>
      <c r="X359" s="288"/>
      <c r="Z359" s="1002"/>
      <c r="AS359" s="1355"/>
      <c r="BK359" s="256"/>
      <c r="BO359" s="1363"/>
      <c r="BX359" s="257"/>
      <c r="BY359" s="256"/>
      <c r="BZ359" s="258"/>
      <c r="CA359" s="258"/>
      <c r="CB359" s="256"/>
      <c r="CC359" s="1013"/>
      <c r="CD359" s="1012"/>
      <c r="CE359" s="268"/>
      <c r="CF359" s="411"/>
      <c r="CG359" s="419"/>
      <c r="CH359" s="411"/>
      <c r="CI359" s="411"/>
      <c r="CJ359" s="411"/>
      <c r="CK359" s="419"/>
      <c r="CL359" s="411"/>
      <c r="CM359" s="411"/>
      <c r="CN359" s="411"/>
      <c r="CO359" s="419"/>
      <c r="CP359" s="411"/>
      <c r="CQ359" s="411"/>
      <c r="CR359" s="411"/>
      <c r="CS359" s="411"/>
      <c r="CT359" s="411"/>
      <c r="CU359" s="411"/>
      <c r="CV359" s="411"/>
      <c r="CW359" s="411"/>
      <c r="CX359" s="411"/>
      <c r="CY359" s="419"/>
      <c r="CZ359" s="411"/>
      <c r="DA359" s="411"/>
      <c r="DB359" s="411"/>
      <c r="DC359" s="419"/>
      <c r="DD359" s="411"/>
      <c r="DE359" s="411"/>
      <c r="DF359" s="411"/>
      <c r="DG359" s="419"/>
      <c r="DH359" s="411"/>
      <c r="DI359" s="411"/>
      <c r="DJ359" s="411"/>
      <c r="DK359" s="411"/>
      <c r="DL359" s="411"/>
      <c r="DM359" s="411"/>
      <c r="DN359" s="411"/>
      <c r="DO359" s="411"/>
      <c r="DP359" s="411"/>
      <c r="DQ359" s="411"/>
      <c r="DR359" s="411"/>
      <c r="DS359" s="411"/>
      <c r="DT359" s="411"/>
      <c r="DU359" s="419"/>
      <c r="DV359" s="411"/>
      <c r="DW359" s="411"/>
      <c r="DX359" s="415"/>
      <c r="DY359" s="268"/>
      <c r="DZ359" s="268"/>
      <c r="EA359" s="268"/>
      <c r="EB359" s="268"/>
      <c r="EC359" s="268"/>
      <c r="ED359" s="268"/>
      <c r="EE359" s="268"/>
      <c r="EF359" s="268"/>
      <c r="EG359" s="268"/>
      <c r="EH359" s="268"/>
      <c r="EI359" s="268"/>
      <c r="EJ359" s="268"/>
    </row>
    <row r="360" spans="1:140" s="269" customFormat="1" x14ac:dyDescent="0.2">
      <c r="A360" s="288"/>
      <c r="B360" s="267"/>
      <c r="D360" s="264"/>
      <c r="E360" s="467"/>
      <c r="F360" s="264"/>
      <c r="G360" s="400"/>
      <c r="H360" s="264"/>
      <c r="I360" s="467"/>
      <c r="J360" s="264"/>
      <c r="K360" s="264"/>
      <c r="L360" s="264"/>
      <c r="M360" s="264"/>
      <c r="N360" s="264"/>
      <c r="O360" s="264"/>
      <c r="P360" s="264"/>
      <c r="Q360" s="264"/>
      <c r="R360" s="264"/>
      <c r="S360" s="264"/>
      <c r="T360" s="264"/>
      <c r="U360" s="264"/>
      <c r="V360" s="264"/>
      <c r="W360" s="283"/>
      <c r="X360" s="288"/>
      <c r="Z360" s="1002"/>
      <c r="AS360" s="1355"/>
      <c r="BK360" s="256"/>
      <c r="BO360" s="1363"/>
      <c r="BX360" s="257"/>
      <c r="BY360" s="256"/>
      <c r="BZ360" s="258"/>
      <c r="CA360" s="258"/>
      <c r="CB360" s="256"/>
      <c r="CC360" s="1013"/>
      <c r="CD360" s="1012"/>
      <c r="CE360" s="268"/>
      <c r="CF360" s="411"/>
      <c r="CG360" s="419"/>
      <c r="CH360" s="411"/>
      <c r="CI360" s="411"/>
      <c r="CJ360" s="411"/>
      <c r="CK360" s="419"/>
      <c r="CL360" s="411"/>
      <c r="CM360" s="411"/>
      <c r="CN360" s="411"/>
      <c r="CO360" s="419"/>
      <c r="CP360" s="411"/>
      <c r="CQ360" s="411"/>
      <c r="CR360" s="411"/>
      <c r="CS360" s="411"/>
      <c r="CT360" s="411"/>
      <c r="CU360" s="411"/>
      <c r="CV360" s="411"/>
      <c r="CW360" s="411"/>
      <c r="CX360" s="411"/>
      <c r="CY360" s="419"/>
      <c r="CZ360" s="411"/>
      <c r="DA360" s="411"/>
      <c r="DB360" s="411"/>
      <c r="DC360" s="419"/>
      <c r="DD360" s="411"/>
      <c r="DE360" s="411"/>
      <c r="DF360" s="411"/>
      <c r="DG360" s="419"/>
      <c r="DH360" s="411"/>
      <c r="DI360" s="411"/>
      <c r="DJ360" s="411"/>
      <c r="DK360" s="411"/>
      <c r="DL360" s="411"/>
      <c r="DM360" s="411"/>
      <c r="DN360" s="411"/>
      <c r="DO360" s="411"/>
      <c r="DP360" s="411"/>
      <c r="DQ360" s="411"/>
      <c r="DR360" s="411"/>
      <c r="DS360" s="411"/>
      <c r="DT360" s="411"/>
      <c r="DU360" s="419"/>
      <c r="DV360" s="411"/>
      <c r="DW360" s="411"/>
      <c r="DX360" s="415"/>
      <c r="DY360" s="268"/>
      <c r="DZ360" s="268"/>
      <c r="EA360" s="268"/>
      <c r="EB360" s="268"/>
      <c r="EC360" s="268"/>
      <c r="ED360" s="268"/>
      <c r="EE360" s="268"/>
      <c r="EF360" s="268"/>
      <c r="EG360" s="268"/>
      <c r="EH360" s="268"/>
      <c r="EI360" s="268"/>
      <c r="EJ360" s="268"/>
    </row>
    <row r="361" spans="1:140" s="269" customFormat="1" x14ac:dyDescent="0.2">
      <c r="A361" s="288"/>
      <c r="B361" s="267"/>
      <c r="D361" s="264"/>
      <c r="E361" s="467"/>
      <c r="F361" s="264"/>
      <c r="G361" s="400"/>
      <c r="H361" s="264"/>
      <c r="I361" s="467"/>
      <c r="J361" s="264"/>
      <c r="K361" s="264"/>
      <c r="L361" s="264"/>
      <c r="M361" s="264"/>
      <c r="N361" s="264"/>
      <c r="O361" s="264"/>
      <c r="P361" s="264"/>
      <c r="Q361" s="264"/>
      <c r="R361" s="264"/>
      <c r="S361" s="264"/>
      <c r="T361" s="264"/>
      <c r="U361" s="264"/>
      <c r="V361" s="264"/>
      <c r="W361" s="283"/>
      <c r="X361" s="288"/>
      <c r="Z361" s="1002"/>
      <c r="AS361" s="1355"/>
      <c r="BK361" s="256"/>
      <c r="BO361" s="1363"/>
      <c r="BX361" s="257"/>
      <c r="BY361" s="256"/>
      <c r="BZ361" s="258"/>
      <c r="CA361" s="258"/>
      <c r="CB361" s="256"/>
      <c r="CC361" s="1013"/>
      <c r="CD361" s="1012"/>
      <c r="CE361" s="268"/>
      <c r="CF361" s="411"/>
      <c r="CG361" s="419"/>
      <c r="CH361" s="411"/>
      <c r="CI361" s="411"/>
      <c r="CJ361" s="411"/>
      <c r="CK361" s="419"/>
      <c r="CL361" s="411"/>
      <c r="CM361" s="411"/>
      <c r="CN361" s="411"/>
      <c r="CO361" s="419"/>
      <c r="CP361" s="411"/>
      <c r="CQ361" s="411"/>
      <c r="CR361" s="411"/>
      <c r="CS361" s="411"/>
      <c r="CT361" s="411"/>
      <c r="CU361" s="411"/>
      <c r="CV361" s="411"/>
      <c r="CW361" s="411"/>
      <c r="CX361" s="411"/>
      <c r="CY361" s="419"/>
      <c r="CZ361" s="411"/>
      <c r="DA361" s="411"/>
      <c r="DB361" s="411"/>
      <c r="DC361" s="419"/>
      <c r="DD361" s="411"/>
      <c r="DE361" s="411"/>
      <c r="DF361" s="411"/>
      <c r="DG361" s="419"/>
      <c r="DH361" s="411"/>
      <c r="DI361" s="411"/>
      <c r="DJ361" s="411"/>
      <c r="DK361" s="411"/>
      <c r="DL361" s="411"/>
      <c r="DM361" s="411"/>
      <c r="DN361" s="411"/>
      <c r="DO361" s="411"/>
      <c r="DP361" s="411"/>
      <c r="DQ361" s="411"/>
      <c r="DR361" s="411"/>
      <c r="DS361" s="411"/>
      <c r="DT361" s="411"/>
      <c r="DU361" s="419"/>
      <c r="DV361" s="411"/>
      <c r="DW361" s="411"/>
      <c r="DX361" s="415"/>
      <c r="DY361" s="268"/>
      <c r="DZ361" s="268"/>
      <c r="EA361" s="268"/>
      <c r="EB361" s="268"/>
      <c r="EC361" s="268"/>
      <c r="ED361" s="268"/>
      <c r="EE361" s="268"/>
      <c r="EF361" s="268"/>
      <c r="EG361" s="268"/>
      <c r="EH361" s="268"/>
      <c r="EI361" s="268"/>
      <c r="EJ361" s="268"/>
    </row>
    <row r="362" spans="1:140" s="269" customFormat="1" x14ac:dyDescent="0.2">
      <c r="A362" s="288"/>
      <c r="B362" s="267"/>
      <c r="D362" s="264"/>
      <c r="E362" s="467"/>
      <c r="F362" s="264"/>
      <c r="G362" s="400"/>
      <c r="H362" s="264"/>
      <c r="I362" s="467"/>
      <c r="J362" s="264"/>
      <c r="K362" s="264"/>
      <c r="L362" s="264"/>
      <c r="M362" s="264"/>
      <c r="N362" s="264"/>
      <c r="O362" s="264"/>
      <c r="P362" s="264"/>
      <c r="Q362" s="264"/>
      <c r="R362" s="264"/>
      <c r="S362" s="264"/>
      <c r="T362" s="264"/>
      <c r="U362" s="264"/>
      <c r="V362" s="264"/>
      <c r="W362" s="283"/>
      <c r="X362" s="288"/>
      <c r="Z362" s="1002"/>
      <c r="AS362" s="1355"/>
      <c r="BK362" s="256"/>
      <c r="BO362" s="1363"/>
      <c r="BX362" s="257"/>
      <c r="BY362" s="256"/>
      <c r="BZ362" s="258"/>
      <c r="CA362" s="258"/>
      <c r="CB362" s="256"/>
      <c r="CC362" s="1013"/>
      <c r="CD362" s="1012"/>
      <c r="CE362" s="268"/>
      <c r="CF362" s="411"/>
      <c r="CG362" s="419"/>
      <c r="CH362" s="411"/>
      <c r="CI362" s="411"/>
      <c r="CJ362" s="411"/>
      <c r="CK362" s="419"/>
      <c r="CL362" s="411"/>
      <c r="CM362" s="411"/>
      <c r="CN362" s="411"/>
      <c r="CO362" s="419"/>
      <c r="CP362" s="411"/>
      <c r="CQ362" s="411"/>
      <c r="CR362" s="411"/>
      <c r="CS362" s="411"/>
      <c r="CT362" s="411"/>
      <c r="CU362" s="411"/>
      <c r="CV362" s="411"/>
      <c r="CW362" s="411"/>
      <c r="CX362" s="411"/>
      <c r="CY362" s="419"/>
      <c r="CZ362" s="411"/>
      <c r="DA362" s="411"/>
      <c r="DB362" s="411"/>
      <c r="DC362" s="419"/>
      <c r="DD362" s="411"/>
      <c r="DE362" s="411"/>
      <c r="DF362" s="411"/>
      <c r="DG362" s="419"/>
      <c r="DH362" s="411"/>
      <c r="DI362" s="411"/>
      <c r="DJ362" s="411"/>
      <c r="DK362" s="411"/>
      <c r="DL362" s="411"/>
      <c r="DM362" s="411"/>
      <c r="DN362" s="411"/>
      <c r="DO362" s="411"/>
      <c r="DP362" s="411"/>
      <c r="DQ362" s="411"/>
      <c r="DR362" s="411"/>
      <c r="DS362" s="411"/>
      <c r="DT362" s="411"/>
      <c r="DU362" s="419"/>
      <c r="DV362" s="411"/>
      <c r="DW362" s="411"/>
      <c r="DX362" s="415"/>
      <c r="DY362" s="268"/>
      <c r="DZ362" s="268"/>
      <c r="EA362" s="268"/>
      <c r="EB362" s="268"/>
      <c r="EC362" s="268"/>
      <c r="ED362" s="268"/>
      <c r="EE362" s="268"/>
      <c r="EF362" s="268"/>
      <c r="EG362" s="268"/>
      <c r="EH362" s="268"/>
      <c r="EI362" s="268"/>
      <c r="EJ362" s="268"/>
    </row>
    <row r="363" spans="1:140" s="269" customFormat="1" x14ac:dyDescent="0.2">
      <c r="A363" s="288"/>
      <c r="B363" s="267"/>
      <c r="D363" s="264"/>
      <c r="E363" s="467"/>
      <c r="F363" s="264"/>
      <c r="G363" s="400"/>
      <c r="H363" s="264"/>
      <c r="I363" s="467"/>
      <c r="J363" s="264"/>
      <c r="K363" s="264"/>
      <c r="L363" s="264"/>
      <c r="M363" s="264"/>
      <c r="N363" s="264"/>
      <c r="O363" s="264"/>
      <c r="P363" s="264"/>
      <c r="Q363" s="264"/>
      <c r="R363" s="264"/>
      <c r="S363" s="264"/>
      <c r="T363" s="264"/>
      <c r="U363" s="264"/>
      <c r="V363" s="264"/>
      <c r="W363" s="283"/>
      <c r="X363" s="288"/>
      <c r="Z363" s="1002"/>
      <c r="AS363" s="1355"/>
      <c r="BK363" s="256"/>
      <c r="BO363" s="1363"/>
      <c r="BX363" s="257"/>
      <c r="BY363" s="256"/>
      <c r="BZ363" s="258"/>
      <c r="CA363" s="258"/>
      <c r="CB363" s="256"/>
      <c r="CC363" s="1013"/>
      <c r="CD363" s="1012"/>
      <c r="CE363" s="268"/>
      <c r="CF363" s="411"/>
      <c r="CG363" s="419"/>
      <c r="CH363" s="411"/>
      <c r="CI363" s="411"/>
      <c r="CJ363" s="411"/>
      <c r="CK363" s="419"/>
      <c r="CL363" s="411"/>
      <c r="CM363" s="411"/>
      <c r="CN363" s="411"/>
      <c r="CO363" s="419"/>
      <c r="CP363" s="411"/>
      <c r="CQ363" s="411"/>
      <c r="CR363" s="411"/>
      <c r="CS363" s="411"/>
      <c r="CT363" s="411"/>
      <c r="CU363" s="411"/>
      <c r="CV363" s="411"/>
      <c r="CW363" s="411"/>
      <c r="CX363" s="411"/>
      <c r="CY363" s="419"/>
      <c r="CZ363" s="411"/>
      <c r="DA363" s="411"/>
      <c r="DB363" s="411"/>
      <c r="DC363" s="419"/>
      <c r="DD363" s="411"/>
      <c r="DE363" s="411"/>
      <c r="DF363" s="411"/>
      <c r="DG363" s="419"/>
      <c r="DH363" s="411"/>
      <c r="DI363" s="411"/>
      <c r="DJ363" s="411"/>
      <c r="DK363" s="411"/>
      <c r="DL363" s="411"/>
      <c r="DM363" s="411"/>
      <c r="DN363" s="411"/>
      <c r="DO363" s="411"/>
      <c r="DP363" s="411"/>
      <c r="DQ363" s="411"/>
      <c r="DR363" s="411"/>
      <c r="DS363" s="411"/>
      <c r="DT363" s="411"/>
      <c r="DU363" s="419"/>
      <c r="DV363" s="411"/>
      <c r="DW363" s="411"/>
      <c r="DX363" s="415"/>
      <c r="DY363" s="268"/>
      <c r="DZ363" s="268"/>
      <c r="EA363" s="268"/>
      <c r="EB363" s="268"/>
      <c r="EC363" s="268"/>
      <c r="ED363" s="268"/>
      <c r="EE363" s="268"/>
      <c r="EF363" s="268"/>
      <c r="EG363" s="268"/>
      <c r="EH363" s="268"/>
      <c r="EI363" s="268"/>
      <c r="EJ363" s="268"/>
    </row>
    <row r="364" spans="1:140" s="269" customFormat="1" x14ac:dyDescent="0.2">
      <c r="A364" s="288"/>
      <c r="B364" s="267"/>
      <c r="D364" s="264"/>
      <c r="E364" s="467"/>
      <c r="F364" s="264"/>
      <c r="G364" s="400"/>
      <c r="H364" s="264"/>
      <c r="I364" s="467"/>
      <c r="J364" s="264"/>
      <c r="K364" s="264"/>
      <c r="L364" s="264"/>
      <c r="M364" s="264"/>
      <c r="N364" s="264"/>
      <c r="O364" s="264"/>
      <c r="P364" s="264"/>
      <c r="Q364" s="264"/>
      <c r="R364" s="264"/>
      <c r="S364" s="264"/>
      <c r="T364" s="264"/>
      <c r="U364" s="264"/>
      <c r="V364" s="264"/>
      <c r="W364" s="283"/>
      <c r="X364" s="288"/>
      <c r="Z364" s="1002"/>
      <c r="AS364" s="1355"/>
      <c r="BK364" s="256"/>
      <c r="BO364" s="1363"/>
      <c r="BX364" s="257"/>
      <c r="BY364" s="256"/>
      <c r="BZ364" s="258"/>
      <c r="CA364" s="258"/>
      <c r="CB364" s="256"/>
      <c r="CC364" s="1013"/>
      <c r="CD364" s="1012"/>
      <c r="CE364" s="268"/>
      <c r="CF364" s="411"/>
      <c r="CG364" s="419"/>
      <c r="CH364" s="411"/>
      <c r="CI364" s="411"/>
      <c r="CJ364" s="411"/>
      <c r="CK364" s="419"/>
      <c r="CL364" s="411"/>
      <c r="CM364" s="411"/>
      <c r="CN364" s="411"/>
      <c r="CO364" s="419"/>
      <c r="CP364" s="411"/>
      <c r="CQ364" s="411"/>
      <c r="CR364" s="411"/>
      <c r="CS364" s="411"/>
      <c r="CT364" s="411"/>
      <c r="CU364" s="411"/>
      <c r="CV364" s="411"/>
      <c r="CW364" s="411"/>
      <c r="CX364" s="411"/>
      <c r="CY364" s="419"/>
      <c r="CZ364" s="411"/>
      <c r="DA364" s="411"/>
      <c r="DB364" s="411"/>
      <c r="DC364" s="419"/>
      <c r="DD364" s="411"/>
      <c r="DE364" s="411"/>
      <c r="DF364" s="411"/>
      <c r="DG364" s="419"/>
      <c r="DH364" s="411"/>
      <c r="DI364" s="411"/>
      <c r="DJ364" s="411"/>
      <c r="DK364" s="411"/>
      <c r="DL364" s="411"/>
      <c r="DM364" s="411"/>
      <c r="DN364" s="411"/>
      <c r="DO364" s="411"/>
      <c r="DP364" s="411"/>
      <c r="DQ364" s="411"/>
      <c r="DR364" s="411"/>
      <c r="DS364" s="411"/>
      <c r="DT364" s="411"/>
      <c r="DU364" s="419"/>
      <c r="DV364" s="411"/>
      <c r="DW364" s="411"/>
      <c r="DX364" s="415"/>
      <c r="DY364" s="268"/>
      <c r="DZ364" s="268"/>
      <c r="EA364" s="268"/>
      <c r="EB364" s="268"/>
      <c r="EC364" s="268"/>
      <c r="ED364" s="268"/>
      <c r="EE364" s="268"/>
      <c r="EF364" s="268"/>
      <c r="EG364" s="268"/>
      <c r="EH364" s="268"/>
      <c r="EI364" s="268"/>
      <c r="EJ364" s="268"/>
    </row>
    <row r="365" spans="1:140" s="269" customFormat="1" x14ac:dyDescent="0.2">
      <c r="A365" s="288"/>
      <c r="B365" s="267"/>
      <c r="D365" s="264"/>
      <c r="E365" s="467"/>
      <c r="F365" s="264"/>
      <c r="G365" s="400"/>
      <c r="H365" s="264"/>
      <c r="I365" s="467"/>
      <c r="J365" s="264"/>
      <c r="K365" s="264"/>
      <c r="L365" s="264"/>
      <c r="M365" s="264"/>
      <c r="N365" s="264"/>
      <c r="O365" s="264"/>
      <c r="P365" s="264"/>
      <c r="Q365" s="264"/>
      <c r="R365" s="264"/>
      <c r="S365" s="264"/>
      <c r="T365" s="264"/>
      <c r="U365" s="264"/>
      <c r="V365" s="264"/>
      <c r="W365" s="283"/>
      <c r="X365" s="288"/>
      <c r="Z365" s="1002"/>
      <c r="AS365" s="1355"/>
      <c r="BK365" s="256"/>
      <c r="BO365" s="1363"/>
      <c r="BX365" s="257"/>
      <c r="BY365" s="256"/>
      <c r="BZ365" s="258"/>
      <c r="CA365" s="258"/>
      <c r="CB365" s="256"/>
      <c r="CC365" s="1013"/>
      <c r="CD365" s="1012"/>
      <c r="CE365" s="268"/>
      <c r="CF365" s="411"/>
      <c r="CG365" s="419"/>
      <c r="CH365" s="411"/>
      <c r="CI365" s="411"/>
      <c r="CJ365" s="411"/>
      <c r="CK365" s="419"/>
      <c r="CL365" s="411"/>
      <c r="CM365" s="411"/>
      <c r="CN365" s="411"/>
      <c r="CO365" s="419"/>
      <c r="CP365" s="411"/>
      <c r="CQ365" s="411"/>
      <c r="CR365" s="411"/>
      <c r="CS365" s="411"/>
      <c r="CT365" s="411"/>
      <c r="CU365" s="411"/>
      <c r="CV365" s="411"/>
      <c r="CW365" s="411"/>
      <c r="CX365" s="411"/>
      <c r="CY365" s="419"/>
      <c r="CZ365" s="411"/>
      <c r="DA365" s="411"/>
      <c r="DB365" s="411"/>
      <c r="DC365" s="419"/>
      <c r="DD365" s="411"/>
      <c r="DE365" s="411"/>
      <c r="DF365" s="411"/>
      <c r="DG365" s="419"/>
      <c r="DH365" s="411"/>
      <c r="DI365" s="411"/>
      <c r="DJ365" s="411"/>
      <c r="DK365" s="411"/>
      <c r="DL365" s="411"/>
      <c r="DM365" s="411"/>
      <c r="DN365" s="411"/>
      <c r="DO365" s="411"/>
      <c r="DP365" s="411"/>
      <c r="DQ365" s="411"/>
      <c r="DR365" s="411"/>
      <c r="DS365" s="411"/>
      <c r="DT365" s="411"/>
      <c r="DU365" s="419"/>
      <c r="DV365" s="411"/>
      <c r="DW365" s="411"/>
      <c r="DX365" s="415"/>
      <c r="DY365" s="268"/>
      <c r="DZ365" s="268"/>
      <c r="EA365" s="268"/>
      <c r="EB365" s="268"/>
      <c r="EC365" s="268"/>
      <c r="ED365" s="268"/>
      <c r="EE365" s="268"/>
      <c r="EF365" s="268"/>
      <c r="EG365" s="268"/>
      <c r="EH365" s="268"/>
      <c r="EI365" s="268"/>
      <c r="EJ365" s="268"/>
    </row>
    <row r="366" spans="1:140" s="269" customFormat="1" x14ac:dyDescent="0.2">
      <c r="A366" s="288"/>
      <c r="B366" s="267"/>
      <c r="D366" s="264"/>
      <c r="E366" s="467"/>
      <c r="F366" s="264"/>
      <c r="G366" s="400"/>
      <c r="H366" s="264"/>
      <c r="I366" s="467"/>
      <c r="J366" s="264"/>
      <c r="K366" s="264"/>
      <c r="L366" s="264"/>
      <c r="M366" s="264"/>
      <c r="N366" s="264"/>
      <c r="O366" s="264"/>
      <c r="P366" s="264"/>
      <c r="Q366" s="264"/>
      <c r="R366" s="264"/>
      <c r="S366" s="264"/>
      <c r="T366" s="264"/>
      <c r="U366" s="264"/>
      <c r="V366" s="264"/>
      <c r="W366" s="283"/>
      <c r="X366" s="288"/>
      <c r="Z366" s="1002"/>
      <c r="AS366" s="1355"/>
      <c r="BK366" s="256"/>
      <c r="BO366" s="1363"/>
      <c r="BX366" s="257"/>
      <c r="BY366" s="256"/>
      <c r="BZ366" s="258"/>
      <c r="CA366" s="258"/>
      <c r="CB366" s="256"/>
      <c r="CC366" s="1013"/>
      <c r="CD366" s="1012"/>
      <c r="CE366" s="268"/>
      <c r="CF366" s="411"/>
      <c r="CG366" s="419"/>
      <c r="CH366" s="411"/>
      <c r="CI366" s="411"/>
      <c r="CJ366" s="411"/>
      <c r="CK366" s="419"/>
      <c r="CL366" s="411"/>
      <c r="CM366" s="411"/>
      <c r="CN366" s="411"/>
      <c r="CO366" s="419"/>
      <c r="CP366" s="411"/>
      <c r="CQ366" s="411"/>
      <c r="CR366" s="411"/>
      <c r="CS366" s="411"/>
      <c r="CT366" s="411"/>
      <c r="CU366" s="411"/>
      <c r="CV366" s="411"/>
      <c r="CW366" s="411"/>
      <c r="CX366" s="411"/>
      <c r="CY366" s="419"/>
      <c r="CZ366" s="411"/>
      <c r="DA366" s="411"/>
      <c r="DB366" s="411"/>
      <c r="DC366" s="419"/>
      <c r="DD366" s="411"/>
      <c r="DE366" s="411"/>
      <c r="DF366" s="411"/>
      <c r="DG366" s="419"/>
      <c r="DH366" s="411"/>
      <c r="DI366" s="411"/>
      <c r="DJ366" s="411"/>
      <c r="DK366" s="411"/>
      <c r="DL366" s="411"/>
      <c r="DM366" s="411"/>
      <c r="DN366" s="411"/>
      <c r="DO366" s="411"/>
      <c r="DP366" s="411"/>
      <c r="DQ366" s="411"/>
      <c r="DR366" s="411"/>
      <c r="DS366" s="411"/>
      <c r="DT366" s="411"/>
      <c r="DU366" s="419"/>
      <c r="DV366" s="411"/>
      <c r="DW366" s="411"/>
      <c r="DX366" s="415"/>
      <c r="DY366" s="268"/>
      <c r="DZ366" s="268"/>
      <c r="EA366" s="268"/>
      <c r="EB366" s="268"/>
      <c r="EC366" s="268"/>
      <c r="ED366" s="268"/>
      <c r="EE366" s="268"/>
      <c r="EF366" s="268"/>
      <c r="EG366" s="268"/>
      <c r="EH366" s="268"/>
      <c r="EI366" s="268"/>
      <c r="EJ366" s="268"/>
    </row>
    <row r="367" spans="1:140" s="269" customFormat="1" x14ac:dyDescent="0.2">
      <c r="A367" s="288"/>
      <c r="B367" s="267"/>
      <c r="D367" s="264"/>
      <c r="E367" s="467"/>
      <c r="F367" s="264"/>
      <c r="G367" s="400"/>
      <c r="H367" s="264"/>
      <c r="I367" s="467"/>
      <c r="J367" s="264"/>
      <c r="K367" s="264"/>
      <c r="L367" s="264"/>
      <c r="M367" s="264"/>
      <c r="N367" s="264"/>
      <c r="O367" s="264"/>
      <c r="P367" s="264"/>
      <c r="Q367" s="264"/>
      <c r="R367" s="264"/>
      <c r="S367" s="264"/>
      <c r="T367" s="264"/>
      <c r="U367" s="264"/>
      <c r="V367" s="264"/>
      <c r="W367" s="283"/>
      <c r="X367" s="288"/>
      <c r="Z367" s="1002"/>
      <c r="AS367" s="1355"/>
      <c r="BK367" s="256"/>
      <c r="BO367" s="1363"/>
      <c r="BX367" s="257"/>
      <c r="BY367" s="256"/>
      <c r="BZ367" s="258"/>
      <c r="CA367" s="258"/>
      <c r="CB367" s="256"/>
      <c r="CC367" s="1013"/>
      <c r="CD367" s="1012"/>
      <c r="CE367" s="268"/>
      <c r="CF367" s="411"/>
      <c r="CG367" s="419"/>
      <c r="CH367" s="411"/>
      <c r="CI367" s="411"/>
      <c r="CJ367" s="411"/>
      <c r="CK367" s="419"/>
      <c r="CL367" s="411"/>
      <c r="CM367" s="411"/>
      <c r="CN367" s="411"/>
      <c r="CO367" s="419"/>
      <c r="CP367" s="411"/>
      <c r="CQ367" s="411"/>
      <c r="CR367" s="411"/>
      <c r="CS367" s="411"/>
      <c r="CT367" s="411"/>
      <c r="CU367" s="411"/>
      <c r="CV367" s="411"/>
      <c r="CW367" s="411"/>
      <c r="CX367" s="411"/>
      <c r="CY367" s="419"/>
      <c r="CZ367" s="411"/>
      <c r="DA367" s="411"/>
      <c r="DB367" s="411"/>
      <c r="DC367" s="419"/>
      <c r="DD367" s="411"/>
      <c r="DE367" s="411"/>
      <c r="DF367" s="411"/>
      <c r="DG367" s="419"/>
      <c r="DH367" s="411"/>
      <c r="DI367" s="411"/>
      <c r="DJ367" s="411"/>
      <c r="DK367" s="411"/>
      <c r="DL367" s="411"/>
      <c r="DM367" s="411"/>
      <c r="DN367" s="411"/>
      <c r="DO367" s="411"/>
      <c r="DP367" s="411"/>
      <c r="DQ367" s="411"/>
      <c r="DR367" s="411"/>
      <c r="DS367" s="411"/>
      <c r="DT367" s="411"/>
      <c r="DU367" s="419"/>
      <c r="DV367" s="411"/>
      <c r="DW367" s="411"/>
      <c r="DX367" s="415"/>
      <c r="DY367" s="268"/>
      <c r="DZ367" s="268"/>
      <c r="EA367" s="268"/>
      <c r="EB367" s="268"/>
      <c r="EC367" s="268"/>
      <c r="ED367" s="268"/>
      <c r="EE367" s="268"/>
      <c r="EF367" s="268"/>
      <c r="EG367" s="268"/>
      <c r="EH367" s="268"/>
      <c r="EI367" s="268"/>
      <c r="EJ367" s="268"/>
    </row>
    <row r="368" spans="1:140" s="269" customFormat="1" x14ac:dyDescent="0.2">
      <c r="A368" s="288"/>
      <c r="B368" s="267"/>
      <c r="D368" s="264"/>
      <c r="E368" s="467"/>
      <c r="F368" s="264"/>
      <c r="G368" s="400"/>
      <c r="H368" s="264"/>
      <c r="I368" s="467"/>
      <c r="J368" s="264"/>
      <c r="K368" s="264"/>
      <c r="L368" s="264"/>
      <c r="M368" s="264"/>
      <c r="N368" s="264"/>
      <c r="O368" s="264"/>
      <c r="P368" s="264"/>
      <c r="Q368" s="264"/>
      <c r="R368" s="264"/>
      <c r="S368" s="264"/>
      <c r="T368" s="264"/>
      <c r="U368" s="264"/>
      <c r="V368" s="264"/>
      <c r="W368" s="283"/>
      <c r="X368" s="288"/>
      <c r="Z368" s="1002"/>
      <c r="AS368" s="1355"/>
      <c r="BK368" s="256"/>
      <c r="BO368" s="1363"/>
      <c r="BX368" s="257"/>
      <c r="BY368" s="256"/>
      <c r="BZ368" s="258"/>
      <c r="CA368" s="258"/>
      <c r="CB368" s="256"/>
      <c r="CC368" s="1013"/>
      <c r="CD368" s="1012"/>
      <c r="CE368" s="268"/>
      <c r="CF368" s="411"/>
      <c r="CG368" s="419"/>
      <c r="CH368" s="411"/>
      <c r="CI368" s="411"/>
      <c r="CJ368" s="411"/>
      <c r="CK368" s="419"/>
      <c r="CL368" s="411"/>
      <c r="CM368" s="411"/>
      <c r="CN368" s="411"/>
      <c r="CO368" s="419"/>
      <c r="CP368" s="411"/>
      <c r="CQ368" s="411"/>
      <c r="CR368" s="411"/>
      <c r="CS368" s="411"/>
      <c r="CT368" s="411"/>
      <c r="CU368" s="411"/>
      <c r="CV368" s="411"/>
      <c r="CW368" s="411"/>
      <c r="CX368" s="411"/>
      <c r="CY368" s="419"/>
      <c r="CZ368" s="411"/>
      <c r="DA368" s="411"/>
      <c r="DB368" s="411"/>
      <c r="DC368" s="419"/>
      <c r="DD368" s="411"/>
      <c r="DE368" s="411"/>
      <c r="DF368" s="411"/>
      <c r="DG368" s="419"/>
      <c r="DH368" s="411"/>
      <c r="DI368" s="411"/>
      <c r="DJ368" s="411"/>
      <c r="DK368" s="411"/>
      <c r="DL368" s="411"/>
      <c r="DM368" s="411"/>
      <c r="DN368" s="411"/>
      <c r="DO368" s="411"/>
      <c r="DP368" s="411"/>
      <c r="DQ368" s="411"/>
      <c r="DR368" s="411"/>
      <c r="DS368" s="411"/>
      <c r="DT368" s="411"/>
      <c r="DU368" s="419"/>
      <c r="DV368" s="411"/>
      <c r="DW368" s="411"/>
      <c r="DX368" s="415"/>
      <c r="DY368" s="268"/>
      <c r="DZ368" s="268"/>
      <c r="EA368" s="268"/>
      <c r="EB368" s="268"/>
      <c r="EC368" s="268"/>
      <c r="ED368" s="268"/>
      <c r="EE368" s="268"/>
      <c r="EF368" s="268"/>
      <c r="EG368" s="268"/>
      <c r="EH368" s="268"/>
      <c r="EI368" s="268"/>
      <c r="EJ368" s="268"/>
    </row>
    <row r="369" spans="1:140" s="269" customFormat="1" x14ac:dyDescent="0.2">
      <c r="A369" s="288"/>
      <c r="B369" s="267"/>
      <c r="D369" s="264"/>
      <c r="E369" s="467"/>
      <c r="F369" s="264"/>
      <c r="G369" s="400"/>
      <c r="H369" s="264"/>
      <c r="I369" s="467"/>
      <c r="J369" s="264"/>
      <c r="K369" s="264"/>
      <c r="L369" s="264"/>
      <c r="M369" s="264"/>
      <c r="N369" s="264"/>
      <c r="O369" s="264"/>
      <c r="P369" s="264"/>
      <c r="Q369" s="264"/>
      <c r="R369" s="264"/>
      <c r="S369" s="264"/>
      <c r="T369" s="264"/>
      <c r="U369" s="264"/>
      <c r="V369" s="264"/>
      <c r="W369" s="283"/>
      <c r="X369" s="288"/>
      <c r="Z369" s="1002"/>
      <c r="AS369" s="1355"/>
      <c r="BK369" s="256"/>
      <c r="BO369" s="1363"/>
      <c r="BX369" s="257"/>
      <c r="BY369" s="256"/>
      <c r="BZ369" s="258"/>
      <c r="CA369" s="258"/>
      <c r="CB369" s="256"/>
      <c r="CC369" s="1013"/>
      <c r="CD369" s="1012"/>
      <c r="CE369" s="268"/>
      <c r="CF369" s="411"/>
      <c r="CG369" s="419"/>
      <c r="CH369" s="411"/>
      <c r="CI369" s="411"/>
      <c r="CJ369" s="411"/>
      <c r="CK369" s="419"/>
      <c r="CL369" s="411"/>
      <c r="CM369" s="411"/>
      <c r="CN369" s="411"/>
      <c r="CO369" s="419"/>
      <c r="CP369" s="411"/>
      <c r="CQ369" s="411"/>
      <c r="CR369" s="411"/>
      <c r="CS369" s="411"/>
      <c r="CT369" s="411"/>
      <c r="CU369" s="411"/>
      <c r="CV369" s="411"/>
      <c r="CW369" s="411"/>
      <c r="CX369" s="411"/>
      <c r="CY369" s="419"/>
      <c r="CZ369" s="411"/>
      <c r="DA369" s="411"/>
      <c r="DB369" s="411"/>
      <c r="DC369" s="419"/>
      <c r="DD369" s="411"/>
      <c r="DE369" s="411"/>
      <c r="DF369" s="411"/>
      <c r="DG369" s="419"/>
      <c r="DH369" s="411"/>
      <c r="DI369" s="411"/>
      <c r="DJ369" s="411"/>
      <c r="DK369" s="411"/>
      <c r="DL369" s="411"/>
      <c r="DM369" s="411"/>
      <c r="DN369" s="411"/>
      <c r="DO369" s="411"/>
      <c r="DP369" s="411"/>
      <c r="DQ369" s="411"/>
      <c r="DR369" s="411"/>
      <c r="DS369" s="411"/>
      <c r="DT369" s="411"/>
      <c r="DU369" s="419"/>
      <c r="DV369" s="411"/>
      <c r="DW369" s="411"/>
      <c r="DX369" s="415"/>
      <c r="DY369" s="268"/>
      <c r="DZ369" s="268"/>
      <c r="EA369" s="268"/>
      <c r="EB369" s="268"/>
      <c r="EC369" s="268"/>
      <c r="ED369" s="268"/>
      <c r="EE369" s="268"/>
      <c r="EF369" s="268"/>
      <c r="EG369" s="268"/>
      <c r="EH369" s="268"/>
      <c r="EI369" s="268"/>
      <c r="EJ369" s="268"/>
    </row>
    <row r="370" spans="1:140" s="269" customFormat="1" x14ac:dyDescent="0.2">
      <c r="A370" s="288"/>
      <c r="B370" s="267"/>
      <c r="D370" s="264"/>
      <c r="E370" s="467"/>
      <c r="F370" s="264"/>
      <c r="G370" s="400"/>
      <c r="H370" s="264"/>
      <c r="I370" s="467"/>
      <c r="J370" s="264"/>
      <c r="K370" s="264"/>
      <c r="L370" s="264"/>
      <c r="M370" s="264"/>
      <c r="N370" s="264"/>
      <c r="O370" s="264"/>
      <c r="P370" s="264"/>
      <c r="Q370" s="264"/>
      <c r="R370" s="264"/>
      <c r="S370" s="264"/>
      <c r="T370" s="264"/>
      <c r="U370" s="264"/>
      <c r="V370" s="264"/>
      <c r="W370" s="283"/>
      <c r="X370" s="288"/>
      <c r="Z370" s="1002"/>
      <c r="AS370" s="1355"/>
      <c r="BK370" s="256"/>
      <c r="BO370" s="1363"/>
      <c r="BX370" s="257"/>
      <c r="BY370" s="256"/>
      <c r="BZ370" s="258"/>
      <c r="CA370" s="258"/>
      <c r="CB370" s="256"/>
      <c r="CC370" s="1013"/>
      <c r="CD370" s="1012"/>
      <c r="CE370" s="268"/>
      <c r="CF370" s="411"/>
      <c r="CG370" s="419"/>
      <c r="CH370" s="411"/>
      <c r="CI370" s="411"/>
      <c r="CJ370" s="411"/>
      <c r="CK370" s="419"/>
      <c r="CL370" s="411"/>
      <c r="CM370" s="411"/>
      <c r="CN370" s="411"/>
      <c r="CO370" s="419"/>
      <c r="CP370" s="411"/>
      <c r="CQ370" s="411"/>
      <c r="CR370" s="411"/>
      <c r="CS370" s="411"/>
      <c r="CT370" s="411"/>
      <c r="CU370" s="411"/>
      <c r="CV370" s="411"/>
      <c r="CW370" s="411"/>
      <c r="CX370" s="411"/>
      <c r="CY370" s="419"/>
      <c r="CZ370" s="411"/>
      <c r="DA370" s="411"/>
      <c r="DB370" s="411"/>
      <c r="DC370" s="419"/>
      <c r="DD370" s="411"/>
      <c r="DE370" s="411"/>
      <c r="DF370" s="411"/>
      <c r="DG370" s="419"/>
      <c r="DH370" s="411"/>
      <c r="DI370" s="411"/>
      <c r="DJ370" s="411"/>
      <c r="DK370" s="411"/>
      <c r="DL370" s="411"/>
      <c r="DM370" s="411"/>
      <c r="DN370" s="411"/>
      <c r="DO370" s="411"/>
      <c r="DP370" s="411"/>
      <c r="DQ370" s="411"/>
      <c r="DR370" s="411"/>
      <c r="DS370" s="411"/>
      <c r="DT370" s="411"/>
      <c r="DU370" s="419"/>
      <c r="DV370" s="411"/>
      <c r="DW370" s="411"/>
      <c r="DX370" s="415"/>
      <c r="DY370" s="268"/>
      <c r="DZ370" s="268"/>
      <c r="EA370" s="268"/>
      <c r="EB370" s="268"/>
      <c r="EC370" s="268"/>
      <c r="ED370" s="268"/>
      <c r="EE370" s="268"/>
      <c r="EF370" s="268"/>
      <c r="EG370" s="268"/>
      <c r="EH370" s="268"/>
      <c r="EI370" s="268"/>
      <c r="EJ370" s="268"/>
    </row>
    <row r="371" spans="1:140" s="269" customFormat="1" x14ac:dyDescent="0.2">
      <c r="A371" s="288"/>
      <c r="B371" s="267"/>
      <c r="D371" s="264"/>
      <c r="E371" s="467"/>
      <c r="F371" s="264"/>
      <c r="G371" s="400"/>
      <c r="H371" s="264"/>
      <c r="I371" s="467"/>
      <c r="J371" s="264"/>
      <c r="K371" s="264"/>
      <c r="L371" s="264"/>
      <c r="M371" s="264"/>
      <c r="N371" s="264"/>
      <c r="O371" s="264"/>
      <c r="P371" s="264"/>
      <c r="Q371" s="264"/>
      <c r="R371" s="264"/>
      <c r="S371" s="264"/>
      <c r="T371" s="264"/>
      <c r="U371" s="264"/>
      <c r="V371" s="264"/>
      <c r="W371" s="283"/>
      <c r="X371" s="288"/>
      <c r="Z371" s="1002"/>
      <c r="AS371" s="1355"/>
      <c r="BK371" s="256"/>
      <c r="BO371" s="1363"/>
      <c r="BX371" s="257"/>
      <c r="BY371" s="256"/>
      <c r="BZ371" s="258"/>
      <c r="CA371" s="258"/>
      <c r="CB371" s="256"/>
      <c r="CC371" s="1013"/>
      <c r="CD371" s="1012"/>
      <c r="CE371" s="268"/>
      <c r="CF371" s="411"/>
      <c r="CG371" s="419"/>
      <c r="CH371" s="411"/>
      <c r="CI371" s="411"/>
      <c r="CJ371" s="411"/>
      <c r="CK371" s="419"/>
      <c r="CL371" s="411"/>
      <c r="CM371" s="411"/>
      <c r="CN371" s="411"/>
      <c r="CO371" s="419"/>
      <c r="CP371" s="411"/>
      <c r="CQ371" s="411"/>
      <c r="CR371" s="411"/>
      <c r="CS371" s="411"/>
      <c r="CT371" s="411"/>
      <c r="CU371" s="411"/>
      <c r="CV371" s="411"/>
      <c r="CW371" s="411"/>
      <c r="CX371" s="411"/>
      <c r="CY371" s="419"/>
      <c r="CZ371" s="411"/>
      <c r="DA371" s="411"/>
      <c r="DB371" s="411"/>
      <c r="DC371" s="419"/>
      <c r="DD371" s="411"/>
      <c r="DE371" s="411"/>
      <c r="DF371" s="411"/>
      <c r="DG371" s="419"/>
      <c r="DH371" s="411"/>
      <c r="DI371" s="411"/>
      <c r="DJ371" s="411"/>
      <c r="DK371" s="411"/>
      <c r="DL371" s="411"/>
      <c r="DM371" s="411"/>
      <c r="DN371" s="411"/>
      <c r="DO371" s="411"/>
      <c r="DP371" s="411"/>
      <c r="DQ371" s="411"/>
      <c r="DR371" s="411"/>
      <c r="DS371" s="411"/>
      <c r="DT371" s="411"/>
      <c r="DU371" s="419"/>
      <c r="DV371" s="411"/>
      <c r="DW371" s="411"/>
      <c r="DX371" s="415"/>
      <c r="DY371" s="268"/>
      <c r="DZ371" s="268"/>
      <c r="EA371" s="268"/>
      <c r="EB371" s="268"/>
      <c r="EC371" s="268"/>
      <c r="ED371" s="268"/>
      <c r="EE371" s="268"/>
      <c r="EF371" s="268"/>
      <c r="EG371" s="268"/>
      <c r="EH371" s="268"/>
      <c r="EI371" s="268"/>
      <c r="EJ371" s="268"/>
    </row>
    <row r="372" spans="1:140" s="269" customFormat="1" x14ac:dyDescent="0.2">
      <c r="A372" s="288"/>
      <c r="B372" s="267"/>
      <c r="D372" s="264"/>
      <c r="E372" s="467"/>
      <c r="F372" s="264"/>
      <c r="G372" s="400"/>
      <c r="H372" s="264"/>
      <c r="I372" s="467"/>
      <c r="J372" s="264"/>
      <c r="K372" s="264"/>
      <c r="L372" s="264"/>
      <c r="M372" s="264"/>
      <c r="N372" s="264"/>
      <c r="O372" s="264"/>
      <c r="P372" s="264"/>
      <c r="Q372" s="264"/>
      <c r="R372" s="264"/>
      <c r="S372" s="264"/>
      <c r="T372" s="264"/>
      <c r="U372" s="264"/>
      <c r="V372" s="264"/>
      <c r="W372" s="283"/>
      <c r="X372" s="288"/>
      <c r="Z372" s="1002"/>
      <c r="AS372" s="1355"/>
      <c r="BK372" s="256"/>
      <c r="BO372" s="1363"/>
      <c r="BX372" s="257"/>
      <c r="BY372" s="256"/>
      <c r="BZ372" s="258"/>
      <c r="CA372" s="258"/>
      <c r="CB372" s="256"/>
      <c r="CC372" s="1013"/>
      <c r="CD372" s="1012"/>
      <c r="CE372" s="268"/>
      <c r="CF372" s="411"/>
      <c r="CG372" s="419"/>
      <c r="CH372" s="411"/>
      <c r="CI372" s="411"/>
      <c r="CJ372" s="411"/>
      <c r="CK372" s="419"/>
      <c r="CL372" s="411"/>
      <c r="CM372" s="411"/>
      <c r="CN372" s="411"/>
      <c r="CO372" s="419"/>
      <c r="CP372" s="411"/>
      <c r="CQ372" s="411"/>
      <c r="CR372" s="411"/>
      <c r="CS372" s="411"/>
      <c r="CT372" s="411"/>
      <c r="CU372" s="411"/>
      <c r="CV372" s="411"/>
      <c r="CW372" s="411"/>
      <c r="CX372" s="411"/>
      <c r="CY372" s="419"/>
      <c r="CZ372" s="411"/>
      <c r="DA372" s="411"/>
      <c r="DB372" s="411"/>
      <c r="DC372" s="419"/>
      <c r="DD372" s="411"/>
      <c r="DE372" s="411"/>
      <c r="DF372" s="411"/>
      <c r="DG372" s="419"/>
      <c r="DH372" s="411"/>
      <c r="DI372" s="411"/>
      <c r="DJ372" s="411"/>
      <c r="DK372" s="411"/>
      <c r="DL372" s="411"/>
      <c r="DM372" s="411"/>
      <c r="DN372" s="411"/>
      <c r="DO372" s="411"/>
      <c r="DP372" s="411"/>
      <c r="DQ372" s="411"/>
      <c r="DR372" s="411"/>
      <c r="DS372" s="411"/>
      <c r="DT372" s="411"/>
      <c r="DU372" s="419"/>
      <c r="DV372" s="411"/>
      <c r="DW372" s="411"/>
      <c r="DX372" s="415"/>
      <c r="DY372" s="268"/>
      <c r="DZ372" s="268"/>
      <c r="EA372" s="268"/>
      <c r="EB372" s="268"/>
      <c r="EC372" s="268"/>
      <c r="ED372" s="268"/>
      <c r="EE372" s="268"/>
      <c r="EF372" s="268"/>
      <c r="EG372" s="268"/>
      <c r="EH372" s="268"/>
      <c r="EI372" s="268"/>
      <c r="EJ372" s="268"/>
    </row>
    <row r="373" spans="1:140" s="269" customFormat="1" x14ac:dyDescent="0.2">
      <c r="A373" s="288"/>
      <c r="B373" s="267"/>
      <c r="D373" s="264"/>
      <c r="E373" s="467"/>
      <c r="F373" s="264"/>
      <c r="G373" s="400"/>
      <c r="H373" s="264"/>
      <c r="I373" s="467"/>
      <c r="J373" s="264"/>
      <c r="K373" s="264"/>
      <c r="L373" s="264"/>
      <c r="M373" s="264"/>
      <c r="N373" s="264"/>
      <c r="O373" s="264"/>
      <c r="P373" s="264"/>
      <c r="Q373" s="264"/>
      <c r="R373" s="264"/>
      <c r="S373" s="264"/>
      <c r="T373" s="264"/>
      <c r="U373" s="264"/>
      <c r="V373" s="264"/>
      <c r="W373" s="283"/>
      <c r="X373" s="288"/>
      <c r="Z373" s="1002"/>
      <c r="AS373" s="1355"/>
      <c r="BK373" s="256"/>
      <c r="BO373" s="1363"/>
      <c r="BX373" s="257"/>
      <c r="BY373" s="256"/>
      <c r="BZ373" s="258"/>
      <c r="CA373" s="258"/>
      <c r="CB373" s="256"/>
      <c r="CC373" s="1013"/>
      <c r="CD373" s="1012"/>
      <c r="CE373" s="268"/>
      <c r="CF373" s="411"/>
      <c r="CG373" s="419"/>
      <c r="CH373" s="411"/>
      <c r="CI373" s="411"/>
      <c r="CJ373" s="411"/>
      <c r="CK373" s="419"/>
      <c r="CL373" s="411"/>
      <c r="CM373" s="411"/>
      <c r="CN373" s="411"/>
      <c r="CO373" s="419"/>
      <c r="CP373" s="411"/>
      <c r="CQ373" s="411"/>
      <c r="CR373" s="411"/>
      <c r="CS373" s="411"/>
      <c r="CT373" s="411"/>
      <c r="CU373" s="411"/>
      <c r="CV373" s="411"/>
      <c r="CW373" s="411"/>
      <c r="CX373" s="411"/>
      <c r="CY373" s="419"/>
      <c r="CZ373" s="411"/>
      <c r="DA373" s="411"/>
      <c r="DB373" s="411"/>
      <c r="DC373" s="419"/>
      <c r="DD373" s="411"/>
      <c r="DE373" s="411"/>
      <c r="DF373" s="411"/>
      <c r="DG373" s="419"/>
      <c r="DH373" s="411"/>
      <c r="DI373" s="411"/>
      <c r="DJ373" s="411"/>
      <c r="DK373" s="411"/>
      <c r="DL373" s="411"/>
      <c r="DM373" s="411"/>
      <c r="DN373" s="411"/>
      <c r="DO373" s="411"/>
      <c r="DP373" s="411"/>
      <c r="DQ373" s="411"/>
      <c r="DR373" s="411"/>
      <c r="DS373" s="411"/>
      <c r="DT373" s="411"/>
      <c r="DU373" s="419"/>
      <c r="DV373" s="411"/>
      <c r="DW373" s="411"/>
      <c r="DX373" s="415"/>
      <c r="DY373" s="268"/>
      <c r="DZ373" s="268"/>
      <c r="EA373" s="268"/>
      <c r="EB373" s="268"/>
      <c r="EC373" s="268"/>
      <c r="ED373" s="268"/>
      <c r="EE373" s="268"/>
      <c r="EF373" s="268"/>
      <c r="EG373" s="268"/>
      <c r="EH373" s="268"/>
      <c r="EI373" s="268"/>
      <c r="EJ373" s="268"/>
    </row>
    <row r="374" spans="1:140" s="269" customFormat="1" x14ac:dyDescent="0.2">
      <c r="A374" s="288"/>
      <c r="B374" s="267"/>
      <c r="D374" s="264"/>
      <c r="E374" s="467"/>
      <c r="F374" s="264"/>
      <c r="G374" s="400"/>
      <c r="H374" s="264"/>
      <c r="I374" s="467"/>
      <c r="J374" s="264"/>
      <c r="K374" s="264"/>
      <c r="L374" s="264"/>
      <c r="M374" s="264"/>
      <c r="N374" s="264"/>
      <c r="O374" s="264"/>
      <c r="P374" s="264"/>
      <c r="Q374" s="264"/>
      <c r="R374" s="264"/>
      <c r="S374" s="264"/>
      <c r="T374" s="264"/>
      <c r="U374" s="264"/>
      <c r="V374" s="264"/>
      <c r="W374" s="283"/>
      <c r="X374" s="288"/>
      <c r="Z374" s="1002"/>
      <c r="AS374" s="1355"/>
      <c r="BK374" s="256"/>
      <c r="BO374" s="1363"/>
      <c r="BX374" s="257"/>
      <c r="BY374" s="256"/>
      <c r="BZ374" s="258"/>
      <c r="CA374" s="258"/>
      <c r="CB374" s="256"/>
      <c r="CC374" s="1013"/>
      <c r="CD374" s="1012"/>
      <c r="CE374" s="268"/>
      <c r="CF374" s="411"/>
      <c r="CG374" s="419"/>
      <c r="CH374" s="411"/>
      <c r="CI374" s="411"/>
      <c r="CJ374" s="411"/>
      <c r="CK374" s="419"/>
      <c r="CL374" s="411"/>
      <c r="CM374" s="411"/>
      <c r="CN374" s="411"/>
      <c r="CO374" s="419"/>
      <c r="CP374" s="411"/>
      <c r="CQ374" s="411"/>
      <c r="CR374" s="411"/>
      <c r="CS374" s="411"/>
      <c r="CT374" s="411"/>
      <c r="CU374" s="411"/>
      <c r="CV374" s="411"/>
      <c r="CW374" s="411"/>
      <c r="CX374" s="411"/>
      <c r="CY374" s="419"/>
      <c r="CZ374" s="411"/>
      <c r="DA374" s="411"/>
      <c r="DB374" s="411"/>
      <c r="DC374" s="419"/>
      <c r="DD374" s="411"/>
      <c r="DE374" s="411"/>
      <c r="DF374" s="411"/>
      <c r="DG374" s="419"/>
      <c r="DH374" s="411"/>
      <c r="DI374" s="411"/>
      <c r="DJ374" s="411"/>
      <c r="DK374" s="411"/>
      <c r="DL374" s="411"/>
      <c r="DM374" s="411"/>
      <c r="DN374" s="411"/>
      <c r="DO374" s="411"/>
      <c r="DP374" s="411"/>
      <c r="DQ374" s="411"/>
      <c r="DR374" s="411"/>
      <c r="DS374" s="411"/>
      <c r="DT374" s="411"/>
      <c r="DU374" s="419"/>
      <c r="DV374" s="411"/>
      <c r="DW374" s="411"/>
      <c r="DX374" s="415"/>
      <c r="DY374" s="268"/>
      <c r="DZ374" s="268"/>
      <c r="EA374" s="268"/>
      <c r="EB374" s="268"/>
      <c r="EC374" s="268"/>
      <c r="ED374" s="268"/>
      <c r="EE374" s="268"/>
      <c r="EF374" s="268"/>
      <c r="EG374" s="268"/>
      <c r="EH374" s="268"/>
      <c r="EI374" s="268"/>
      <c r="EJ374" s="268"/>
    </row>
    <row r="375" spans="1:140" s="269" customFormat="1" x14ac:dyDescent="0.2">
      <c r="A375" s="288"/>
      <c r="B375" s="267"/>
      <c r="D375" s="264"/>
      <c r="E375" s="467"/>
      <c r="F375" s="264"/>
      <c r="G375" s="400"/>
      <c r="H375" s="264"/>
      <c r="I375" s="467"/>
      <c r="J375" s="264"/>
      <c r="K375" s="264"/>
      <c r="L375" s="264"/>
      <c r="M375" s="264"/>
      <c r="N375" s="264"/>
      <c r="O375" s="264"/>
      <c r="P375" s="264"/>
      <c r="Q375" s="264"/>
      <c r="R375" s="264"/>
      <c r="S375" s="264"/>
      <c r="T375" s="264"/>
      <c r="U375" s="264"/>
      <c r="V375" s="264"/>
      <c r="W375" s="283"/>
      <c r="X375" s="288"/>
      <c r="Z375" s="1002"/>
      <c r="AS375" s="1355"/>
      <c r="BK375" s="256"/>
      <c r="BO375" s="1363"/>
      <c r="BX375" s="257"/>
      <c r="BY375" s="256"/>
      <c r="BZ375" s="258"/>
      <c r="CA375" s="258"/>
      <c r="CB375" s="256"/>
      <c r="CC375" s="1013"/>
      <c r="CD375" s="1012"/>
      <c r="CE375" s="268"/>
      <c r="CF375" s="411"/>
      <c r="CG375" s="419"/>
      <c r="CH375" s="411"/>
      <c r="CI375" s="411"/>
      <c r="CJ375" s="411"/>
      <c r="CK375" s="419"/>
      <c r="CL375" s="411"/>
      <c r="CM375" s="411"/>
      <c r="CN375" s="411"/>
      <c r="CO375" s="419"/>
      <c r="CP375" s="411"/>
      <c r="CQ375" s="411"/>
      <c r="CR375" s="411"/>
      <c r="CS375" s="411"/>
      <c r="CT375" s="411"/>
      <c r="CU375" s="411"/>
      <c r="CV375" s="411"/>
      <c r="CW375" s="411"/>
      <c r="CX375" s="411"/>
      <c r="CY375" s="419"/>
      <c r="CZ375" s="411"/>
      <c r="DA375" s="411"/>
      <c r="DB375" s="411"/>
      <c r="DC375" s="419"/>
      <c r="DD375" s="411"/>
      <c r="DE375" s="411"/>
      <c r="DF375" s="411"/>
      <c r="DG375" s="419"/>
      <c r="DH375" s="411"/>
      <c r="DI375" s="411"/>
      <c r="DJ375" s="411"/>
      <c r="DK375" s="411"/>
      <c r="DL375" s="411"/>
      <c r="DM375" s="411"/>
      <c r="DN375" s="411"/>
      <c r="DO375" s="411"/>
      <c r="DP375" s="411"/>
      <c r="DQ375" s="411"/>
      <c r="DR375" s="411"/>
      <c r="DS375" s="411"/>
      <c r="DT375" s="411"/>
      <c r="DU375" s="419"/>
      <c r="DV375" s="411"/>
      <c r="DW375" s="411"/>
      <c r="DX375" s="415"/>
      <c r="DY375" s="268"/>
      <c r="DZ375" s="268"/>
      <c r="EA375" s="268"/>
      <c r="EB375" s="268"/>
      <c r="EC375" s="268"/>
      <c r="ED375" s="268"/>
      <c r="EE375" s="268"/>
      <c r="EF375" s="268"/>
      <c r="EG375" s="268"/>
      <c r="EH375" s="268"/>
      <c r="EI375" s="268"/>
      <c r="EJ375" s="268"/>
    </row>
    <row r="376" spans="1:140" s="269" customFormat="1" x14ac:dyDescent="0.2">
      <c r="A376" s="288"/>
      <c r="B376" s="267"/>
      <c r="D376" s="264"/>
      <c r="E376" s="467"/>
      <c r="F376" s="264"/>
      <c r="G376" s="400"/>
      <c r="H376" s="264"/>
      <c r="I376" s="467"/>
      <c r="J376" s="264"/>
      <c r="K376" s="264"/>
      <c r="L376" s="264"/>
      <c r="M376" s="264"/>
      <c r="N376" s="264"/>
      <c r="O376" s="264"/>
      <c r="P376" s="264"/>
      <c r="Q376" s="264"/>
      <c r="R376" s="264"/>
      <c r="S376" s="264"/>
      <c r="T376" s="264"/>
      <c r="U376" s="264"/>
      <c r="V376" s="264"/>
      <c r="W376" s="283"/>
      <c r="X376" s="288"/>
      <c r="Z376" s="1002"/>
      <c r="AS376" s="1355"/>
      <c r="BK376" s="256"/>
      <c r="BO376" s="1363"/>
      <c r="BX376" s="257"/>
      <c r="BY376" s="256"/>
      <c r="BZ376" s="258"/>
      <c r="CA376" s="258"/>
      <c r="CB376" s="256"/>
      <c r="CC376" s="1013"/>
      <c r="CD376" s="1012"/>
      <c r="CE376" s="268"/>
      <c r="CF376" s="411"/>
      <c r="CG376" s="419"/>
      <c r="CH376" s="411"/>
      <c r="CI376" s="411"/>
      <c r="CJ376" s="411"/>
      <c r="CK376" s="419"/>
      <c r="CL376" s="411"/>
      <c r="CM376" s="411"/>
      <c r="CN376" s="411"/>
      <c r="CO376" s="419"/>
      <c r="CP376" s="411"/>
      <c r="CQ376" s="411"/>
      <c r="CR376" s="411"/>
      <c r="CS376" s="411"/>
      <c r="CT376" s="411"/>
      <c r="CU376" s="411"/>
      <c r="CV376" s="411"/>
      <c r="CW376" s="411"/>
      <c r="CX376" s="411"/>
      <c r="CY376" s="419"/>
      <c r="CZ376" s="411"/>
      <c r="DA376" s="411"/>
      <c r="DB376" s="411"/>
      <c r="DC376" s="419"/>
      <c r="DD376" s="411"/>
      <c r="DE376" s="411"/>
      <c r="DF376" s="411"/>
      <c r="DG376" s="419"/>
      <c r="DH376" s="411"/>
      <c r="DI376" s="411"/>
      <c r="DJ376" s="411"/>
      <c r="DK376" s="411"/>
      <c r="DL376" s="411"/>
      <c r="DM376" s="411"/>
      <c r="DN376" s="411"/>
      <c r="DO376" s="411"/>
      <c r="DP376" s="411"/>
      <c r="DQ376" s="411"/>
      <c r="DR376" s="411"/>
      <c r="DS376" s="411"/>
      <c r="DT376" s="411"/>
      <c r="DU376" s="419"/>
      <c r="DV376" s="411"/>
      <c r="DW376" s="411"/>
      <c r="DX376" s="415"/>
      <c r="DY376" s="268"/>
      <c r="DZ376" s="268"/>
      <c r="EA376" s="268"/>
      <c r="EB376" s="268"/>
      <c r="EC376" s="268"/>
      <c r="ED376" s="268"/>
      <c r="EE376" s="268"/>
      <c r="EF376" s="268"/>
      <c r="EG376" s="268"/>
      <c r="EH376" s="268"/>
      <c r="EI376" s="268"/>
      <c r="EJ376" s="268"/>
    </row>
    <row r="377" spans="1:140" s="269" customFormat="1" x14ac:dyDescent="0.2">
      <c r="A377" s="288"/>
      <c r="B377" s="267"/>
      <c r="D377" s="264"/>
      <c r="E377" s="467"/>
      <c r="F377" s="264"/>
      <c r="G377" s="400"/>
      <c r="H377" s="264"/>
      <c r="I377" s="467"/>
      <c r="J377" s="264"/>
      <c r="K377" s="264"/>
      <c r="L377" s="264"/>
      <c r="M377" s="264"/>
      <c r="N377" s="264"/>
      <c r="O377" s="264"/>
      <c r="P377" s="264"/>
      <c r="Q377" s="264"/>
      <c r="R377" s="264"/>
      <c r="S377" s="264"/>
      <c r="T377" s="264"/>
      <c r="U377" s="264"/>
      <c r="V377" s="264"/>
      <c r="W377" s="283"/>
      <c r="X377" s="288"/>
      <c r="Z377" s="1002"/>
      <c r="AS377" s="1355"/>
      <c r="BK377" s="256"/>
      <c r="BO377" s="1363"/>
      <c r="BX377" s="257"/>
      <c r="BY377" s="256"/>
      <c r="BZ377" s="258"/>
      <c r="CA377" s="258"/>
      <c r="CB377" s="256"/>
      <c r="CC377" s="1013"/>
      <c r="CD377" s="1012"/>
      <c r="CE377" s="268"/>
      <c r="CF377" s="411"/>
      <c r="CG377" s="419"/>
      <c r="CH377" s="411"/>
      <c r="CI377" s="411"/>
      <c r="CJ377" s="411"/>
      <c r="CK377" s="419"/>
      <c r="CL377" s="411"/>
      <c r="CM377" s="411"/>
      <c r="CN377" s="411"/>
      <c r="CO377" s="419"/>
      <c r="CP377" s="411"/>
      <c r="CQ377" s="411"/>
      <c r="CR377" s="411"/>
      <c r="CS377" s="411"/>
      <c r="CT377" s="411"/>
      <c r="CU377" s="411"/>
      <c r="CV377" s="411"/>
      <c r="CW377" s="411"/>
      <c r="CX377" s="411"/>
      <c r="CY377" s="419"/>
      <c r="CZ377" s="411"/>
      <c r="DA377" s="411"/>
      <c r="DB377" s="411"/>
      <c r="DC377" s="419"/>
      <c r="DD377" s="411"/>
      <c r="DE377" s="411"/>
      <c r="DF377" s="411"/>
      <c r="DG377" s="419"/>
      <c r="DH377" s="411"/>
      <c r="DI377" s="411"/>
      <c r="DJ377" s="411"/>
      <c r="DK377" s="411"/>
      <c r="DL377" s="411"/>
      <c r="DM377" s="411"/>
      <c r="DN377" s="411"/>
      <c r="DO377" s="411"/>
      <c r="DP377" s="411"/>
      <c r="DQ377" s="411"/>
      <c r="DR377" s="411"/>
      <c r="DS377" s="411"/>
      <c r="DT377" s="411"/>
      <c r="DU377" s="419"/>
      <c r="DV377" s="411"/>
      <c r="DW377" s="411"/>
      <c r="DX377" s="415"/>
      <c r="DY377" s="268"/>
      <c r="DZ377" s="268"/>
      <c r="EA377" s="268"/>
      <c r="EB377" s="268"/>
      <c r="EC377" s="268"/>
      <c r="ED377" s="268"/>
      <c r="EE377" s="268"/>
      <c r="EF377" s="268"/>
      <c r="EG377" s="268"/>
      <c r="EH377" s="268"/>
      <c r="EI377" s="268"/>
      <c r="EJ377" s="268"/>
    </row>
    <row r="378" spans="1:140" s="269" customFormat="1" x14ac:dyDescent="0.2">
      <c r="A378" s="288"/>
      <c r="B378" s="267"/>
      <c r="D378" s="264"/>
      <c r="E378" s="467"/>
      <c r="F378" s="264"/>
      <c r="G378" s="400"/>
      <c r="H378" s="264"/>
      <c r="I378" s="467"/>
      <c r="J378" s="264"/>
      <c r="K378" s="264"/>
      <c r="L378" s="264"/>
      <c r="M378" s="264"/>
      <c r="N378" s="264"/>
      <c r="O378" s="264"/>
      <c r="P378" s="264"/>
      <c r="Q378" s="264"/>
      <c r="R378" s="264"/>
      <c r="S378" s="264"/>
      <c r="T378" s="264"/>
      <c r="U378" s="264"/>
      <c r="V378" s="264"/>
      <c r="W378" s="283"/>
      <c r="X378" s="288"/>
      <c r="Z378" s="1002"/>
      <c r="AS378" s="1355"/>
      <c r="BK378" s="256"/>
      <c r="BO378" s="1363"/>
      <c r="BX378" s="257"/>
      <c r="BY378" s="256"/>
      <c r="BZ378" s="258"/>
      <c r="CA378" s="258"/>
      <c r="CB378" s="256"/>
      <c r="CC378" s="1013"/>
      <c r="CD378" s="1012"/>
      <c r="CE378" s="268"/>
      <c r="CF378" s="411"/>
      <c r="CG378" s="419"/>
      <c r="CH378" s="411"/>
      <c r="CI378" s="411"/>
      <c r="CJ378" s="411"/>
      <c r="CK378" s="419"/>
      <c r="CL378" s="411"/>
      <c r="CM378" s="411"/>
      <c r="CN378" s="411"/>
      <c r="CO378" s="419"/>
      <c r="CP378" s="411"/>
      <c r="CQ378" s="411"/>
      <c r="CR378" s="411"/>
      <c r="CS378" s="411"/>
      <c r="CT378" s="411"/>
      <c r="CU378" s="411"/>
      <c r="CV378" s="411"/>
      <c r="CW378" s="411"/>
      <c r="CX378" s="411"/>
      <c r="CY378" s="419"/>
      <c r="CZ378" s="411"/>
      <c r="DA378" s="411"/>
      <c r="DB378" s="411"/>
      <c r="DC378" s="419"/>
      <c r="DD378" s="411"/>
      <c r="DE378" s="411"/>
      <c r="DF378" s="411"/>
      <c r="DG378" s="419"/>
      <c r="DH378" s="411"/>
      <c r="DI378" s="411"/>
      <c r="DJ378" s="411"/>
      <c r="DK378" s="411"/>
      <c r="DL378" s="411"/>
      <c r="DM378" s="411"/>
      <c r="DN378" s="411"/>
      <c r="DO378" s="411"/>
      <c r="DP378" s="411"/>
      <c r="DQ378" s="411"/>
      <c r="DR378" s="411"/>
      <c r="DS378" s="411"/>
      <c r="DT378" s="411"/>
      <c r="DU378" s="419"/>
      <c r="DV378" s="411"/>
      <c r="DW378" s="411"/>
      <c r="DX378" s="415"/>
      <c r="DY378" s="268"/>
      <c r="DZ378" s="268"/>
      <c r="EA378" s="268"/>
      <c r="EB378" s="268"/>
      <c r="EC378" s="268"/>
      <c r="ED378" s="268"/>
      <c r="EE378" s="268"/>
      <c r="EF378" s="268"/>
      <c r="EG378" s="268"/>
      <c r="EH378" s="268"/>
      <c r="EI378" s="268"/>
      <c r="EJ378" s="268"/>
    </row>
    <row r="379" spans="1:140" s="269" customFormat="1" x14ac:dyDescent="0.2">
      <c r="A379" s="288"/>
      <c r="B379" s="267"/>
      <c r="D379" s="264"/>
      <c r="E379" s="467"/>
      <c r="F379" s="264"/>
      <c r="G379" s="400"/>
      <c r="H379" s="264"/>
      <c r="I379" s="467"/>
      <c r="J379" s="264"/>
      <c r="K379" s="264"/>
      <c r="L379" s="264"/>
      <c r="M379" s="264"/>
      <c r="N379" s="264"/>
      <c r="O379" s="264"/>
      <c r="P379" s="264"/>
      <c r="Q379" s="264"/>
      <c r="R379" s="264"/>
      <c r="S379" s="264"/>
      <c r="T379" s="264"/>
      <c r="U379" s="264"/>
      <c r="V379" s="264"/>
      <c r="W379" s="283"/>
      <c r="X379" s="288"/>
      <c r="Z379" s="1002"/>
      <c r="AS379" s="1355"/>
      <c r="BK379" s="256"/>
      <c r="BO379" s="1363"/>
      <c r="BX379" s="257"/>
      <c r="BY379" s="256"/>
      <c r="BZ379" s="258"/>
      <c r="CA379" s="258"/>
      <c r="CB379" s="256"/>
      <c r="CC379" s="1013"/>
      <c r="CD379" s="1012"/>
      <c r="CE379" s="268"/>
      <c r="CF379" s="411"/>
      <c r="CG379" s="419"/>
      <c r="CH379" s="411"/>
      <c r="CI379" s="411"/>
      <c r="CJ379" s="411"/>
      <c r="CK379" s="419"/>
      <c r="CL379" s="411"/>
      <c r="CM379" s="411"/>
      <c r="CN379" s="411"/>
      <c r="CO379" s="419"/>
      <c r="CP379" s="411"/>
      <c r="CQ379" s="411"/>
      <c r="CR379" s="411"/>
      <c r="CS379" s="411"/>
      <c r="CT379" s="411"/>
      <c r="CU379" s="411"/>
      <c r="CV379" s="411"/>
      <c r="CW379" s="411"/>
      <c r="CX379" s="411"/>
      <c r="CY379" s="419"/>
      <c r="CZ379" s="411"/>
      <c r="DA379" s="411"/>
      <c r="DB379" s="411"/>
      <c r="DC379" s="419"/>
      <c r="DD379" s="411"/>
      <c r="DE379" s="411"/>
      <c r="DF379" s="411"/>
      <c r="DG379" s="419"/>
      <c r="DH379" s="411"/>
      <c r="DI379" s="411"/>
      <c r="DJ379" s="411"/>
      <c r="DK379" s="411"/>
      <c r="DL379" s="411"/>
      <c r="DM379" s="411"/>
      <c r="DN379" s="411"/>
      <c r="DO379" s="411"/>
      <c r="DP379" s="411"/>
      <c r="DQ379" s="411"/>
      <c r="DR379" s="411"/>
      <c r="DS379" s="411"/>
      <c r="DT379" s="411"/>
      <c r="DU379" s="419"/>
      <c r="DV379" s="411"/>
      <c r="DW379" s="411"/>
      <c r="DX379" s="415"/>
      <c r="DY379" s="268"/>
      <c r="DZ379" s="268"/>
      <c r="EA379" s="268"/>
      <c r="EB379" s="268"/>
      <c r="EC379" s="268"/>
      <c r="ED379" s="268"/>
      <c r="EE379" s="268"/>
      <c r="EF379" s="268"/>
      <c r="EG379" s="268"/>
      <c r="EH379" s="268"/>
      <c r="EI379" s="268"/>
      <c r="EJ379" s="268"/>
    </row>
    <row r="380" spans="1:140" s="269" customFormat="1" x14ac:dyDescent="0.2">
      <c r="A380" s="288"/>
      <c r="B380" s="267"/>
      <c r="D380" s="264"/>
      <c r="E380" s="467"/>
      <c r="F380" s="264"/>
      <c r="G380" s="400"/>
      <c r="H380" s="264"/>
      <c r="I380" s="467"/>
      <c r="J380" s="264"/>
      <c r="K380" s="264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83"/>
      <c r="X380" s="288"/>
      <c r="Z380" s="1002"/>
      <c r="AS380" s="1355"/>
      <c r="BK380" s="256"/>
      <c r="BO380" s="1363"/>
      <c r="BX380" s="257"/>
      <c r="BY380" s="256"/>
      <c r="BZ380" s="258"/>
      <c r="CA380" s="258"/>
      <c r="CB380" s="256"/>
      <c r="CC380" s="1013"/>
      <c r="CD380" s="1012"/>
      <c r="CE380" s="268"/>
      <c r="CF380" s="411"/>
      <c r="CG380" s="419"/>
      <c r="CH380" s="411"/>
      <c r="CI380" s="411"/>
      <c r="CJ380" s="411"/>
      <c r="CK380" s="419"/>
      <c r="CL380" s="411"/>
      <c r="CM380" s="411"/>
      <c r="CN380" s="411"/>
      <c r="CO380" s="419"/>
      <c r="CP380" s="411"/>
      <c r="CQ380" s="411"/>
      <c r="CR380" s="411"/>
      <c r="CS380" s="411"/>
      <c r="CT380" s="411"/>
      <c r="CU380" s="411"/>
      <c r="CV380" s="411"/>
      <c r="CW380" s="411"/>
      <c r="CX380" s="411"/>
      <c r="CY380" s="419"/>
      <c r="CZ380" s="411"/>
      <c r="DA380" s="411"/>
      <c r="DB380" s="411"/>
      <c r="DC380" s="419"/>
      <c r="DD380" s="411"/>
      <c r="DE380" s="411"/>
      <c r="DF380" s="411"/>
      <c r="DG380" s="419"/>
      <c r="DH380" s="411"/>
      <c r="DI380" s="411"/>
      <c r="DJ380" s="411"/>
      <c r="DK380" s="411"/>
      <c r="DL380" s="411"/>
      <c r="DM380" s="411"/>
      <c r="DN380" s="411"/>
      <c r="DO380" s="411"/>
      <c r="DP380" s="411"/>
      <c r="DQ380" s="411"/>
      <c r="DR380" s="411"/>
      <c r="DS380" s="411"/>
      <c r="DT380" s="411"/>
      <c r="DU380" s="419"/>
      <c r="DV380" s="411"/>
      <c r="DW380" s="411"/>
      <c r="DX380" s="415"/>
      <c r="DY380" s="268"/>
      <c r="DZ380" s="268"/>
      <c r="EA380" s="268"/>
      <c r="EB380" s="268"/>
      <c r="EC380" s="268"/>
      <c r="ED380" s="268"/>
      <c r="EE380" s="268"/>
      <c r="EF380" s="268"/>
      <c r="EG380" s="268"/>
      <c r="EH380" s="268"/>
      <c r="EI380" s="268"/>
      <c r="EJ380" s="268"/>
    </row>
    <row r="381" spans="1:140" s="269" customFormat="1" x14ac:dyDescent="0.2">
      <c r="A381" s="288"/>
      <c r="B381" s="267"/>
      <c r="D381" s="264"/>
      <c r="E381" s="467"/>
      <c r="F381" s="264"/>
      <c r="G381" s="400"/>
      <c r="H381" s="264"/>
      <c r="I381" s="467"/>
      <c r="J381" s="264"/>
      <c r="K381" s="264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83"/>
      <c r="X381" s="288"/>
      <c r="Z381" s="1002"/>
      <c r="AS381" s="1355"/>
      <c r="BK381" s="256"/>
      <c r="BO381" s="1363"/>
      <c r="BX381" s="257"/>
      <c r="BY381" s="256"/>
      <c r="BZ381" s="258"/>
      <c r="CA381" s="258"/>
      <c r="CB381" s="256"/>
      <c r="CC381" s="1013"/>
      <c r="CD381" s="1012"/>
      <c r="CE381" s="268"/>
      <c r="CF381" s="411"/>
      <c r="CG381" s="419"/>
      <c r="CH381" s="411"/>
      <c r="CI381" s="411"/>
      <c r="CJ381" s="411"/>
      <c r="CK381" s="419"/>
      <c r="CL381" s="411"/>
      <c r="CM381" s="411"/>
      <c r="CN381" s="411"/>
      <c r="CO381" s="419"/>
      <c r="CP381" s="411"/>
      <c r="CQ381" s="411"/>
      <c r="CR381" s="411"/>
      <c r="CS381" s="411"/>
      <c r="CT381" s="411"/>
      <c r="CU381" s="411"/>
      <c r="CV381" s="411"/>
      <c r="CW381" s="411"/>
      <c r="CX381" s="411"/>
      <c r="CY381" s="419"/>
      <c r="CZ381" s="411"/>
      <c r="DA381" s="411"/>
      <c r="DB381" s="411"/>
      <c r="DC381" s="419"/>
      <c r="DD381" s="411"/>
      <c r="DE381" s="411"/>
      <c r="DF381" s="411"/>
      <c r="DG381" s="419"/>
      <c r="DH381" s="411"/>
      <c r="DI381" s="411"/>
      <c r="DJ381" s="411"/>
      <c r="DK381" s="411"/>
      <c r="DL381" s="411"/>
      <c r="DM381" s="411"/>
      <c r="DN381" s="411"/>
      <c r="DO381" s="411"/>
      <c r="DP381" s="411"/>
      <c r="DQ381" s="411"/>
      <c r="DR381" s="411"/>
      <c r="DS381" s="411"/>
      <c r="DT381" s="411"/>
      <c r="DU381" s="419"/>
      <c r="DV381" s="411"/>
      <c r="DW381" s="411"/>
      <c r="DX381" s="415"/>
      <c r="DY381" s="268"/>
      <c r="DZ381" s="268"/>
      <c r="EA381" s="268"/>
      <c r="EB381" s="268"/>
      <c r="EC381" s="268"/>
      <c r="ED381" s="268"/>
      <c r="EE381" s="268"/>
      <c r="EF381" s="268"/>
      <c r="EG381" s="268"/>
      <c r="EH381" s="268"/>
      <c r="EI381" s="268"/>
      <c r="EJ381" s="268"/>
    </row>
    <row r="382" spans="1:140" s="269" customFormat="1" x14ac:dyDescent="0.2">
      <c r="A382" s="288"/>
      <c r="B382" s="267"/>
      <c r="D382" s="264"/>
      <c r="E382" s="467"/>
      <c r="F382" s="264"/>
      <c r="G382" s="400"/>
      <c r="H382" s="264"/>
      <c r="I382" s="467"/>
      <c r="J382" s="264"/>
      <c r="K382" s="264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83"/>
      <c r="X382" s="288"/>
      <c r="Z382" s="1002"/>
      <c r="AS382" s="1355"/>
      <c r="BK382" s="256"/>
      <c r="BO382" s="1363"/>
      <c r="BX382" s="257"/>
      <c r="BY382" s="256"/>
      <c r="BZ382" s="258"/>
      <c r="CA382" s="258"/>
      <c r="CB382" s="256"/>
      <c r="CC382" s="1013"/>
      <c r="CD382" s="1012"/>
      <c r="CE382" s="268"/>
      <c r="CF382" s="411"/>
      <c r="CG382" s="419"/>
      <c r="CH382" s="411"/>
      <c r="CI382" s="411"/>
      <c r="CJ382" s="411"/>
      <c r="CK382" s="419"/>
      <c r="CL382" s="411"/>
      <c r="CM382" s="411"/>
      <c r="CN382" s="411"/>
      <c r="CO382" s="419"/>
      <c r="CP382" s="411"/>
      <c r="CQ382" s="411"/>
      <c r="CR382" s="411"/>
      <c r="CS382" s="411"/>
      <c r="CT382" s="411"/>
      <c r="CU382" s="411"/>
      <c r="CV382" s="411"/>
      <c r="CW382" s="411"/>
      <c r="CX382" s="411"/>
      <c r="CY382" s="419"/>
      <c r="CZ382" s="411"/>
      <c r="DA382" s="411"/>
      <c r="DB382" s="411"/>
      <c r="DC382" s="419"/>
      <c r="DD382" s="411"/>
      <c r="DE382" s="411"/>
      <c r="DF382" s="411"/>
      <c r="DG382" s="419"/>
      <c r="DH382" s="411"/>
      <c r="DI382" s="411"/>
      <c r="DJ382" s="411"/>
      <c r="DK382" s="411"/>
      <c r="DL382" s="411"/>
      <c r="DM382" s="411"/>
      <c r="DN382" s="411"/>
      <c r="DO382" s="411"/>
      <c r="DP382" s="411"/>
      <c r="DQ382" s="411"/>
      <c r="DR382" s="411"/>
      <c r="DS382" s="411"/>
      <c r="DT382" s="411"/>
      <c r="DU382" s="419"/>
      <c r="DV382" s="411"/>
      <c r="DW382" s="411"/>
      <c r="DX382" s="415"/>
      <c r="DY382" s="268"/>
      <c r="DZ382" s="268"/>
      <c r="EA382" s="268"/>
      <c r="EB382" s="268"/>
      <c r="EC382" s="268"/>
      <c r="ED382" s="268"/>
      <c r="EE382" s="268"/>
      <c r="EF382" s="268"/>
      <c r="EG382" s="268"/>
      <c r="EH382" s="268"/>
      <c r="EI382" s="268"/>
      <c r="EJ382" s="268"/>
    </row>
    <row r="383" spans="1:140" s="269" customFormat="1" x14ac:dyDescent="0.2">
      <c r="A383" s="288"/>
      <c r="B383" s="267"/>
      <c r="D383" s="264"/>
      <c r="E383" s="467"/>
      <c r="F383" s="264"/>
      <c r="G383" s="400"/>
      <c r="H383" s="264"/>
      <c r="I383" s="467"/>
      <c r="J383" s="264"/>
      <c r="K383" s="264"/>
      <c r="L383" s="264"/>
      <c r="M383" s="264"/>
      <c r="N383" s="264"/>
      <c r="O383" s="264"/>
      <c r="P383" s="264"/>
      <c r="Q383" s="264"/>
      <c r="R383" s="264"/>
      <c r="S383" s="264"/>
      <c r="T383" s="264"/>
      <c r="U383" s="264"/>
      <c r="V383" s="264"/>
      <c r="W383" s="283"/>
      <c r="X383" s="288"/>
      <c r="Z383" s="1002"/>
      <c r="AS383" s="1355"/>
      <c r="BK383" s="256"/>
      <c r="BO383" s="1363"/>
      <c r="BX383" s="257"/>
      <c r="BY383" s="256"/>
      <c r="BZ383" s="258"/>
      <c r="CA383" s="258"/>
      <c r="CB383" s="256"/>
      <c r="CC383" s="1013"/>
      <c r="CD383" s="1012"/>
      <c r="CE383" s="268"/>
      <c r="CF383" s="411"/>
      <c r="CG383" s="419"/>
      <c r="CH383" s="411"/>
      <c r="CI383" s="411"/>
      <c r="CJ383" s="411"/>
      <c r="CK383" s="419"/>
      <c r="CL383" s="411"/>
      <c r="CM383" s="411"/>
      <c r="CN383" s="411"/>
      <c r="CO383" s="419"/>
      <c r="CP383" s="411"/>
      <c r="CQ383" s="411"/>
      <c r="CR383" s="411"/>
      <c r="CS383" s="411"/>
      <c r="CT383" s="411"/>
      <c r="CU383" s="411"/>
      <c r="CV383" s="411"/>
      <c r="CW383" s="411"/>
      <c r="CX383" s="411"/>
      <c r="CY383" s="419"/>
      <c r="CZ383" s="411"/>
      <c r="DA383" s="411"/>
      <c r="DB383" s="411"/>
      <c r="DC383" s="419"/>
      <c r="DD383" s="411"/>
      <c r="DE383" s="411"/>
      <c r="DF383" s="411"/>
      <c r="DG383" s="419"/>
      <c r="DH383" s="411"/>
      <c r="DI383" s="411"/>
      <c r="DJ383" s="411"/>
      <c r="DK383" s="411"/>
      <c r="DL383" s="411"/>
      <c r="DM383" s="411"/>
      <c r="DN383" s="411"/>
      <c r="DO383" s="411"/>
      <c r="DP383" s="411"/>
      <c r="DQ383" s="411"/>
      <c r="DR383" s="411"/>
      <c r="DS383" s="411"/>
      <c r="DT383" s="411"/>
      <c r="DU383" s="419"/>
      <c r="DV383" s="411"/>
      <c r="DW383" s="411"/>
      <c r="DX383" s="415"/>
      <c r="DY383" s="268"/>
      <c r="DZ383" s="268"/>
      <c r="EA383" s="268"/>
      <c r="EB383" s="268"/>
      <c r="EC383" s="268"/>
      <c r="ED383" s="268"/>
      <c r="EE383" s="268"/>
      <c r="EF383" s="268"/>
      <c r="EG383" s="268"/>
      <c r="EH383" s="268"/>
      <c r="EI383" s="268"/>
      <c r="EJ383" s="268"/>
    </row>
    <row r="384" spans="1:140" s="269" customFormat="1" x14ac:dyDescent="0.2">
      <c r="A384" s="288"/>
      <c r="B384" s="267"/>
      <c r="D384" s="264"/>
      <c r="E384" s="467"/>
      <c r="F384" s="264"/>
      <c r="G384" s="400"/>
      <c r="H384" s="264"/>
      <c r="I384" s="467"/>
      <c r="J384" s="264"/>
      <c r="K384" s="264"/>
      <c r="L384" s="264"/>
      <c r="M384" s="264"/>
      <c r="N384" s="264"/>
      <c r="O384" s="264"/>
      <c r="P384" s="264"/>
      <c r="Q384" s="264"/>
      <c r="R384" s="264"/>
      <c r="S384" s="264"/>
      <c r="T384" s="264"/>
      <c r="U384" s="264"/>
      <c r="V384" s="264"/>
      <c r="W384" s="283"/>
      <c r="X384" s="288"/>
      <c r="Z384" s="1002"/>
      <c r="AS384" s="1355"/>
      <c r="BK384" s="256"/>
      <c r="BO384" s="1363"/>
      <c r="BX384" s="257"/>
      <c r="BY384" s="256"/>
      <c r="BZ384" s="258"/>
      <c r="CA384" s="258"/>
      <c r="CB384" s="256"/>
      <c r="CC384" s="1013"/>
      <c r="CD384" s="1012"/>
      <c r="CE384" s="268"/>
      <c r="CF384" s="411"/>
      <c r="CG384" s="419"/>
      <c r="CH384" s="411"/>
      <c r="CI384" s="411"/>
      <c r="CJ384" s="411"/>
      <c r="CK384" s="419"/>
      <c r="CL384" s="411"/>
      <c r="CM384" s="411"/>
      <c r="CN384" s="411"/>
      <c r="CO384" s="419"/>
      <c r="CP384" s="411"/>
      <c r="CQ384" s="411"/>
      <c r="CR384" s="411"/>
      <c r="CS384" s="411"/>
      <c r="CT384" s="411"/>
      <c r="CU384" s="411"/>
      <c r="CV384" s="411"/>
      <c r="CW384" s="411"/>
      <c r="CX384" s="411"/>
      <c r="CY384" s="419"/>
      <c r="CZ384" s="411"/>
      <c r="DA384" s="411"/>
      <c r="DB384" s="411"/>
      <c r="DC384" s="419"/>
      <c r="DD384" s="411"/>
      <c r="DE384" s="411"/>
      <c r="DF384" s="411"/>
      <c r="DG384" s="419"/>
      <c r="DH384" s="411"/>
      <c r="DI384" s="411"/>
      <c r="DJ384" s="411"/>
      <c r="DK384" s="411"/>
      <c r="DL384" s="411"/>
      <c r="DM384" s="411"/>
      <c r="DN384" s="411"/>
      <c r="DO384" s="411"/>
      <c r="DP384" s="411"/>
      <c r="DQ384" s="411"/>
      <c r="DR384" s="411"/>
      <c r="DS384" s="411"/>
      <c r="DT384" s="411"/>
      <c r="DU384" s="419"/>
      <c r="DV384" s="411"/>
      <c r="DW384" s="411"/>
      <c r="DX384" s="415"/>
      <c r="DY384" s="268"/>
      <c r="DZ384" s="268"/>
      <c r="EA384" s="268"/>
      <c r="EB384" s="268"/>
      <c r="EC384" s="268"/>
      <c r="ED384" s="268"/>
      <c r="EE384" s="268"/>
      <c r="EF384" s="268"/>
      <c r="EG384" s="268"/>
      <c r="EH384" s="268"/>
      <c r="EI384" s="268"/>
      <c r="EJ384" s="268"/>
    </row>
    <row r="385" spans="1:140" s="269" customFormat="1" x14ac:dyDescent="0.2">
      <c r="A385" s="288"/>
      <c r="B385" s="267"/>
      <c r="D385" s="264"/>
      <c r="E385" s="467"/>
      <c r="F385" s="264"/>
      <c r="G385" s="400"/>
      <c r="H385" s="264"/>
      <c r="I385" s="467"/>
      <c r="J385" s="264"/>
      <c r="K385" s="264"/>
      <c r="L385" s="264"/>
      <c r="M385" s="264"/>
      <c r="N385" s="264"/>
      <c r="O385" s="264"/>
      <c r="P385" s="264"/>
      <c r="Q385" s="264"/>
      <c r="R385" s="264"/>
      <c r="S385" s="264"/>
      <c r="T385" s="264"/>
      <c r="U385" s="264"/>
      <c r="V385" s="264"/>
      <c r="W385" s="283"/>
      <c r="X385" s="288"/>
      <c r="Z385" s="1002"/>
      <c r="AS385" s="1355"/>
      <c r="BK385" s="256"/>
      <c r="BO385" s="1363"/>
      <c r="BX385" s="257"/>
      <c r="BY385" s="256"/>
      <c r="BZ385" s="258"/>
      <c r="CA385" s="258"/>
      <c r="CB385" s="256"/>
      <c r="CC385" s="1013"/>
      <c r="CD385" s="1012"/>
      <c r="CE385" s="268"/>
      <c r="CF385" s="411"/>
      <c r="CG385" s="419"/>
      <c r="CH385" s="411"/>
      <c r="CI385" s="411"/>
      <c r="CJ385" s="411"/>
      <c r="CK385" s="419"/>
      <c r="CL385" s="411"/>
      <c r="CM385" s="411"/>
      <c r="CN385" s="411"/>
      <c r="CO385" s="419"/>
      <c r="CP385" s="411"/>
      <c r="CQ385" s="411"/>
      <c r="CR385" s="411"/>
      <c r="CS385" s="411"/>
      <c r="CT385" s="411"/>
      <c r="CU385" s="411"/>
      <c r="CV385" s="411"/>
      <c r="CW385" s="411"/>
      <c r="CX385" s="411"/>
      <c r="CY385" s="419"/>
      <c r="CZ385" s="411"/>
      <c r="DA385" s="411"/>
      <c r="DB385" s="411"/>
      <c r="DC385" s="419"/>
      <c r="DD385" s="411"/>
      <c r="DE385" s="411"/>
      <c r="DF385" s="411"/>
      <c r="DG385" s="419"/>
      <c r="DH385" s="411"/>
      <c r="DI385" s="411"/>
      <c r="DJ385" s="411"/>
      <c r="DK385" s="411"/>
      <c r="DL385" s="411"/>
      <c r="DM385" s="411"/>
      <c r="DN385" s="411"/>
      <c r="DO385" s="411"/>
      <c r="DP385" s="411"/>
      <c r="DQ385" s="411"/>
      <c r="DR385" s="411"/>
      <c r="DS385" s="411"/>
      <c r="DT385" s="411"/>
      <c r="DU385" s="419"/>
      <c r="DV385" s="411"/>
      <c r="DW385" s="411"/>
      <c r="DX385" s="415"/>
      <c r="DY385" s="268"/>
      <c r="DZ385" s="268"/>
      <c r="EA385" s="268"/>
      <c r="EB385" s="268"/>
      <c r="EC385" s="268"/>
      <c r="ED385" s="268"/>
      <c r="EE385" s="268"/>
      <c r="EF385" s="268"/>
      <c r="EG385" s="268"/>
      <c r="EH385" s="268"/>
      <c r="EI385" s="268"/>
      <c r="EJ385" s="268"/>
    </row>
    <row r="386" spans="1:140" s="269" customFormat="1" x14ac:dyDescent="0.2">
      <c r="A386" s="288"/>
      <c r="B386" s="267"/>
      <c r="D386" s="264"/>
      <c r="E386" s="467"/>
      <c r="F386" s="264"/>
      <c r="G386" s="400"/>
      <c r="H386" s="264"/>
      <c r="I386" s="467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283"/>
      <c r="X386" s="288"/>
      <c r="Z386" s="1002"/>
      <c r="AS386" s="1355"/>
      <c r="BK386" s="256"/>
      <c r="BO386" s="1363"/>
      <c r="BX386" s="257"/>
      <c r="BY386" s="256"/>
      <c r="BZ386" s="258"/>
      <c r="CA386" s="258"/>
      <c r="CB386" s="256"/>
      <c r="CC386" s="1013"/>
      <c r="CD386" s="1012"/>
      <c r="CE386" s="268"/>
      <c r="CF386" s="411"/>
      <c r="CG386" s="419"/>
      <c r="CH386" s="411"/>
      <c r="CI386" s="411"/>
      <c r="CJ386" s="411"/>
      <c r="CK386" s="419"/>
      <c r="CL386" s="411"/>
      <c r="CM386" s="411"/>
      <c r="CN386" s="411"/>
      <c r="CO386" s="419"/>
      <c r="CP386" s="411"/>
      <c r="CQ386" s="411"/>
      <c r="CR386" s="411"/>
      <c r="CS386" s="411"/>
      <c r="CT386" s="411"/>
      <c r="CU386" s="411"/>
      <c r="CV386" s="411"/>
      <c r="CW386" s="411"/>
      <c r="CX386" s="411"/>
      <c r="CY386" s="419"/>
      <c r="CZ386" s="411"/>
      <c r="DA386" s="411"/>
      <c r="DB386" s="411"/>
      <c r="DC386" s="419"/>
      <c r="DD386" s="411"/>
      <c r="DE386" s="411"/>
      <c r="DF386" s="411"/>
      <c r="DG386" s="419"/>
      <c r="DH386" s="411"/>
      <c r="DI386" s="411"/>
      <c r="DJ386" s="411"/>
      <c r="DK386" s="411"/>
      <c r="DL386" s="411"/>
      <c r="DM386" s="411"/>
      <c r="DN386" s="411"/>
      <c r="DO386" s="411"/>
      <c r="DP386" s="411"/>
      <c r="DQ386" s="411"/>
      <c r="DR386" s="411"/>
      <c r="DS386" s="411"/>
      <c r="DT386" s="411"/>
      <c r="DU386" s="419"/>
      <c r="DV386" s="411"/>
      <c r="DW386" s="411"/>
      <c r="DX386" s="415"/>
      <c r="DY386" s="268"/>
      <c r="DZ386" s="268"/>
      <c r="EA386" s="268"/>
      <c r="EB386" s="268"/>
      <c r="EC386" s="268"/>
      <c r="ED386" s="268"/>
      <c r="EE386" s="268"/>
      <c r="EF386" s="268"/>
      <c r="EG386" s="268"/>
      <c r="EH386" s="268"/>
      <c r="EI386" s="268"/>
      <c r="EJ386" s="268"/>
    </row>
    <row r="387" spans="1:140" s="269" customFormat="1" x14ac:dyDescent="0.2">
      <c r="A387" s="288"/>
      <c r="B387" s="267"/>
      <c r="D387" s="264"/>
      <c r="E387" s="467"/>
      <c r="F387" s="264"/>
      <c r="G387" s="400"/>
      <c r="H387" s="264"/>
      <c r="I387" s="467"/>
      <c r="J387" s="264"/>
      <c r="K387" s="264"/>
      <c r="L387" s="264"/>
      <c r="M387" s="264"/>
      <c r="N387" s="264"/>
      <c r="O387" s="264"/>
      <c r="P387" s="264"/>
      <c r="Q387" s="264"/>
      <c r="R387" s="264"/>
      <c r="S387" s="264"/>
      <c r="T387" s="264"/>
      <c r="U387" s="264"/>
      <c r="V387" s="264"/>
      <c r="W387" s="283"/>
      <c r="X387" s="288"/>
      <c r="Z387" s="1002"/>
      <c r="AS387" s="1355"/>
      <c r="BK387" s="256"/>
      <c r="BO387" s="1363"/>
      <c r="BX387" s="257"/>
      <c r="BY387" s="256"/>
      <c r="BZ387" s="258"/>
      <c r="CA387" s="258"/>
      <c r="CB387" s="256"/>
      <c r="CC387" s="1013"/>
      <c r="CD387" s="1012"/>
      <c r="CE387" s="268"/>
      <c r="CF387" s="411"/>
      <c r="CG387" s="419"/>
      <c r="CH387" s="411"/>
      <c r="CI387" s="411"/>
      <c r="CJ387" s="411"/>
      <c r="CK387" s="419"/>
      <c r="CL387" s="411"/>
      <c r="CM387" s="411"/>
      <c r="CN387" s="411"/>
      <c r="CO387" s="419"/>
      <c r="CP387" s="411"/>
      <c r="CQ387" s="411"/>
      <c r="CR387" s="411"/>
      <c r="CS387" s="411"/>
      <c r="CT387" s="411"/>
      <c r="CU387" s="411"/>
      <c r="CV387" s="411"/>
      <c r="CW387" s="411"/>
      <c r="CX387" s="411"/>
      <c r="CY387" s="419"/>
      <c r="CZ387" s="411"/>
      <c r="DA387" s="411"/>
      <c r="DB387" s="411"/>
      <c r="DC387" s="419"/>
      <c r="DD387" s="411"/>
      <c r="DE387" s="411"/>
      <c r="DF387" s="411"/>
      <c r="DG387" s="419"/>
      <c r="DH387" s="411"/>
      <c r="DI387" s="411"/>
      <c r="DJ387" s="411"/>
      <c r="DK387" s="411"/>
      <c r="DL387" s="411"/>
      <c r="DM387" s="411"/>
      <c r="DN387" s="411"/>
      <c r="DO387" s="411"/>
      <c r="DP387" s="411"/>
      <c r="DQ387" s="411"/>
      <c r="DR387" s="411"/>
      <c r="DS387" s="411"/>
      <c r="DT387" s="411"/>
      <c r="DU387" s="419"/>
      <c r="DV387" s="411"/>
      <c r="DW387" s="411"/>
      <c r="DX387" s="415"/>
      <c r="DY387" s="268"/>
      <c r="DZ387" s="268"/>
      <c r="EA387" s="268"/>
      <c r="EB387" s="268"/>
      <c r="EC387" s="268"/>
      <c r="ED387" s="268"/>
      <c r="EE387" s="268"/>
      <c r="EF387" s="268"/>
      <c r="EG387" s="268"/>
      <c r="EH387" s="268"/>
      <c r="EI387" s="268"/>
      <c r="EJ387" s="268"/>
    </row>
    <row r="388" spans="1:140" s="269" customFormat="1" x14ac:dyDescent="0.2">
      <c r="A388" s="288"/>
      <c r="B388" s="267"/>
      <c r="D388" s="264"/>
      <c r="E388" s="467"/>
      <c r="F388" s="264"/>
      <c r="G388" s="400"/>
      <c r="H388" s="264"/>
      <c r="I388" s="467"/>
      <c r="J388" s="264"/>
      <c r="K388" s="264"/>
      <c r="L388" s="264"/>
      <c r="M388" s="264"/>
      <c r="N388" s="264"/>
      <c r="O388" s="264"/>
      <c r="P388" s="264"/>
      <c r="Q388" s="264"/>
      <c r="R388" s="264"/>
      <c r="S388" s="264"/>
      <c r="T388" s="264"/>
      <c r="U388" s="264"/>
      <c r="V388" s="264"/>
      <c r="W388" s="283"/>
      <c r="X388" s="288"/>
      <c r="Z388" s="1002"/>
      <c r="AS388" s="1355"/>
      <c r="BK388" s="256"/>
      <c r="BO388" s="1363"/>
      <c r="BX388" s="257"/>
      <c r="BY388" s="256"/>
      <c r="BZ388" s="258"/>
      <c r="CA388" s="258"/>
      <c r="CB388" s="256"/>
      <c r="CC388" s="1013"/>
      <c r="CD388" s="1012"/>
      <c r="CE388" s="268"/>
      <c r="CF388" s="411"/>
      <c r="CG388" s="419"/>
      <c r="CH388" s="411"/>
      <c r="CI388" s="411"/>
      <c r="CJ388" s="411"/>
      <c r="CK388" s="419"/>
      <c r="CL388" s="411"/>
      <c r="CM388" s="411"/>
      <c r="CN388" s="411"/>
      <c r="CO388" s="419"/>
      <c r="CP388" s="411"/>
      <c r="CQ388" s="411"/>
      <c r="CR388" s="411"/>
      <c r="CS388" s="411"/>
      <c r="CT388" s="411"/>
      <c r="CU388" s="411"/>
      <c r="CV388" s="411"/>
      <c r="CW388" s="411"/>
      <c r="CX388" s="411"/>
      <c r="CY388" s="419"/>
      <c r="CZ388" s="411"/>
      <c r="DA388" s="411"/>
      <c r="DB388" s="411"/>
      <c r="DC388" s="419"/>
      <c r="DD388" s="411"/>
      <c r="DE388" s="411"/>
      <c r="DF388" s="411"/>
      <c r="DG388" s="419"/>
      <c r="DH388" s="411"/>
      <c r="DI388" s="411"/>
      <c r="DJ388" s="411"/>
      <c r="DK388" s="411"/>
      <c r="DL388" s="411"/>
      <c r="DM388" s="411"/>
      <c r="DN388" s="411"/>
      <c r="DO388" s="411"/>
      <c r="DP388" s="411"/>
      <c r="DQ388" s="411"/>
      <c r="DR388" s="411"/>
      <c r="DS388" s="411"/>
      <c r="DT388" s="411"/>
      <c r="DU388" s="419"/>
      <c r="DV388" s="411"/>
      <c r="DW388" s="411"/>
      <c r="DX388" s="415"/>
      <c r="DY388" s="268"/>
      <c r="DZ388" s="268"/>
      <c r="EA388" s="268"/>
      <c r="EB388" s="268"/>
      <c r="EC388" s="268"/>
      <c r="ED388" s="268"/>
      <c r="EE388" s="268"/>
      <c r="EF388" s="268"/>
      <c r="EG388" s="268"/>
      <c r="EH388" s="268"/>
      <c r="EI388" s="268"/>
      <c r="EJ388" s="268"/>
    </row>
    <row r="389" spans="1:140" s="269" customFormat="1" x14ac:dyDescent="0.2">
      <c r="A389" s="288"/>
      <c r="B389" s="267"/>
      <c r="D389" s="264"/>
      <c r="E389" s="467"/>
      <c r="F389" s="264"/>
      <c r="G389" s="400"/>
      <c r="H389" s="264"/>
      <c r="I389" s="467"/>
      <c r="J389" s="264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  <c r="V389" s="264"/>
      <c r="W389" s="283"/>
      <c r="X389" s="288"/>
      <c r="Z389" s="1002"/>
      <c r="AS389" s="1355"/>
      <c r="BK389" s="256"/>
      <c r="BO389" s="1363"/>
      <c r="BX389" s="257"/>
      <c r="BY389" s="256"/>
      <c r="BZ389" s="258"/>
      <c r="CA389" s="258"/>
      <c r="CB389" s="256"/>
      <c r="CC389" s="1013"/>
      <c r="CD389" s="1012"/>
      <c r="CE389" s="268"/>
      <c r="CF389" s="411"/>
      <c r="CG389" s="419"/>
      <c r="CH389" s="411"/>
      <c r="CI389" s="411"/>
      <c r="CJ389" s="411"/>
      <c r="CK389" s="419"/>
      <c r="CL389" s="411"/>
      <c r="CM389" s="411"/>
      <c r="CN389" s="411"/>
      <c r="CO389" s="419"/>
      <c r="CP389" s="411"/>
      <c r="CQ389" s="411"/>
      <c r="CR389" s="411"/>
      <c r="CS389" s="411"/>
      <c r="CT389" s="411"/>
      <c r="CU389" s="411"/>
      <c r="CV389" s="411"/>
      <c r="CW389" s="411"/>
      <c r="CX389" s="411"/>
      <c r="CY389" s="419"/>
      <c r="CZ389" s="411"/>
      <c r="DA389" s="411"/>
      <c r="DB389" s="411"/>
      <c r="DC389" s="419"/>
      <c r="DD389" s="411"/>
      <c r="DE389" s="411"/>
      <c r="DF389" s="411"/>
      <c r="DG389" s="419"/>
      <c r="DH389" s="411"/>
      <c r="DI389" s="411"/>
      <c r="DJ389" s="411"/>
      <c r="DK389" s="411"/>
      <c r="DL389" s="411"/>
      <c r="DM389" s="411"/>
      <c r="DN389" s="411"/>
      <c r="DO389" s="411"/>
      <c r="DP389" s="411"/>
      <c r="DQ389" s="411"/>
      <c r="DR389" s="411"/>
      <c r="DS389" s="411"/>
      <c r="DT389" s="411"/>
      <c r="DU389" s="419"/>
      <c r="DV389" s="411"/>
      <c r="DW389" s="411"/>
      <c r="DX389" s="415"/>
      <c r="DY389" s="268"/>
      <c r="DZ389" s="268"/>
      <c r="EA389" s="268"/>
      <c r="EB389" s="268"/>
      <c r="EC389" s="268"/>
      <c r="ED389" s="268"/>
      <c r="EE389" s="268"/>
      <c r="EF389" s="268"/>
      <c r="EG389" s="268"/>
      <c r="EH389" s="268"/>
      <c r="EI389" s="268"/>
      <c r="EJ389" s="268"/>
    </row>
    <row r="390" spans="1:140" s="269" customFormat="1" x14ac:dyDescent="0.2">
      <c r="A390" s="288"/>
      <c r="B390" s="267"/>
      <c r="D390" s="264"/>
      <c r="E390" s="467"/>
      <c r="F390" s="264"/>
      <c r="G390" s="400"/>
      <c r="H390" s="264"/>
      <c r="I390" s="467"/>
      <c r="J390" s="264"/>
      <c r="K390" s="264"/>
      <c r="L390" s="264"/>
      <c r="M390" s="264"/>
      <c r="N390" s="264"/>
      <c r="O390" s="264"/>
      <c r="P390" s="264"/>
      <c r="Q390" s="264"/>
      <c r="R390" s="264"/>
      <c r="S390" s="264"/>
      <c r="T390" s="264"/>
      <c r="U390" s="264"/>
      <c r="V390" s="264"/>
      <c r="W390" s="283"/>
      <c r="X390" s="288"/>
      <c r="Z390" s="1002"/>
      <c r="AS390" s="1355"/>
      <c r="BK390" s="256"/>
      <c r="BO390" s="1363"/>
      <c r="BX390" s="257"/>
      <c r="BY390" s="256"/>
      <c r="BZ390" s="258"/>
      <c r="CA390" s="258"/>
      <c r="CB390" s="256"/>
      <c r="CC390" s="1013"/>
      <c r="CD390" s="1012"/>
      <c r="CE390" s="268"/>
      <c r="CF390" s="411"/>
      <c r="CG390" s="419"/>
      <c r="CH390" s="411"/>
      <c r="CI390" s="411"/>
      <c r="CJ390" s="411"/>
      <c r="CK390" s="419"/>
      <c r="CL390" s="411"/>
      <c r="CM390" s="411"/>
      <c r="CN390" s="411"/>
      <c r="CO390" s="419"/>
      <c r="CP390" s="411"/>
      <c r="CQ390" s="411"/>
      <c r="CR390" s="411"/>
      <c r="CS390" s="411"/>
      <c r="CT390" s="411"/>
      <c r="CU390" s="411"/>
      <c r="CV390" s="411"/>
      <c r="CW390" s="411"/>
      <c r="CX390" s="411"/>
      <c r="CY390" s="419"/>
      <c r="CZ390" s="411"/>
      <c r="DA390" s="411"/>
      <c r="DB390" s="411"/>
      <c r="DC390" s="419"/>
      <c r="DD390" s="411"/>
      <c r="DE390" s="411"/>
      <c r="DF390" s="411"/>
      <c r="DG390" s="419"/>
      <c r="DH390" s="411"/>
      <c r="DI390" s="411"/>
      <c r="DJ390" s="411"/>
      <c r="DK390" s="411"/>
      <c r="DL390" s="411"/>
      <c r="DM390" s="411"/>
      <c r="DN390" s="411"/>
      <c r="DO390" s="411"/>
      <c r="DP390" s="411"/>
      <c r="DQ390" s="411"/>
      <c r="DR390" s="411"/>
      <c r="DS390" s="411"/>
      <c r="DT390" s="411"/>
      <c r="DU390" s="419"/>
      <c r="DV390" s="411"/>
      <c r="DW390" s="411"/>
      <c r="DX390" s="415"/>
      <c r="DY390" s="268"/>
      <c r="DZ390" s="268"/>
      <c r="EA390" s="268"/>
      <c r="EB390" s="268"/>
      <c r="EC390" s="268"/>
      <c r="ED390" s="268"/>
      <c r="EE390" s="268"/>
      <c r="EF390" s="268"/>
      <c r="EG390" s="268"/>
      <c r="EH390" s="268"/>
      <c r="EI390" s="268"/>
      <c r="EJ390" s="268"/>
    </row>
    <row r="391" spans="1:140" s="269" customFormat="1" x14ac:dyDescent="0.2">
      <c r="A391" s="288"/>
      <c r="B391" s="267"/>
      <c r="D391" s="264"/>
      <c r="E391" s="467"/>
      <c r="F391" s="264"/>
      <c r="G391" s="400"/>
      <c r="H391" s="264"/>
      <c r="I391" s="467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4"/>
      <c r="V391" s="264"/>
      <c r="W391" s="283"/>
      <c r="X391" s="288"/>
      <c r="Z391" s="1002"/>
      <c r="AS391" s="1355"/>
      <c r="BK391" s="256"/>
      <c r="BO391" s="1363"/>
      <c r="BX391" s="257"/>
      <c r="BY391" s="256"/>
      <c r="BZ391" s="258"/>
      <c r="CA391" s="258"/>
      <c r="CB391" s="256"/>
      <c r="CC391" s="1013"/>
      <c r="CD391" s="1012"/>
      <c r="CE391" s="268"/>
      <c r="CF391" s="411"/>
      <c r="CG391" s="419"/>
      <c r="CH391" s="411"/>
      <c r="CI391" s="411"/>
      <c r="CJ391" s="411"/>
      <c r="CK391" s="419"/>
      <c r="CL391" s="411"/>
      <c r="CM391" s="411"/>
      <c r="CN391" s="411"/>
      <c r="CO391" s="419"/>
      <c r="CP391" s="411"/>
      <c r="CQ391" s="411"/>
      <c r="CR391" s="411"/>
      <c r="CS391" s="411"/>
      <c r="CT391" s="411"/>
      <c r="CU391" s="411"/>
      <c r="CV391" s="411"/>
      <c r="CW391" s="411"/>
      <c r="CX391" s="411"/>
      <c r="CY391" s="419"/>
      <c r="CZ391" s="411"/>
      <c r="DA391" s="411"/>
      <c r="DB391" s="411"/>
      <c r="DC391" s="419"/>
      <c r="DD391" s="411"/>
      <c r="DE391" s="411"/>
      <c r="DF391" s="411"/>
      <c r="DG391" s="419"/>
      <c r="DH391" s="411"/>
      <c r="DI391" s="411"/>
      <c r="DJ391" s="411"/>
      <c r="DK391" s="411"/>
      <c r="DL391" s="411"/>
      <c r="DM391" s="411"/>
      <c r="DN391" s="411"/>
      <c r="DO391" s="411"/>
      <c r="DP391" s="411"/>
      <c r="DQ391" s="411"/>
      <c r="DR391" s="411"/>
      <c r="DS391" s="411"/>
      <c r="DT391" s="411"/>
      <c r="DU391" s="419"/>
      <c r="DV391" s="411"/>
      <c r="DW391" s="411"/>
      <c r="DX391" s="415"/>
      <c r="DY391" s="268"/>
      <c r="DZ391" s="268"/>
      <c r="EA391" s="268"/>
      <c r="EB391" s="268"/>
      <c r="EC391" s="268"/>
      <c r="ED391" s="268"/>
      <c r="EE391" s="268"/>
      <c r="EF391" s="268"/>
      <c r="EG391" s="268"/>
      <c r="EH391" s="268"/>
      <c r="EI391" s="268"/>
      <c r="EJ391" s="268"/>
    </row>
    <row r="392" spans="1:140" s="269" customFormat="1" x14ac:dyDescent="0.2">
      <c r="A392" s="288"/>
      <c r="B392" s="267"/>
      <c r="D392" s="264"/>
      <c r="E392" s="467"/>
      <c r="F392" s="264"/>
      <c r="G392" s="400"/>
      <c r="H392" s="264"/>
      <c r="I392" s="467"/>
      <c r="J392" s="264"/>
      <c r="K392" s="264"/>
      <c r="L392" s="264"/>
      <c r="M392" s="264"/>
      <c r="N392" s="264"/>
      <c r="O392" s="264"/>
      <c r="P392" s="264"/>
      <c r="Q392" s="264"/>
      <c r="R392" s="264"/>
      <c r="S392" s="264"/>
      <c r="T392" s="264"/>
      <c r="U392" s="264"/>
      <c r="V392" s="264"/>
      <c r="W392" s="283"/>
      <c r="X392" s="288"/>
      <c r="Z392" s="1002"/>
      <c r="AS392" s="1355"/>
      <c r="BK392" s="256"/>
      <c r="BO392" s="1363"/>
      <c r="BX392" s="257"/>
      <c r="BY392" s="256"/>
      <c r="BZ392" s="258"/>
      <c r="CA392" s="258"/>
      <c r="CB392" s="256"/>
      <c r="CC392" s="1013"/>
      <c r="CD392" s="1012"/>
      <c r="CE392" s="268"/>
      <c r="CF392" s="411"/>
      <c r="CG392" s="419"/>
      <c r="CH392" s="411"/>
      <c r="CI392" s="411"/>
      <c r="CJ392" s="411"/>
      <c r="CK392" s="419"/>
      <c r="CL392" s="411"/>
      <c r="CM392" s="411"/>
      <c r="CN392" s="411"/>
      <c r="CO392" s="419"/>
      <c r="CP392" s="411"/>
      <c r="CQ392" s="411"/>
      <c r="CR392" s="411"/>
      <c r="CS392" s="411"/>
      <c r="CT392" s="411"/>
      <c r="CU392" s="411"/>
      <c r="CV392" s="411"/>
      <c r="CW392" s="411"/>
      <c r="CX392" s="411"/>
      <c r="CY392" s="419"/>
      <c r="CZ392" s="411"/>
      <c r="DA392" s="411"/>
      <c r="DB392" s="411"/>
      <c r="DC392" s="419"/>
      <c r="DD392" s="411"/>
      <c r="DE392" s="411"/>
      <c r="DF392" s="411"/>
      <c r="DG392" s="419"/>
      <c r="DH392" s="411"/>
      <c r="DI392" s="411"/>
      <c r="DJ392" s="411"/>
      <c r="DK392" s="411"/>
      <c r="DL392" s="411"/>
      <c r="DM392" s="411"/>
      <c r="DN392" s="411"/>
      <c r="DO392" s="411"/>
      <c r="DP392" s="411"/>
      <c r="DQ392" s="411"/>
      <c r="DR392" s="411"/>
      <c r="DS392" s="411"/>
      <c r="DT392" s="411"/>
      <c r="DU392" s="419"/>
      <c r="DV392" s="411"/>
      <c r="DW392" s="411"/>
      <c r="DX392" s="415"/>
      <c r="DY392" s="268"/>
      <c r="DZ392" s="268"/>
      <c r="EA392" s="268"/>
      <c r="EB392" s="268"/>
      <c r="EC392" s="268"/>
      <c r="ED392" s="268"/>
      <c r="EE392" s="268"/>
      <c r="EF392" s="268"/>
      <c r="EG392" s="268"/>
      <c r="EH392" s="268"/>
      <c r="EI392" s="268"/>
      <c r="EJ392" s="268"/>
    </row>
    <row r="393" spans="1:140" s="269" customFormat="1" x14ac:dyDescent="0.2">
      <c r="A393" s="288"/>
      <c r="B393" s="267"/>
      <c r="D393" s="264"/>
      <c r="E393" s="467"/>
      <c r="F393" s="264"/>
      <c r="G393" s="400"/>
      <c r="H393" s="264"/>
      <c r="I393" s="467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/>
      <c r="U393" s="264"/>
      <c r="V393" s="264"/>
      <c r="W393" s="283"/>
      <c r="X393" s="288"/>
      <c r="Z393" s="1002"/>
      <c r="AS393" s="1355"/>
      <c r="BK393" s="256"/>
      <c r="BO393" s="1363"/>
      <c r="BX393" s="257"/>
      <c r="BY393" s="256"/>
      <c r="BZ393" s="258"/>
      <c r="CA393" s="258"/>
      <c r="CB393" s="256"/>
      <c r="CC393" s="1013"/>
      <c r="CD393" s="1012"/>
      <c r="CE393" s="268"/>
      <c r="CF393" s="411"/>
      <c r="CG393" s="419"/>
      <c r="CH393" s="411"/>
      <c r="CI393" s="411"/>
      <c r="CJ393" s="411"/>
      <c r="CK393" s="419"/>
      <c r="CL393" s="411"/>
      <c r="CM393" s="411"/>
      <c r="CN393" s="411"/>
      <c r="CO393" s="419"/>
      <c r="CP393" s="411"/>
      <c r="CQ393" s="411"/>
      <c r="CR393" s="411"/>
      <c r="CS393" s="411"/>
      <c r="CT393" s="411"/>
      <c r="CU393" s="411"/>
      <c r="CV393" s="411"/>
      <c r="CW393" s="411"/>
      <c r="CX393" s="411"/>
      <c r="CY393" s="419"/>
      <c r="CZ393" s="411"/>
      <c r="DA393" s="411"/>
      <c r="DB393" s="411"/>
      <c r="DC393" s="419"/>
      <c r="DD393" s="411"/>
      <c r="DE393" s="411"/>
      <c r="DF393" s="411"/>
      <c r="DG393" s="419"/>
      <c r="DH393" s="411"/>
      <c r="DI393" s="411"/>
      <c r="DJ393" s="411"/>
      <c r="DK393" s="411"/>
      <c r="DL393" s="411"/>
      <c r="DM393" s="411"/>
      <c r="DN393" s="411"/>
      <c r="DO393" s="411"/>
      <c r="DP393" s="411"/>
      <c r="DQ393" s="411"/>
      <c r="DR393" s="411"/>
      <c r="DS393" s="411"/>
      <c r="DT393" s="411"/>
      <c r="DU393" s="419"/>
      <c r="DV393" s="411"/>
      <c r="DW393" s="411"/>
      <c r="DX393" s="415"/>
      <c r="DY393" s="268"/>
      <c r="DZ393" s="268"/>
      <c r="EA393" s="268"/>
      <c r="EB393" s="268"/>
      <c r="EC393" s="268"/>
      <c r="ED393" s="268"/>
      <c r="EE393" s="268"/>
      <c r="EF393" s="268"/>
      <c r="EG393" s="268"/>
      <c r="EH393" s="268"/>
      <c r="EI393" s="268"/>
      <c r="EJ393" s="268"/>
    </row>
    <row r="394" spans="1:140" s="269" customFormat="1" x14ac:dyDescent="0.2">
      <c r="A394" s="288"/>
      <c r="B394" s="267"/>
      <c r="D394" s="264"/>
      <c r="E394" s="467"/>
      <c r="F394" s="264"/>
      <c r="G394" s="400"/>
      <c r="H394" s="264"/>
      <c r="I394" s="467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83"/>
      <c r="X394" s="288"/>
      <c r="Z394" s="1002"/>
      <c r="AS394" s="1355"/>
      <c r="BK394" s="256"/>
      <c r="BO394" s="1363"/>
      <c r="BX394" s="257"/>
      <c r="BY394" s="256"/>
      <c r="BZ394" s="258"/>
      <c r="CA394" s="258"/>
      <c r="CB394" s="256"/>
      <c r="CC394" s="1013"/>
      <c r="CD394" s="1012"/>
      <c r="CE394" s="268"/>
      <c r="CF394" s="411"/>
      <c r="CG394" s="419"/>
      <c r="CH394" s="411"/>
      <c r="CI394" s="411"/>
      <c r="CJ394" s="411"/>
      <c r="CK394" s="419"/>
      <c r="CL394" s="411"/>
      <c r="CM394" s="411"/>
      <c r="CN394" s="411"/>
      <c r="CO394" s="419"/>
      <c r="CP394" s="411"/>
      <c r="CQ394" s="411"/>
      <c r="CR394" s="411"/>
      <c r="CS394" s="411"/>
      <c r="CT394" s="411"/>
      <c r="CU394" s="411"/>
      <c r="CV394" s="411"/>
      <c r="CW394" s="411"/>
      <c r="CX394" s="411"/>
      <c r="CY394" s="419"/>
      <c r="CZ394" s="411"/>
      <c r="DA394" s="411"/>
      <c r="DB394" s="411"/>
      <c r="DC394" s="419"/>
      <c r="DD394" s="411"/>
      <c r="DE394" s="411"/>
      <c r="DF394" s="411"/>
      <c r="DG394" s="419"/>
      <c r="DH394" s="411"/>
      <c r="DI394" s="411"/>
      <c r="DJ394" s="411"/>
      <c r="DK394" s="411"/>
      <c r="DL394" s="411"/>
      <c r="DM394" s="411"/>
      <c r="DN394" s="411"/>
      <c r="DO394" s="411"/>
      <c r="DP394" s="411"/>
      <c r="DQ394" s="411"/>
      <c r="DR394" s="411"/>
      <c r="DS394" s="411"/>
      <c r="DT394" s="411"/>
      <c r="DU394" s="419"/>
      <c r="DV394" s="411"/>
      <c r="DW394" s="411"/>
      <c r="DX394" s="415"/>
      <c r="DY394" s="268"/>
      <c r="DZ394" s="268"/>
      <c r="EA394" s="268"/>
      <c r="EB394" s="268"/>
      <c r="EC394" s="268"/>
      <c r="ED394" s="268"/>
      <c r="EE394" s="268"/>
      <c r="EF394" s="268"/>
      <c r="EG394" s="268"/>
      <c r="EH394" s="268"/>
      <c r="EI394" s="268"/>
      <c r="EJ394" s="268"/>
    </row>
    <row r="395" spans="1:140" s="269" customFormat="1" x14ac:dyDescent="0.2">
      <c r="A395" s="288"/>
      <c r="B395" s="267"/>
      <c r="D395" s="264"/>
      <c r="E395" s="467"/>
      <c r="F395" s="264"/>
      <c r="G395" s="400"/>
      <c r="H395" s="264"/>
      <c r="I395" s="467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83"/>
      <c r="X395" s="288"/>
      <c r="Z395" s="1002"/>
      <c r="AS395" s="1355"/>
      <c r="BK395" s="256"/>
      <c r="BO395" s="1363"/>
      <c r="BX395" s="257"/>
      <c r="BY395" s="256"/>
      <c r="BZ395" s="258"/>
      <c r="CA395" s="258"/>
      <c r="CB395" s="256"/>
      <c r="CC395" s="1013"/>
      <c r="CD395" s="1012"/>
      <c r="CE395" s="268"/>
      <c r="CF395" s="411"/>
      <c r="CG395" s="419"/>
      <c r="CH395" s="411"/>
      <c r="CI395" s="411"/>
      <c r="CJ395" s="411"/>
      <c r="CK395" s="419"/>
      <c r="CL395" s="411"/>
      <c r="CM395" s="411"/>
      <c r="CN395" s="411"/>
      <c r="CO395" s="419"/>
      <c r="CP395" s="411"/>
      <c r="CQ395" s="411"/>
      <c r="CR395" s="411"/>
      <c r="CS395" s="411"/>
      <c r="CT395" s="411"/>
      <c r="CU395" s="411"/>
      <c r="CV395" s="411"/>
      <c r="CW395" s="411"/>
      <c r="CX395" s="411"/>
      <c r="CY395" s="419"/>
      <c r="CZ395" s="411"/>
      <c r="DA395" s="411"/>
      <c r="DB395" s="411"/>
      <c r="DC395" s="419"/>
      <c r="DD395" s="411"/>
      <c r="DE395" s="411"/>
      <c r="DF395" s="411"/>
      <c r="DG395" s="419"/>
      <c r="DH395" s="411"/>
      <c r="DI395" s="411"/>
      <c r="DJ395" s="411"/>
      <c r="DK395" s="411"/>
      <c r="DL395" s="411"/>
      <c r="DM395" s="411"/>
      <c r="DN395" s="411"/>
      <c r="DO395" s="411"/>
      <c r="DP395" s="411"/>
      <c r="DQ395" s="411"/>
      <c r="DR395" s="411"/>
      <c r="DS395" s="411"/>
      <c r="DT395" s="411"/>
      <c r="DU395" s="419"/>
      <c r="DV395" s="411"/>
      <c r="DW395" s="411"/>
      <c r="DX395" s="415"/>
      <c r="DY395" s="268"/>
      <c r="DZ395" s="268"/>
      <c r="EA395" s="268"/>
      <c r="EB395" s="268"/>
      <c r="EC395" s="268"/>
      <c r="ED395" s="268"/>
      <c r="EE395" s="268"/>
      <c r="EF395" s="268"/>
      <c r="EG395" s="268"/>
      <c r="EH395" s="268"/>
      <c r="EI395" s="268"/>
      <c r="EJ395" s="268"/>
    </row>
    <row r="396" spans="1:140" s="269" customFormat="1" x14ac:dyDescent="0.2">
      <c r="A396" s="288"/>
      <c r="B396" s="267"/>
      <c r="D396" s="264"/>
      <c r="E396" s="467"/>
      <c r="F396" s="264"/>
      <c r="G396" s="400"/>
      <c r="H396" s="264"/>
      <c r="I396" s="467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83"/>
      <c r="X396" s="288"/>
      <c r="Z396" s="1002"/>
      <c r="AS396" s="1355"/>
      <c r="BK396" s="256"/>
      <c r="BO396" s="1363"/>
      <c r="BX396" s="257"/>
      <c r="BY396" s="256"/>
      <c r="BZ396" s="258"/>
      <c r="CA396" s="258"/>
      <c r="CB396" s="256"/>
      <c r="CC396" s="1013"/>
      <c r="CD396" s="1012"/>
      <c r="CE396" s="268"/>
      <c r="CF396" s="411"/>
      <c r="CG396" s="419"/>
      <c r="CH396" s="411"/>
      <c r="CI396" s="411"/>
      <c r="CJ396" s="411"/>
      <c r="CK396" s="419"/>
      <c r="CL396" s="411"/>
      <c r="CM396" s="411"/>
      <c r="CN396" s="411"/>
      <c r="CO396" s="419"/>
      <c r="CP396" s="411"/>
      <c r="CQ396" s="411"/>
      <c r="CR396" s="411"/>
      <c r="CS396" s="411"/>
      <c r="CT396" s="411"/>
      <c r="CU396" s="411"/>
      <c r="CV396" s="411"/>
      <c r="CW396" s="411"/>
      <c r="CX396" s="411"/>
      <c r="CY396" s="419"/>
      <c r="CZ396" s="411"/>
      <c r="DA396" s="411"/>
      <c r="DB396" s="411"/>
      <c r="DC396" s="419"/>
      <c r="DD396" s="411"/>
      <c r="DE396" s="411"/>
      <c r="DF396" s="411"/>
      <c r="DG396" s="419"/>
      <c r="DH396" s="411"/>
      <c r="DI396" s="411"/>
      <c r="DJ396" s="411"/>
      <c r="DK396" s="411"/>
      <c r="DL396" s="411"/>
      <c r="DM396" s="411"/>
      <c r="DN396" s="411"/>
      <c r="DO396" s="411"/>
      <c r="DP396" s="411"/>
      <c r="DQ396" s="411"/>
      <c r="DR396" s="411"/>
      <c r="DS396" s="411"/>
      <c r="DT396" s="411"/>
      <c r="DU396" s="419"/>
      <c r="DV396" s="411"/>
      <c r="DW396" s="411"/>
      <c r="DX396" s="415"/>
      <c r="DY396" s="268"/>
      <c r="DZ396" s="268"/>
      <c r="EA396" s="268"/>
      <c r="EB396" s="268"/>
      <c r="EC396" s="268"/>
      <c r="ED396" s="268"/>
      <c r="EE396" s="268"/>
      <c r="EF396" s="268"/>
      <c r="EG396" s="268"/>
      <c r="EH396" s="268"/>
      <c r="EI396" s="268"/>
      <c r="EJ396" s="268"/>
    </row>
    <row r="397" spans="1:140" s="269" customFormat="1" x14ac:dyDescent="0.2">
      <c r="A397" s="288"/>
      <c r="B397" s="267"/>
      <c r="D397" s="264"/>
      <c r="E397" s="467"/>
      <c r="F397" s="264"/>
      <c r="G397" s="400"/>
      <c r="H397" s="264"/>
      <c r="I397" s="467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83"/>
      <c r="X397" s="288"/>
      <c r="Z397" s="1002"/>
      <c r="AS397" s="1355"/>
      <c r="BK397" s="256"/>
      <c r="BO397" s="1363"/>
      <c r="BX397" s="257"/>
      <c r="BY397" s="256"/>
      <c r="BZ397" s="258"/>
      <c r="CA397" s="258"/>
      <c r="CB397" s="256"/>
      <c r="CC397" s="1013"/>
      <c r="CD397" s="1012"/>
      <c r="CE397" s="268"/>
      <c r="CF397" s="411"/>
      <c r="CG397" s="419"/>
      <c r="CH397" s="411"/>
      <c r="CI397" s="411"/>
      <c r="CJ397" s="411"/>
      <c r="CK397" s="419"/>
      <c r="CL397" s="411"/>
      <c r="CM397" s="411"/>
      <c r="CN397" s="411"/>
      <c r="CO397" s="419"/>
      <c r="CP397" s="411"/>
      <c r="CQ397" s="411"/>
      <c r="CR397" s="411"/>
      <c r="CS397" s="411"/>
      <c r="CT397" s="411"/>
      <c r="CU397" s="411"/>
      <c r="CV397" s="411"/>
      <c r="CW397" s="411"/>
      <c r="CX397" s="411"/>
      <c r="CY397" s="419"/>
      <c r="CZ397" s="411"/>
      <c r="DA397" s="411"/>
      <c r="DB397" s="411"/>
      <c r="DC397" s="419"/>
      <c r="DD397" s="411"/>
      <c r="DE397" s="411"/>
      <c r="DF397" s="411"/>
      <c r="DG397" s="419"/>
      <c r="DH397" s="411"/>
      <c r="DI397" s="411"/>
      <c r="DJ397" s="411"/>
      <c r="DK397" s="411"/>
      <c r="DL397" s="411"/>
      <c r="DM397" s="411"/>
      <c r="DN397" s="411"/>
      <c r="DO397" s="411"/>
      <c r="DP397" s="411"/>
      <c r="DQ397" s="411"/>
      <c r="DR397" s="411"/>
      <c r="DS397" s="411"/>
      <c r="DT397" s="411"/>
      <c r="DU397" s="419"/>
      <c r="DV397" s="411"/>
      <c r="DW397" s="411"/>
      <c r="DX397" s="415"/>
      <c r="DY397" s="268"/>
      <c r="DZ397" s="268"/>
      <c r="EA397" s="268"/>
      <c r="EB397" s="268"/>
      <c r="EC397" s="268"/>
      <c r="ED397" s="268"/>
      <c r="EE397" s="268"/>
      <c r="EF397" s="268"/>
      <c r="EG397" s="268"/>
      <c r="EH397" s="268"/>
      <c r="EI397" s="268"/>
      <c r="EJ397" s="268"/>
    </row>
    <row r="398" spans="1:140" s="269" customFormat="1" x14ac:dyDescent="0.2">
      <c r="A398" s="288"/>
      <c r="B398" s="267"/>
      <c r="D398" s="264"/>
      <c r="E398" s="467"/>
      <c r="F398" s="264"/>
      <c r="G398" s="400"/>
      <c r="H398" s="264"/>
      <c r="I398" s="467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83"/>
      <c r="X398" s="288"/>
      <c r="Z398" s="1002"/>
      <c r="AS398" s="1355"/>
      <c r="BK398" s="256"/>
      <c r="BO398" s="1363"/>
      <c r="BX398" s="257"/>
      <c r="BY398" s="256"/>
      <c r="BZ398" s="258"/>
      <c r="CA398" s="258"/>
      <c r="CB398" s="256"/>
      <c r="CC398" s="1013"/>
      <c r="CD398" s="1012"/>
      <c r="CE398" s="268"/>
      <c r="CF398" s="411"/>
      <c r="CG398" s="419"/>
      <c r="CH398" s="411"/>
      <c r="CI398" s="411"/>
      <c r="CJ398" s="411"/>
      <c r="CK398" s="419"/>
      <c r="CL398" s="411"/>
      <c r="CM398" s="411"/>
      <c r="CN398" s="411"/>
      <c r="CO398" s="419"/>
      <c r="CP398" s="411"/>
      <c r="CQ398" s="411"/>
      <c r="CR398" s="411"/>
      <c r="CS398" s="411"/>
      <c r="CT398" s="411"/>
      <c r="CU398" s="411"/>
      <c r="CV398" s="411"/>
      <c r="CW398" s="411"/>
      <c r="CX398" s="411"/>
      <c r="CY398" s="419"/>
      <c r="CZ398" s="411"/>
      <c r="DA398" s="411"/>
      <c r="DB398" s="411"/>
      <c r="DC398" s="419"/>
      <c r="DD398" s="411"/>
      <c r="DE398" s="411"/>
      <c r="DF398" s="411"/>
      <c r="DG398" s="419"/>
      <c r="DH398" s="411"/>
      <c r="DI398" s="411"/>
      <c r="DJ398" s="411"/>
      <c r="DK398" s="411"/>
      <c r="DL398" s="411"/>
      <c r="DM398" s="411"/>
      <c r="DN398" s="411"/>
      <c r="DO398" s="411"/>
      <c r="DP398" s="411"/>
      <c r="DQ398" s="411"/>
      <c r="DR398" s="411"/>
      <c r="DS398" s="411"/>
      <c r="DT398" s="411"/>
      <c r="DU398" s="419"/>
      <c r="DV398" s="411"/>
      <c r="DW398" s="411"/>
      <c r="DX398" s="415"/>
      <c r="DY398" s="268"/>
      <c r="DZ398" s="268"/>
      <c r="EA398" s="268"/>
      <c r="EB398" s="268"/>
      <c r="EC398" s="268"/>
      <c r="ED398" s="268"/>
      <c r="EE398" s="268"/>
      <c r="EF398" s="268"/>
      <c r="EG398" s="268"/>
      <c r="EH398" s="268"/>
      <c r="EI398" s="268"/>
      <c r="EJ398" s="268"/>
    </row>
    <row r="399" spans="1:140" s="269" customFormat="1" x14ac:dyDescent="0.2">
      <c r="A399" s="288"/>
      <c r="B399" s="267"/>
      <c r="D399" s="264"/>
      <c r="E399" s="467"/>
      <c r="F399" s="264"/>
      <c r="G399" s="400"/>
      <c r="H399" s="264"/>
      <c r="I399" s="467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4"/>
      <c r="V399" s="264"/>
      <c r="W399" s="283"/>
      <c r="X399" s="288"/>
      <c r="Z399" s="1002"/>
      <c r="AS399" s="1355"/>
      <c r="BK399" s="256"/>
      <c r="BO399" s="1363"/>
      <c r="BX399" s="257"/>
      <c r="BY399" s="256"/>
      <c r="BZ399" s="258"/>
      <c r="CA399" s="258"/>
      <c r="CB399" s="256"/>
      <c r="CC399" s="1013"/>
      <c r="CD399" s="1012"/>
      <c r="CE399" s="268"/>
      <c r="CF399" s="411"/>
      <c r="CG399" s="419"/>
      <c r="CH399" s="411"/>
      <c r="CI399" s="411"/>
      <c r="CJ399" s="411"/>
      <c r="CK399" s="419"/>
      <c r="CL399" s="411"/>
      <c r="CM399" s="411"/>
      <c r="CN399" s="411"/>
      <c r="CO399" s="419"/>
      <c r="CP399" s="411"/>
      <c r="CQ399" s="411"/>
      <c r="CR399" s="411"/>
      <c r="CS399" s="411"/>
      <c r="CT399" s="411"/>
      <c r="CU399" s="411"/>
      <c r="CV399" s="411"/>
      <c r="CW399" s="411"/>
      <c r="CX399" s="411"/>
      <c r="CY399" s="419"/>
      <c r="CZ399" s="411"/>
      <c r="DA399" s="411"/>
      <c r="DB399" s="411"/>
      <c r="DC399" s="419"/>
      <c r="DD399" s="411"/>
      <c r="DE399" s="411"/>
      <c r="DF399" s="411"/>
      <c r="DG399" s="419"/>
      <c r="DH399" s="411"/>
      <c r="DI399" s="411"/>
      <c r="DJ399" s="411"/>
      <c r="DK399" s="411"/>
      <c r="DL399" s="411"/>
      <c r="DM399" s="411"/>
      <c r="DN399" s="411"/>
      <c r="DO399" s="411"/>
      <c r="DP399" s="411"/>
      <c r="DQ399" s="411"/>
      <c r="DR399" s="411"/>
      <c r="DS399" s="411"/>
      <c r="DT399" s="411"/>
      <c r="DU399" s="419"/>
      <c r="DV399" s="411"/>
      <c r="DW399" s="411"/>
      <c r="DX399" s="415"/>
      <c r="DY399" s="268"/>
      <c r="DZ399" s="268"/>
      <c r="EA399" s="268"/>
      <c r="EB399" s="268"/>
      <c r="EC399" s="268"/>
      <c r="ED399" s="268"/>
      <c r="EE399" s="268"/>
      <c r="EF399" s="268"/>
      <c r="EG399" s="268"/>
      <c r="EH399" s="268"/>
      <c r="EI399" s="268"/>
      <c r="EJ399" s="268"/>
    </row>
    <row r="400" spans="1:140" s="269" customFormat="1" x14ac:dyDescent="0.2">
      <c r="A400" s="288"/>
      <c r="B400" s="267"/>
      <c r="D400" s="264"/>
      <c r="E400" s="467"/>
      <c r="F400" s="264"/>
      <c r="G400" s="400"/>
      <c r="H400" s="264"/>
      <c r="I400" s="467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4"/>
      <c r="U400" s="264"/>
      <c r="V400" s="264"/>
      <c r="W400" s="283"/>
      <c r="X400" s="288"/>
      <c r="Z400" s="1002"/>
      <c r="AS400" s="1355"/>
      <c r="BK400" s="256"/>
      <c r="BO400" s="1363"/>
      <c r="BX400" s="257"/>
      <c r="BY400" s="256"/>
      <c r="BZ400" s="258"/>
      <c r="CA400" s="258"/>
      <c r="CB400" s="256"/>
      <c r="CC400" s="1013"/>
      <c r="CD400" s="1012"/>
      <c r="CE400" s="268"/>
      <c r="CF400" s="411"/>
      <c r="CG400" s="419"/>
      <c r="CH400" s="411"/>
      <c r="CI400" s="411"/>
      <c r="CJ400" s="411"/>
      <c r="CK400" s="419"/>
      <c r="CL400" s="411"/>
      <c r="CM400" s="411"/>
      <c r="CN400" s="411"/>
      <c r="CO400" s="419"/>
      <c r="CP400" s="411"/>
      <c r="CQ400" s="411"/>
      <c r="CR400" s="411"/>
      <c r="CS400" s="411"/>
      <c r="CT400" s="411"/>
      <c r="CU400" s="411"/>
      <c r="CV400" s="411"/>
      <c r="CW400" s="411"/>
      <c r="CX400" s="411"/>
      <c r="CY400" s="419"/>
      <c r="CZ400" s="411"/>
      <c r="DA400" s="411"/>
      <c r="DB400" s="411"/>
      <c r="DC400" s="419"/>
      <c r="DD400" s="411"/>
      <c r="DE400" s="411"/>
      <c r="DF400" s="411"/>
      <c r="DG400" s="419"/>
      <c r="DH400" s="411"/>
      <c r="DI400" s="411"/>
      <c r="DJ400" s="411"/>
      <c r="DK400" s="411"/>
      <c r="DL400" s="411"/>
      <c r="DM400" s="411"/>
      <c r="DN400" s="411"/>
      <c r="DO400" s="411"/>
      <c r="DP400" s="411"/>
      <c r="DQ400" s="411"/>
      <c r="DR400" s="411"/>
      <c r="DS400" s="411"/>
      <c r="DT400" s="411"/>
      <c r="DU400" s="419"/>
      <c r="DV400" s="411"/>
      <c r="DW400" s="411"/>
      <c r="DX400" s="415"/>
      <c r="DY400" s="268"/>
      <c r="DZ400" s="268"/>
      <c r="EA400" s="268"/>
      <c r="EB400" s="268"/>
      <c r="EC400" s="268"/>
      <c r="ED400" s="268"/>
      <c r="EE400" s="268"/>
      <c r="EF400" s="268"/>
      <c r="EG400" s="268"/>
      <c r="EH400" s="268"/>
      <c r="EI400" s="268"/>
      <c r="EJ400" s="268"/>
    </row>
    <row r="401" spans="1:140" s="269" customFormat="1" x14ac:dyDescent="0.2">
      <c r="A401" s="288"/>
      <c r="B401" s="267"/>
      <c r="D401" s="264"/>
      <c r="E401" s="467"/>
      <c r="F401" s="264"/>
      <c r="G401" s="400"/>
      <c r="H401" s="264"/>
      <c r="I401" s="467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83"/>
      <c r="X401" s="288"/>
      <c r="Z401" s="1002"/>
      <c r="AS401" s="1355"/>
      <c r="BK401" s="256"/>
      <c r="BO401" s="1363"/>
      <c r="BX401" s="257"/>
      <c r="BY401" s="256"/>
      <c r="BZ401" s="258"/>
      <c r="CA401" s="258"/>
      <c r="CB401" s="256"/>
      <c r="CC401" s="1013"/>
      <c r="CD401" s="1012"/>
      <c r="CE401" s="268"/>
      <c r="CF401" s="411"/>
      <c r="CG401" s="419"/>
      <c r="CH401" s="411"/>
      <c r="CI401" s="411"/>
      <c r="CJ401" s="411"/>
      <c r="CK401" s="419"/>
      <c r="CL401" s="411"/>
      <c r="CM401" s="411"/>
      <c r="CN401" s="411"/>
      <c r="CO401" s="419"/>
      <c r="CP401" s="411"/>
      <c r="CQ401" s="411"/>
      <c r="CR401" s="411"/>
      <c r="CS401" s="411"/>
      <c r="CT401" s="411"/>
      <c r="CU401" s="411"/>
      <c r="CV401" s="411"/>
      <c r="CW401" s="411"/>
      <c r="CX401" s="411"/>
      <c r="CY401" s="419"/>
      <c r="CZ401" s="411"/>
      <c r="DA401" s="411"/>
      <c r="DB401" s="411"/>
      <c r="DC401" s="419"/>
      <c r="DD401" s="411"/>
      <c r="DE401" s="411"/>
      <c r="DF401" s="411"/>
      <c r="DG401" s="419"/>
      <c r="DH401" s="411"/>
      <c r="DI401" s="411"/>
      <c r="DJ401" s="411"/>
      <c r="DK401" s="411"/>
      <c r="DL401" s="411"/>
      <c r="DM401" s="411"/>
      <c r="DN401" s="411"/>
      <c r="DO401" s="411"/>
      <c r="DP401" s="411"/>
      <c r="DQ401" s="411"/>
      <c r="DR401" s="411"/>
      <c r="DS401" s="411"/>
      <c r="DT401" s="411"/>
      <c r="DU401" s="419"/>
      <c r="DV401" s="411"/>
      <c r="DW401" s="411"/>
      <c r="DX401" s="415"/>
      <c r="DY401" s="268"/>
      <c r="DZ401" s="268"/>
      <c r="EA401" s="268"/>
      <c r="EB401" s="268"/>
      <c r="EC401" s="268"/>
      <c r="ED401" s="268"/>
      <c r="EE401" s="268"/>
      <c r="EF401" s="268"/>
      <c r="EG401" s="268"/>
      <c r="EH401" s="268"/>
      <c r="EI401" s="268"/>
      <c r="EJ401" s="268"/>
    </row>
    <row r="402" spans="1:140" s="269" customFormat="1" x14ac:dyDescent="0.2">
      <c r="A402" s="288"/>
      <c r="B402" s="267"/>
      <c r="D402" s="264"/>
      <c r="E402" s="467"/>
      <c r="F402" s="264"/>
      <c r="G402" s="400"/>
      <c r="H402" s="264"/>
      <c r="I402" s="467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83"/>
      <c r="X402" s="288"/>
      <c r="Z402" s="1002"/>
      <c r="AS402" s="1355"/>
      <c r="BK402" s="256"/>
      <c r="BO402" s="1363"/>
      <c r="BX402" s="257"/>
      <c r="BY402" s="256"/>
      <c r="BZ402" s="258"/>
      <c r="CA402" s="258"/>
      <c r="CB402" s="256"/>
      <c r="CC402" s="1013"/>
      <c r="CD402" s="1012"/>
      <c r="CE402" s="268"/>
      <c r="CF402" s="411"/>
      <c r="CG402" s="419"/>
      <c r="CH402" s="411"/>
      <c r="CI402" s="411"/>
      <c r="CJ402" s="411"/>
      <c r="CK402" s="419"/>
      <c r="CL402" s="411"/>
      <c r="CM402" s="411"/>
      <c r="CN402" s="411"/>
      <c r="CO402" s="419"/>
      <c r="CP402" s="411"/>
      <c r="CQ402" s="411"/>
      <c r="CR402" s="411"/>
      <c r="CS402" s="411"/>
      <c r="CT402" s="411"/>
      <c r="CU402" s="411"/>
      <c r="CV402" s="411"/>
      <c r="CW402" s="411"/>
      <c r="CX402" s="411"/>
      <c r="CY402" s="419"/>
      <c r="CZ402" s="411"/>
      <c r="DA402" s="411"/>
      <c r="DB402" s="411"/>
      <c r="DC402" s="419"/>
      <c r="DD402" s="411"/>
      <c r="DE402" s="411"/>
      <c r="DF402" s="411"/>
      <c r="DG402" s="419"/>
      <c r="DH402" s="411"/>
      <c r="DI402" s="411"/>
      <c r="DJ402" s="411"/>
      <c r="DK402" s="411"/>
      <c r="DL402" s="411"/>
      <c r="DM402" s="411"/>
      <c r="DN402" s="411"/>
      <c r="DO402" s="411"/>
      <c r="DP402" s="411"/>
      <c r="DQ402" s="411"/>
      <c r="DR402" s="411"/>
      <c r="DS402" s="411"/>
      <c r="DT402" s="411"/>
      <c r="DU402" s="419"/>
      <c r="DV402" s="411"/>
      <c r="DW402" s="411"/>
      <c r="DX402" s="415"/>
      <c r="DY402" s="268"/>
      <c r="DZ402" s="268"/>
      <c r="EA402" s="268"/>
      <c r="EB402" s="268"/>
      <c r="EC402" s="268"/>
      <c r="ED402" s="268"/>
      <c r="EE402" s="268"/>
      <c r="EF402" s="268"/>
      <c r="EG402" s="268"/>
      <c r="EH402" s="268"/>
      <c r="EI402" s="268"/>
      <c r="EJ402" s="268"/>
    </row>
    <row r="403" spans="1:140" s="269" customFormat="1" x14ac:dyDescent="0.2">
      <c r="A403" s="288"/>
      <c r="B403" s="267"/>
      <c r="D403" s="264"/>
      <c r="E403" s="467"/>
      <c r="F403" s="264"/>
      <c r="G403" s="400"/>
      <c r="H403" s="264"/>
      <c r="I403" s="467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83"/>
      <c r="X403" s="288"/>
      <c r="Z403" s="1002"/>
      <c r="AS403" s="1355"/>
      <c r="BK403" s="256"/>
      <c r="BO403" s="1363"/>
      <c r="BX403" s="257"/>
      <c r="BY403" s="256"/>
      <c r="BZ403" s="258"/>
      <c r="CA403" s="258"/>
      <c r="CB403" s="256"/>
      <c r="CC403" s="1013"/>
      <c r="CD403" s="1012"/>
      <c r="CE403" s="268"/>
      <c r="CF403" s="411"/>
      <c r="CG403" s="419"/>
      <c r="CH403" s="411"/>
      <c r="CI403" s="411"/>
      <c r="CJ403" s="411"/>
      <c r="CK403" s="419"/>
      <c r="CL403" s="411"/>
      <c r="CM403" s="411"/>
      <c r="CN403" s="411"/>
      <c r="CO403" s="419"/>
      <c r="CP403" s="411"/>
      <c r="CQ403" s="411"/>
      <c r="CR403" s="411"/>
      <c r="CS403" s="411"/>
      <c r="CT403" s="411"/>
      <c r="CU403" s="411"/>
      <c r="CV403" s="411"/>
      <c r="CW403" s="411"/>
      <c r="CX403" s="411"/>
      <c r="CY403" s="419"/>
      <c r="CZ403" s="411"/>
      <c r="DA403" s="411"/>
      <c r="DB403" s="411"/>
      <c r="DC403" s="419"/>
      <c r="DD403" s="411"/>
      <c r="DE403" s="411"/>
      <c r="DF403" s="411"/>
      <c r="DG403" s="419"/>
      <c r="DH403" s="411"/>
      <c r="DI403" s="411"/>
      <c r="DJ403" s="411"/>
      <c r="DK403" s="411"/>
      <c r="DL403" s="411"/>
      <c r="DM403" s="411"/>
      <c r="DN403" s="411"/>
      <c r="DO403" s="411"/>
      <c r="DP403" s="411"/>
      <c r="DQ403" s="411"/>
      <c r="DR403" s="411"/>
      <c r="DS403" s="411"/>
      <c r="DT403" s="411"/>
      <c r="DU403" s="419"/>
      <c r="DV403" s="411"/>
      <c r="DW403" s="411"/>
      <c r="DX403" s="415"/>
      <c r="DY403" s="268"/>
      <c r="DZ403" s="268"/>
      <c r="EA403" s="268"/>
      <c r="EB403" s="268"/>
      <c r="EC403" s="268"/>
      <c r="ED403" s="268"/>
      <c r="EE403" s="268"/>
      <c r="EF403" s="268"/>
      <c r="EG403" s="268"/>
      <c r="EH403" s="268"/>
      <c r="EI403" s="268"/>
      <c r="EJ403" s="268"/>
    </row>
    <row r="404" spans="1:140" s="269" customFormat="1" x14ac:dyDescent="0.2">
      <c r="A404" s="288"/>
      <c r="B404" s="267"/>
      <c r="D404" s="264"/>
      <c r="E404" s="467"/>
      <c r="F404" s="264"/>
      <c r="G404" s="400"/>
      <c r="H404" s="264"/>
      <c r="I404" s="467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83"/>
      <c r="X404" s="288"/>
      <c r="Z404" s="1002"/>
      <c r="AS404" s="1355"/>
      <c r="BK404" s="256"/>
      <c r="BO404" s="1363"/>
      <c r="BX404" s="257"/>
      <c r="BY404" s="256"/>
      <c r="BZ404" s="258"/>
      <c r="CA404" s="258"/>
      <c r="CB404" s="256"/>
      <c r="CC404" s="1013"/>
      <c r="CD404" s="1012"/>
      <c r="CE404" s="268"/>
      <c r="CF404" s="411"/>
      <c r="CG404" s="419"/>
      <c r="CH404" s="411"/>
      <c r="CI404" s="411"/>
      <c r="CJ404" s="411"/>
      <c r="CK404" s="419"/>
      <c r="CL404" s="411"/>
      <c r="CM404" s="411"/>
      <c r="CN404" s="411"/>
      <c r="CO404" s="419"/>
      <c r="CP404" s="411"/>
      <c r="CQ404" s="411"/>
      <c r="CR404" s="411"/>
      <c r="CS404" s="411"/>
      <c r="CT404" s="411"/>
      <c r="CU404" s="411"/>
      <c r="CV404" s="411"/>
      <c r="CW404" s="411"/>
      <c r="CX404" s="411"/>
      <c r="CY404" s="419"/>
      <c r="CZ404" s="411"/>
      <c r="DA404" s="411"/>
      <c r="DB404" s="411"/>
      <c r="DC404" s="419"/>
      <c r="DD404" s="411"/>
      <c r="DE404" s="411"/>
      <c r="DF404" s="411"/>
      <c r="DG404" s="419"/>
      <c r="DH404" s="411"/>
      <c r="DI404" s="411"/>
      <c r="DJ404" s="411"/>
      <c r="DK404" s="411"/>
      <c r="DL404" s="411"/>
      <c r="DM404" s="411"/>
      <c r="DN404" s="411"/>
      <c r="DO404" s="411"/>
      <c r="DP404" s="411"/>
      <c r="DQ404" s="411"/>
      <c r="DR404" s="411"/>
      <c r="DS404" s="411"/>
      <c r="DT404" s="411"/>
      <c r="DU404" s="419"/>
      <c r="DV404" s="411"/>
      <c r="DW404" s="411"/>
      <c r="DX404" s="415"/>
      <c r="DY404" s="268"/>
      <c r="DZ404" s="268"/>
      <c r="EA404" s="268"/>
      <c r="EB404" s="268"/>
      <c r="EC404" s="268"/>
      <c r="ED404" s="268"/>
      <c r="EE404" s="268"/>
      <c r="EF404" s="268"/>
      <c r="EG404" s="268"/>
      <c r="EH404" s="268"/>
      <c r="EI404" s="268"/>
      <c r="EJ404" s="268"/>
    </row>
    <row r="405" spans="1:140" s="269" customFormat="1" x14ac:dyDescent="0.2">
      <c r="A405" s="288"/>
      <c r="B405" s="267"/>
      <c r="D405" s="264"/>
      <c r="E405" s="467"/>
      <c r="F405" s="264"/>
      <c r="G405" s="400"/>
      <c r="H405" s="264"/>
      <c r="I405" s="467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83"/>
      <c r="X405" s="288"/>
      <c r="Z405" s="1002"/>
      <c r="AS405" s="1355"/>
      <c r="BK405" s="256"/>
      <c r="BO405" s="1363"/>
      <c r="BX405" s="257"/>
      <c r="BY405" s="256"/>
      <c r="BZ405" s="258"/>
      <c r="CA405" s="258"/>
      <c r="CB405" s="256"/>
      <c r="CC405" s="1013"/>
      <c r="CD405" s="1012"/>
      <c r="CE405" s="268"/>
      <c r="CF405" s="411"/>
      <c r="CG405" s="419"/>
      <c r="CH405" s="411"/>
      <c r="CI405" s="411"/>
      <c r="CJ405" s="411"/>
      <c r="CK405" s="419"/>
      <c r="CL405" s="411"/>
      <c r="CM405" s="411"/>
      <c r="CN405" s="411"/>
      <c r="CO405" s="419"/>
      <c r="CP405" s="411"/>
      <c r="CQ405" s="411"/>
      <c r="CR405" s="411"/>
      <c r="CS405" s="411"/>
      <c r="CT405" s="411"/>
      <c r="CU405" s="411"/>
      <c r="CV405" s="411"/>
      <c r="CW405" s="411"/>
      <c r="CX405" s="411"/>
      <c r="CY405" s="419"/>
      <c r="CZ405" s="411"/>
      <c r="DA405" s="411"/>
      <c r="DB405" s="411"/>
      <c r="DC405" s="419"/>
      <c r="DD405" s="411"/>
      <c r="DE405" s="411"/>
      <c r="DF405" s="411"/>
      <c r="DG405" s="419"/>
      <c r="DH405" s="411"/>
      <c r="DI405" s="411"/>
      <c r="DJ405" s="411"/>
      <c r="DK405" s="411"/>
      <c r="DL405" s="411"/>
      <c r="DM405" s="411"/>
      <c r="DN405" s="411"/>
      <c r="DO405" s="411"/>
      <c r="DP405" s="411"/>
      <c r="DQ405" s="411"/>
      <c r="DR405" s="411"/>
      <c r="DS405" s="411"/>
      <c r="DT405" s="411"/>
      <c r="DU405" s="419"/>
      <c r="DV405" s="411"/>
      <c r="DW405" s="411"/>
      <c r="DX405" s="415"/>
      <c r="DY405" s="268"/>
      <c r="DZ405" s="268"/>
      <c r="EA405" s="268"/>
      <c r="EB405" s="268"/>
      <c r="EC405" s="268"/>
      <c r="ED405" s="268"/>
      <c r="EE405" s="268"/>
      <c r="EF405" s="268"/>
      <c r="EG405" s="268"/>
      <c r="EH405" s="268"/>
      <c r="EI405" s="268"/>
      <c r="EJ405" s="268"/>
    </row>
    <row r="406" spans="1:140" s="269" customFormat="1" x14ac:dyDescent="0.2">
      <c r="A406" s="288"/>
      <c r="B406" s="267"/>
      <c r="D406" s="264"/>
      <c r="E406" s="467"/>
      <c r="F406" s="264"/>
      <c r="G406" s="400"/>
      <c r="H406" s="264"/>
      <c r="I406" s="467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  <c r="V406" s="264"/>
      <c r="W406" s="283"/>
      <c r="X406" s="288"/>
      <c r="Z406" s="1002"/>
      <c r="AS406" s="1355"/>
      <c r="BK406" s="256"/>
      <c r="BO406" s="1363"/>
      <c r="BX406" s="257"/>
      <c r="BY406" s="256"/>
      <c r="BZ406" s="258"/>
      <c r="CA406" s="258"/>
      <c r="CB406" s="256"/>
      <c r="CC406" s="1013"/>
      <c r="CD406" s="1012"/>
      <c r="CE406" s="268"/>
      <c r="CF406" s="411"/>
      <c r="CG406" s="419"/>
      <c r="CH406" s="411"/>
      <c r="CI406" s="411"/>
      <c r="CJ406" s="411"/>
      <c r="CK406" s="419"/>
      <c r="CL406" s="411"/>
      <c r="CM406" s="411"/>
      <c r="CN406" s="411"/>
      <c r="CO406" s="419"/>
      <c r="CP406" s="411"/>
      <c r="CQ406" s="411"/>
      <c r="CR406" s="411"/>
      <c r="CS406" s="411"/>
      <c r="CT406" s="411"/>
      <c r="CU406" s="411"/>
      <c r="CV406" s="411"/>
      <c r="CW406" s="411"/>
      <c r="CX406" s="411"/>
      <c r="CY406" s="419"/>
      <c r="CZ406" s="411"/>
      <c r="DA406" s="411"/>
      <c r="DB406" s="411"/>
      <c r="DC406" s="419"/>
      <c r="DD406" s="411"/>
      <c r="DE406" s="411"/>
      <c r="DF406" s="411"/>
      <c r="DG406" s="419"/>
      <c r="DH406" s="411"/>
      <c r="DI406" s="411"/>
      <c r="DJ406" s="411"/>
      <c r="DK406" s="411"/>
      <c r="DL406" s="411"/>
      <c r="DM406" s="411"/>
      <c r="DN406" s="411"/>
      <c r="DO406" s="411"/>
      <c r="DP406" s="411"/>
      <c r="DQ406" s="411"/>
      <c r="DR406" s="411"/>
      <c r="DS406" s="411"/>
      <c r="DT406" s="411"/>
      <c r="DU406" s="419"/>
      <c r="DV406" s="411"/>
      <c r="DW406" s="411"/>
      <c r="DX406" s="415"/>
      <c r="DY406" s="268"/>
      <c r="DZ406" s="268"/>
      <c r="EA406" s="268"/>
      <c r="EB406" s="268"/>
      <c r="EC406" s="268"/>
      <c r="ED406" s="268"/>
      <c r="EE406" s="268"/>
      <c r="EF406" s="268"/>
      <c r="EG406" s="268"/>
      <c r="EH406" s="268"/>
      <c r="EI406" s="268"/>
      <c r="EJ406" s="268"/>
    </row>
    <row r="407" spans="1:140" s="269" customFormat="1" x14ac:dyDescent="0.2">
      <c r="A407" s="288"/>
      <c r="B407" s="267"/>
      <c r="D407" s="264"/>
      <c r="E407" s="467"/>
      <c r="F407" s="264"/>
      <c r="G407" s="400"/>
      <c r="H407" s="264"/>
      <c r="I407" s="467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83"/>
      <c r="X407" s="288"/>
      <c r="Z407" s="1002"/>
      <c r="AS407" s="1355"/>
      <c r="BK407" s="256"/>
      <c r="BO407" s="1363"/>
      <c r="BX407" s="257"/>
      <c r="BY407" s="256"/>
      <c r="BZ407" s="258"/>
      <c r="CA407" s="258"/>
      <c r="CB407" s="256"/>
      <c r="CC407" s="1013"/>
      <c r="CD407" s="1012"/>
      <c r="CE407" s="268"/>
      <c r="CF407" s="411"/>
      <c r="CG407" s="419"/>
      <c r="CH407" s="411"/>
      <c r="CI407" s="411"/>
      <c r="CJ407" s="411"/>
      <c r="CK407" s="419"/>
      <c r="CL407" s="411"/>
      <c r="CM407" s="411"/>
      <c r="CN407" s="411"/>
      <c r="CO407" s="419"/>
      <c r="CP407" s="411"/>
      <c r="CQ407" s="411"/>
      <c r="CR407" s="411"/>
      <c r="CS407" s="411"/>
      <c r="CT407" s="411"/>
      <c r="CU407" s="411"/>
      <c r="CV407" s="411"/>
      <c r="CW407" s="411"/>
      <c r="CX407" s="411"/>
      <c r="CY407" s="419"/>
      <c r="CZ407" s="411"/>
      <c r="DA407" s="411"/>
      <c r="DB407" s="411"/>
      <c r="DC407" s="419"/>
      <c r="DD407" s="411"/>
      <c r="DE407" s="411"/>
      <c r="DF407" s="411"/>
      <c r="DG407" s="419"/>
      <c r="DH407" s="411"/>
      <c r="DI407" s="411"/>
      <c r="DJ407" s="411"/>
      <c r="DK407" s="411"/>
      <c r="DL407" s="411"/>
      <c r="DM407" s="411"/>
      <c r="DN407" s="411"/>
      <c r="DO407" s="411"/>
      <c r="DP407" s="411"/>
      <c r="DQ407" s="411"/>
      <c r="DR407" s="411"/>
      <c r="DS407" s="411"/>
      <c r="DT407" s="411"/>
      <c r="DU407" s="419"/>
      <c r="DV407" s="411"/>
      <c r="DW407" s="411"/>
      <c r="DX407" s="415"/>
      <c r="DY407" s="268"/>
      <c r="DZ407" s="268"/>
      <c r="EA407" s="268"/>
      <c r="EB407" s="268"/>
      <c r="EC407" s="268"/>
      <c r="ED407" s="268"/>
      <c r="EE407" s="268"/>
      <c r="EF407" s="268"/>
      <c r="EG407" s="268"/>
      <c r="EH407" s="268"/>
      <c r="EI407" s="268"/>
      <c r="EJ407" s="268"/>
    </row>
    <row r="408" spans="1:140" s="269" customFormat="1" x14ac:dyDescent="0.2">
      <c r="A408" s="288"/>
      <c r="B408" s="267"/>
      <c r="D408" s="264"/>
      <c r="E408" s="467"/>
      <c r="F408" s="264"/>
      <c r="G408" s="400"/>
      <c r="H408" s="264"/>
      <c r="I408" s="467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  <c r="V408" s="264"/>
      <c r="W408" s="283"/>
      <c r="X408" s="288"/>
      <c r="Z408" s="1002"/>
      <c r="AS408" s="1355"/>
      <c r="BK408" s="256"/>
      <c r="BO408" s="1363"/>
      <c r="BX408" s="257"/>
      <c r="BY408" s="256"/>
      <c r="BZ408" s="258"/>
      <c r="CA408" s="258"/>
      <c r="CB408" s="256"/>
      <c r="CC408" s="1013"/>
      <c r="CD408" s="1012"/>
      <c r="CE408" s="268"/>
      <c r="CF408" s="411"/>
      <c r="CG408" s="419"/>
      <c r="CH408" s="411"/>
      <c r="CI408" s="411"/>
      <c r="CJ408" s="411"/>
      <c r="CK408" s="419"/>
      <c r="CL408" s="411"/>
      <c r="CM408" s="411"/>
      <c r="CN408" s="411"/>
      <c r="CO408" s="419"/>
      <c r="CP408" s="411"/>
      <c r="CQ408" s="411"/>
      <c r="CR408" s="411"/>
      <c r="CS408" s="411"/>
      <c r="CT408" s="411"/>
      <c r="CU408" s="411"/>
      <c r="CV408" s="411"/>
      <c r="CW408" s="411"/>
      <c r="CX408" s="411"/>
      <c r="CY408" s="419"/>
      <c r="CZ408" s="411"/>
      <c r="DA408" s="411"/>
      <c r="DB408" s="411"/>
      <c r="DC408" s="419"/>
      <c r="DD408" s="411"/>
      <c r="DE408" s="411"/>
      <c r="DF408" s="411"/>
      <c r="DG408" s="419"/>
      <c r="DH408" s="411"/>
      <c r="DI408" s="411"/>
      <c r="DJ408" s="411"/>
      <c r="DK408" s="411"/>
      <c r="DL408" s="411"/>
      <c r="DM408" s="411"/>
      <c r="DN408" s="411"/>
      <c r="DO408" s="411"/>
      <c r="DP408" s="411"/>
      <c r="DQ408" s="411"/>
      <c r="DR408" s="411"/>
      <c r="DS408" s="411"/>
      <c r="DT408" s="411"/>
      <c r="DU408" s="419"/>
      <c r="DV408" s="411"/>
      <c r="DW408" s="411"/>
      <c r="DX408" s="415"/>
      <c r="DY408" s="268"/>
      <c r="DZ408" s="268"/>
      <c r="EA408" s="268"/>
      <c r="EB408" s="268"/>
      <c r="EC408" s="268"/>
      <c r="ED408" s="268"/>
      <c r="EE408" s="268"/>
      <c r="EF408" s="268"/>
      <c r="EG408" s="268"/>
      <c r="EH408" s="268"/>
      <c r="EI408" s="268"/>
      <c r="EJ408" s="268"/>
    </row>
    <row r="409" spans="1:140" s="269" customFormat="1" x14ac:dyDescent="0.2">
      <c r="A409" s="288"/>
      <c r="B409" s="267"/>
      <c r="D409" s="264"/>
      <c r="E409" s="467"/>
      <c r="F409" s="264"/>
      <c r="G409" s="400"/>
      <c r="H409" s="264"/>
      <c r="I409" s="467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83"/>
      <c r="X409" s="288"/>
      <c r="Z409" s="1002"/>
      <c r="AS409" s="1355"/>
      <c r="BK409" s="256"/>
      <c r="BO409" s="1363"/>
      <c r="BX409" s="257"/>
      <c r="BY409" s="256"/>
      <c r="BZ409" s="258"/>
      <c r="CA409" s="258"/>
      <c r="CB409" s="256"/>
      <c r="CC409" s="1013"/>
      <c r="CD409" s="1012"/>
      <c r="CE409" s="268"/>
      <c r="CF409" s="411"/>
      <c r="CG409" s="419"/>
      <c r="CH409" s="411"/>
      <c r="CI409" s="411"/>
      <c r="CJ409" s="411"/>
      <c r="CK409" s="419"/>
      <c r="CL409" s="411"/>
      <c r="CM409" s="411"/>
      <c r="CN409" s="411"/>
      <c r="CO409" s="419"/>
      <c r="CP409" s="411"/>
      <c r="CQ409" s="411"/>
      <c r="CR409" s="411"/>
      <c r="CS409" s="411"/>
      <c r="CT409" s="411"/>
      <c r="CU409" s="411"/>
      <c r="CV409" s="411"/>
      <c r="CW409" s="411"/>
      <c r="CX409" s="411"/>
      <c r="CY409" s="419"/>
      <c r="CZ409" s="411"/>
      <c r="DA409" s="411"/>
      <c r="DB409" s="411"/>
      <c r="DC409" s="419"/>
      <c r="DD409" s="411"/>
      <c r="DE409" s="411"/>
      <c r="DF409" s="411"/>
      <c r="DG409" s="419"/>
      <c r="DH409" s="411"/>
      <c r="DI409" s="411"/>
      <c r="DJ409" s="411"/>
      <c r="DK409" s="411"/>
      <c r="DL409" s="411"/>
      <c r="DM409" s="411"/>
      <c r="DN409" s="411"/>
      <c r="DO409" s="411"/>
      <c r="DP409" s="411"/>
      <c r="DQ409" s="411"/>
      <c r="DR409" s="411"/>
      <c r="DS409" s="411"/>
      <c r="DT409" s="411"/>
      <c r="DU409" s="419"/>
      <c r="DV409" s="411"/>
      <c r="DW409" s="411"/>
      <c r="DX409" s="415"/>
      <c r="DY409" s="268"/>
      <c r="DZ409" s="268"/>
      <c r="EA409" s="268"/>
      <c r="EB409" s="268"/>
      <c r="EC409" s="268"/>
      <c r="ED409" s="268"/>
      <c r="EE409" s="268"/>
      <c r="EF409" s="268"/>
      <c r="EG409" s="268"/>
      <c r="EH409" s="268"/>
      <c r="EI409" s="268"/>
      <c r="EJ409" s="268"/>
    </row>
    <row r="410" spans="1:140" s="269" customFormat="1" x14ac:dyDescent="0.2">
      <c r="A410" s="288"/>
      <c r="B410" s="267"/>
      <c r="D410" s="264"/>
      <c r="E410" s="467"/>
      <c r="F410" s="264"/>
      <c r="G410" s="400"/>
      <c r="H410" s="264"/>
      <c r="I410" s="467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  <c r="V410" s="264"/>
      <c r="W410" s="283"/>
      <c r="X410" s="288"/>
      <c r="Z410" s="1002"/>
      <c r="AS410" s="1355"/>
      <c r="BK410" s="256"/>
      <c r="BO410" s="1363"/>
      <c r="BX410" s="257"/>
      <c r="BY410" s="256"/>
      <c r="BZ410" s="258"/>
      <c r="CA410" s="258"/>
      <c r="CB410" s="256"/>
      <c r="CC410" s="1013"/>
      <c r="CD410" s="1012"/>
      <c r="CE410" s="268"/>
      <c r="CF410" s="411"/>
      <c r="CG410" s="419"/>
      <c r="CH410" s="411"/>
      <c r="CI410" s="411"/>
      <c r="CJ410" s="411"/>
      <c r="CK410" s="419"/>
      <c r="CL410" s="411"/>
      <c r="CM410" s="411"/>
      <c r="CN410" s="411"/>
      <c r="CO410" s="419"/>
      <c r="CP410" s="411"/>
      <c r="CQ410" s="411"/>
      <c r="CR410" s="411"/>
      <c r="CS410" s="411"/>
      <c r="CT410" s="411"/>
      <c r="CU410" s="411"/>
      <c r="CV410" s="411"/>
      <c r="CW410" s="411"/>
      <c r="CX410" s="411"/>
      <c r="CY410" s="419"/>
      <c r="CZ410" s="411"/>
      <c r="DA410" s="411"/>
      <c r="DB410" s="411"/>
      <c r="DC410" s="419"/>
      <c r="DD410" s="411"/>
      <c r="DE410" s="411"/>
      <c r="DF410" s="411"/>
      <c r="DG410" s="419"/>
      <c r="DH410" s="411"/>
      <c r="DI410" s="411"/>
      <c r="DJ410" s="411"/>
      <c r="DK410" s="411"/>
      <c r="DL410" s="411"/>
      <c r="DM410" s="411"/>
      <c r="DN410" s="411"/>
      <c r="DO410" s="411"/>
      <c r="DP410" s="411"/>
      <c r="DQ410" s="411"/>
      <c r="DR410" s="411"/>
      <c r="DS410" s="411"/>
      <c r="DT410" s="411"/>
      <c r="DU410" s="419"/>
      <c r="DV410" s="411"/>
      <c r="DW410" s="411"/>
      <c r="DX410" s="415"/>
      <c r="DY410" s="268"/>
      <c r="DZ410" s="268"/>
      <c r="EA410" s="268"/>
      <c r="EB410" s="268"/>
      <c r="EC410" s="268"/>
      <c r="ED410" s="268"/>
      <c r="EE410" s="268"/>
      <c r="EF410" s="268"/>
      <c r="EG410" s="268"/>
      <c r="EH410" s="268"/>
      <c r="EI410" s="268"/>
      <c r="EJ410" s="268"/>
    </row>
    <row r="411" spans="1:140" s="269" customFormat="1" x14ac:dyDescent="0.2">
      <c r="A411" s="288"/>
      <c r="B411" s="267"/>
      <c r="D411" s="264"/>
      <c r="E411" s="467"/>
      <c r="F411" s="264"/>
      <c r="G411" s="400"/>
      <c r="H411" s="264"/>
      <c r="I411" s="467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83"/>
      <c r="X411" s="288"/>
      <c r="Z411" s="1002"/>
      <c r="AS411" s="1355"/>
      <c r="BK411" s="256"/>
      <c r="BO411" s="1363"/>
      <c r="BX411" s="257"/>
      <c r="BY411" s="256"/>
      <c r="BZ411" s="258"/>
      <c r="CA411" s="258"/>
      <c r="CB411" s="256"/>
      <c r="CC411" s="1013"/>
      <c r="CD411" s="1012"/>
      <c r="CE411" s="268"/>
      <c r="CF411" s="411"/>
      <c r="CG411" s="419"/>
      <c r="CH411" s="411"/>
      <c r="CI411" s="411"/>
      <c r="CJ411" s="411"/>
      <c r="CK411" s="419"/>
      <c r="CL411" s="411"/>
      <c r="CM411" s="411"/>
      <c r="CN411" s="411"/>
      <c r="CO411" s="419"/>
      <c r="CP411" s="411"/>
      <c r="CQ411" s="411"/>
      <c r="CR411" s="411"/>
      <c r="CS411" s="411"/>
      <c r="CT411" s="411"/>
      <c r="CU411" s="411"/>
      <c r="CV411" s="411"/>
      <c r="CW411" s="411"/>
      <c r="CX411" s="411"/>
      <c r="CY411" s="419"/>
      <c r="CZ411" s="411"/>
      <c r="DA411" s="411"/>
      <c r="DB411" s="411"/>
      <c r="DC411" s="419"/>
      <c r="DD411" s="411"/>
      <c r="DE411" s="411"/>
      <c r="DF411" s="411"/>
      <c r="DG411" s="419"/>
      <c r="DH411" s="411"/>
      <c r="DI411" s="411"/>
      <c r="DJ411" s="411"/>
      <c r="DK411" s="411"/>
      <c r="DL411" s="411"/>
      <c r="DM411" s="411"/>
      <c r="DN411" s="411"/>
      <c r="DO411" s="411"/>
      <c r="DP411" s="411"/>
      <c r="DQ411" s="411"/>
      <c r="DR411" s="411"/>
      <c r="DS411" s="411"/>
      <c r="DT411" s="411"/>
      <c r="DU411" s="419"/>
      <c r="DV411" s="411"/>
      <c r="DW411" s="411"/>
      <c r="DX411" s="415"/>
      <c r="DY411" s="268"/>
      <c r="DZ411" s="268"/>
      <c r="EA411" s="268"/>
      <c r="EB411" s="268"/>
      <c r="EC411" s="268"/>
      <c r="ED411" s="268"/>
      <c r="EE411" s="268"/>
      <c r="EF411" s="268"/>
      <c r="EG411" s="268"/>
      <c r="EH411" s="268"/>
      <c r="EI411" s="268"/>
      <c r="EJ411" s="268"/>
    </row>
    <row r="412" spans="1:140" s="269" customFormat="1" x14ac:dyDescent="0.2">
      <c r="A412" s="288"/>
      <c r="B412" s="267"/>
      <c r="D412" s="264"/>
      <c r="E412" s="467"/>
      <c r="F412" s="264"/>
      <c r="G412" s="400"/>
      <c r="H412" s="264"/>
      <c r="I412" s="467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4"/>
      <c r="U412" s="264"/>
      <c r="V412" s="264"/>
      <c r="W412" s="283"/>
      <c r="X412" s="288"/>
      <c r="Z412" s="1002"/>
      <c r="AS412" s="1355"/>
      <c r="BK412" s="256"/>
      <c r="BO412" s="1363"/>
      <c r="BX412" s="257"/>
      <c r="BY412" s="256"/>
      <c r="BZ412" s="258"/>
      <c r="CA412" s="258"/>
      <c r="CB412" s="256"/>
      <c r="CC412" s="1013"/>
      <c r="CD412" s="1012"/>
      <c r="CE412" s="268"/>
      <c r="CF412" s="411"/>
      <c r="CG412" s="419"/>
      <c r="CH412" s="411"/>
      <c r="CI412" s="411"/>
      <c r="CJ412" s="411"/>
      <c r="CK412" s="419"/>
      <c r="CL412" s="411"/>
      <c r="CM412" s="411"/>
      <c r="CN412" s="411"/>
      <c r="CO412" s="419"/>
      <c r="CP412" s="411"/>
      <c r="CQ412" s="411"/>
      <c r="CR412" s="411"/>
      <c r="CS412" s="411"/>
      <c r="CT412" s="411"/>
      <c r="CU412" s="411"/>
      <c r="CV412" s="411"/>
      <c r="CW412" s="411"/>
      <c r="CX412" s="411"/>
      <c r="CY412" s="419"/>
      <c r="CZ412" s="411"/>
      <c r="DA412" s="411"/>
      <c r="DB412" s="411"/>
      <c r="DC412" s="419"/>
      <c r="DD412" s="411"/>
      <c r="DE412" s="411"/>
      <c r="DF412" s="411"/>
      <c r="DG412" s="419"/>
      <c r="DH412" s="411"/>
      <c r="DI412" s="411"/>
      <c r="DJ412" s="411"/>
      <c r="DK412" s="411"/>
      <c r="DL412" s="411"/>
      <c r="DM412" s="411"/>
      <c r="DN412" s="411"/>
      <c r="DO412" s="411"/>
      <c r="DP412" s="411"/>
      <c r="DQ412" s="411"/>
      <c r="DR412" s="411"/>
      <c r="DS412" s="411"/>
      <c r="DT412" s="411"/>
      <c r="DU412" s="419"/>
      <c r="DV412" s="411"/>
      <c r="DW412" s="411"/>
      <c r="DX412" s="415"/>
      <c r="DY412" s="268"/>
      <c r="DZ412" s="268"/>
      <c r="EA412" s="268"/>
      <c r="EB412" s="268"/>
      <c r="EC412" s="268"/>
      <c r="ED412" s="268"/>
      <c r="EE412" s="268"/>
      <c r="EF412" s="268"/>
      <c r="EG412" s="268"/>
      <c r="EH412" s="268"/>
      <c r="EI412" s="268"/>
      <c r="EJ412" s="268"/>
    </row>
    <row r="413" spans="1:140" s="269" customFormat="1" x14ac:dyDescent="0.2">
      <c r="A413" s="288"/>
      <c r="B413" s="267"/>
      <c r="D413" s="264"/>
      <c r="E413" s="467"/>
      <c r="F413" s="264"/>
      <c r="G413" s="400"/>
      <c r="H413" s="264"/>
      <c r="I413" s="467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83"/>
      <c r="X413" s="288"/>
      <c r="Z413" s="1002"/>
      <c r="AS413" s="1355"/>
      <c r="BK413" s="256"/>
      <c r="BO413" s="1363"/>
      <c r="BX413" s="257"/>
      <c r="BY413" s="256"/>
      <c r="BZ413" s="258"/>
      <c r="CA413" s="258"/>
      <c r="CB413" s="256"/>
      <c r="CC413" s="1013"/>
      <c r="CD413" s="1012"/>
      <c r="CE413" s="268"/>
      <c r="CF413" s="411"/>
      <c r="CG413" s="419"/>
      <c r="CH413" s="411"/>
      <c r="CI413" s="411"/>
      <c r="CJ413" s="411"/>
      <c r="CK413" s="419"/>
      <c r="CL413" s="411"/>
      <c r="CM413" s="411"/>
      <c r="CN413" s="411"/>
      <c r="CO413" s="419"/>
      <c r="CP413" s="411"/>
      <c r="CQ413" s="411"/>
      <c r="CR413" s="411"/>
      <c r="CS413" s="411"/>
      <c r="CT413" s="411"/>
      <c r="CU413" s="411"/>
      <c r="CV413" s="411"/>
      <c r="CW413" s="411"/>
      <c r="CX413" s="411"/>
      <c r="CY413" s="419"/>
      <c r="CZ413" s="411"/>
      <c r="DA413" s="411"/>
      <c r="DB413" s="411"/>
      <c r="DC413" s="419"/>
      <c r="DD413" s="411"/>
      <c r="DE413" s="411"/>
      <c r="DF413" s="411"/>
      <c r="DG413" s="419"/>
      <c r="DH413" s="411"/>
      <c r="DI413" s="411"/>
      <c r="DJ413" s="411"/>
      <c r="DK413" s="411"/>
      <c r="DL413" s="411"/>
      <c r="DM413" s="411"/>
      <c r="DN413" s="411"/>
      <c r="DO413" s="411"/>
      <c r="DP413" s="411"/>
      <c r="DQ413" s="411"/>
      <c r="DR413" s="411"/>
      <c r="DS413" s="411"/>
      <c r="DT413" s="411"/>
      <c r="DU413" s="419"/>
      <c r="DV413" s="411"/>
      <c r="DW413" s="411"/>
      <c r="DX413" s="415"/>
      <c r="DY413" s="268"/>
      <c r="DZ413" s="268"/>
      <c r="EA413" s="268"/>
      <c r="EB413" s="268"/>
      <c r="EC413" s="268"/>
      <c r="ED413" s="268"/>
      <c r="EE413" s="268"/>
      <c r="EF413" s="268"/>
      <c r="EG413" s="268"/>
      <c r="EH413" s="268"/>
      <c r="EI413" s="268"/>
      <c r="EJ413" s="268"/>
    </row>
    <row r="414" spans="1:140" s="269" customFormat="1" x14ac:dyDescent="0.2">
      <c r="A414" s="288"/>
      <c r="B414" s="267"/>
      <c r="D414" s="264"/>
      <c r="E414" s="467"/>
      <c r="F414" s="264"/>
      <c r="G414" s="400"/>
      <c r="H414" s="264"/>
      <c r="I414" s="467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4"/>
      <c r="U414" s="264"/>
      <c r="V414" s="264"/>
      <c r="W414" s="283"/>
      <c r="X414" s="288"/>
      <c r="Z414" s="1002"/>
      <c r="AS414" s="1355"/>
      <c r="BK414" s="256"/>
      <c r="BO414" s="1363"/>
      <c r="BX414" s="257"/>
      <c r="BY414" s="256"/>
      <c r="BZ414" s="258"/>
      <c r="CA414" s="258"/>
      <c r="CB414" s="256"/>
      <c r="CC414" s="1013"/>
      <c r="CD414" s="1012"/>
      <c r="CE414" s="268"/>
      <c r="CF414" s="411"/>
      <c r="CG414" s="419"/>
      <c r="CH414" s="411"/>
      <c r="CI414" s="411"/>
      <c r="CJ414" s="411"/>
      <c r="CK414" s="419"/>
      <c r="CL414" s="411"/>
      <c r="CM414" s="411"/>
      <c r="CN414" s="411"/>
      <c r="CO414" s="419"/>
      <c r="CP414" s="411"/>
      <c r="CQ414" s="411"/>
      <c r="CR414" s="411"/>
      <c r="CS414" s="411"/>
      <c r="CT414" s="411"/>
      <c r="CU414" s="411"/>
      <c r="CV414" s="411"/>
      <c r="CW414" s="411"/>
      <c r="CX414" s="411"/>
      <c r="CY414" s="419"/>
      <c r="CZ414" s="411"/>
      <c r="DA414" s="411"/>
      <c r="DB414" s="411"/>
      <c r="DC414" s="419"/>
      <c r="DD414" s="411"/>
      <c r="DE414" s="411"/>
      <c r="DF414" s="411"/>
      <c r="DG414" s="419"/>
      <c r="DH414" s="411"/>
      <c r="DI414" s="411"/>
      <c r="DJ414" s="411"/>
      <c r="DK414" s="411"/>
      <c r="DL414" s="411"/>
      <c r="DM414" s="411"/>
      <c r="DN414" s="411"/>
      <c r="DO414" s="411"/>
      <c r="DP414" s="411"/>
      <c r="DQ414" s="411"/>
      <c r="DR414" s="411"/>
      <c r="DS414" s="411"/>
      <c r="DT414" s="411"/>
      <c r="DU414" s="419"/>
      <c r="DV414" s="411"/>
      <c r="DW414" s="411"/>
      <c r="DX414" s="415"/>
      <c r="DY414" s="268"/>
      <c r="DZ414" s="268"/>
      <c r="EA414" s="268"/>
      <c r="EB414" s="268"/>
      <c r="EC414" s="268"/>
      <c r="ED414" s="268"/>
      <c r="EE414" s="268"/>
      <c r="EF414" s="268"/>
      <c r="EG414" s="268"/>
      <c r="EH414" s="268"/>
      <c r="EI414" s="268"/>
      <c r="EJ414" s="268"/>
    </row>
    <row r="415" spans="1:140" s="269" customFormat="1" x14ac:dyDescent="0.2">
      <c r="A415" s="288"/>
      <c r="B415" s="267"/>
      <c r="D415" s="264"/>
      <c r="E415" s="467"/>
      <c r="F415" s="264"/>
      <c r="G415" s="400"/>
      <c r="H415" s="264"/>
      <c r="I415" s="467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83"/>
      <c r="X415" s="288"/>
      <c r="Z415" s="1002"/>
      <c r="AS415" s="1355"/>
      <c r="BK415" s="256"/>
      <c r="BO415" s="1363"/>
      <c r="BX415" s="257"/>
      <c r="BY415" s="256"/>
      <c r="BZ415" s="258"/>
      <c r="CA415" s="258"/>
      <c r="CB415" s="256"/>
      <c r="CC415" s="1013"/>
      <c r="CD415" s="1012"/>
      <c r="CE415" s="268"/>
      <c r="CF415" s="411"/>
      <c r="CG415" s="419"/>
      <c r="CH415" s="411"/>
      <c r="CI415" s="411"/>
      <c r="CJ415" s="411"/>
      <c r="CK415" s="419"/>
      <c r="CL415" s="411"/>
      <c r="CM415" s="411"/>
      <c r="CN415" s="411"/>
      <c r="CO415" s="419"/>
      <c r="CP415" s="411"/>
      <c r="CQ415" s="411"/>
      <c r="CR415" s="411"/>
      <c r="CS415" s="411"/>
      <c r="CT415" s="411"/>
      <c r="CU415" s="411"/>
      <c r="CV415" s="411"/>
      <c r="CW415" s="411"/>
      <c r="CX415" s="411"/>
      <c r="CY415" s="419"/>
      <c r="CZ415" s="411"/>
      <c r="DA415" s="411"/>
      <c r="DB415" s="411"/>
      <c r="DC415" s="419"/>
      <c r="DD415" s="411"/>
      <c r="DE415" s="411"/>
      <c r="DF415" s="411"/>
      <c r="DG415" s="419"/>
      <c r="DH415" s="411"/>
      <c r="DI415" s="411"/>
      <c r="DJ415" s="411"/>
      <c r="DK415" s="411"/>
      <c r="DL415" s="411"/>
      <c r="DM415" s="411"/>
      <c r="DN415" s="411"/>
      <c r="DO415" s="411"/>
      <c r="DP415" s="411"/>
      <c r="DQ415" s="411"/>
      <c r="DR415" s="411"/>
      <c r="DS415" s="411"/>
      <c r="DT415" s="411"/>
      <c r="DU415" s="419"/>
      <c r="DV415" s="411"/>
      <c r="DW415" s="411"/>
      <c r="DX415" s="415"/>
      <c r="DY415" s="268"/>
      <c r="DZ415" s="268"/>
      <c r="EA415" s="268"/>
      <c r="EB415" s="268"/>
      <c r="EC415" s="268"/>
      <c r="ED415" s="268"/>
      <c r="EE415" s="268"/>
      <c r="EF415" s="268"/>
      <c r="EG415" s="268"/>
      <c r="EH415" s="268"/>
      <c r="EI415" s="268"/>
      <c r="EJ415" s="268"/>
    </row>
    <row r="416" spans="1:140" s="269" customFormat="1" x14ac:dyDescent="0.2">
      <c r="A416" s="288"/>
      <c r="B416" s="267"/>
      <c r="D416" s="264"/>
      <c r="E416" s="467"/>
      <c r="F416" s="264"/>
      <c r="G416" s="400"/>
      <c r="H416" s="264"/>
      <c r="I416" s="467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4"/>
      <c r="U416" s="264"/>
      <c r="V416" s="264"/>
      <c r="W416" s="283"/>
      <c r="X416" s="288"/>
      <c r="Z416" s="1002"/>
      <c r="AS416" s="1355"/>
      <c r="BK416" s="256"/>
      <c r="BO416" s="1363"/>
      <c r="BX416" s="257"/>
      <c r="BY416" s="256"/>
      <c r="BZ416" s="258"/>
      <c r="CA416" s="258"/>
      <c r="CB416" s="256"/>
      <c r="CC416" s="1013"/>
      <c r="CD416" s="1012"/>
      <c r="CE416" s="268"/>
      <c r="CF416" s="411"/>
      <c r="CG416" s="419"/>
      <c r="CH416" s="411"/>
      <c r="CI416" s="411"/>
      <c r="CJ416" s="411"/>
      <c r="CK416" s="419"/>
      <c r="CL416" s="411"/>
      <c r="CM416" s="411"/>
      <c r="CN416" s="411"/>
      <c r="CO416" s="419"/>
      <c r="CP416" s="411"/>
      <c r="CQ416" s="411"/>
      <c r="CR416" s="411"/>
      <c r="CS416" s="411"/>
      <c r="CT416" s="411"/>
      <c r="CU416" s="411"/>
      <c r="CV416" s="411"/>
      <c r="CW416" s="411"/>
      <c r="CX416" s="411"/>
      <c r="CY416" s="419"/>
      <c r="CZ416" s="411"/>
      <c r="DA416" s="411"/>
      <c r="DB416" s="411"/>
      <c r="DC416" s="419"/>
      <c r="DD416" s="411"/>
      <c r="DE416" s="411"/>
      <c r="DF416" s="411"/>
      <c r="DG416" s="419"/>
      <c r="DH416" s="411"/>
      <c r="DI416" s="411"/>
      <c r="DJ416" s="411"/>
      <c r="DK416" s="411"/>
      <c r="DL416" s="411"/>
      <c r="DM416" s="411"/>
      <c r="DN416" s="411"/>
      <c r="DO416" s="411"/>
      <c r="DP416" s="411"/>
      <c r="DQ416" s="411"/>
      <c r="DR416" s="411"/>
      <c r="DS416" s="411"/>
      <c r="DT416" s="411"/>
      <c r="DU416" s="419"/>
      <c r="DV416" s="411"/>
      <c r="DW416" s="411"/>
      <c r="DX416" s="415"/>
      <c r="DY416" s="268"/>
      <c r="DZ416" s="268"/>
      <c r="EA416" s="268"/>
      <c r="EB416" s="268"/>
      <c r="EC416" s="268"/>
      <c r="ED416" s="268"/>
      <c r="EE416" s="268"/>
      <c r="EF416" s="268"/>
      <c r="EG416" s="268"/>
      <c r="EH416" s="268"/>
      <c r="EI416" s="268"/>
      <c r="EJ416" s="268"/>
    </row>
    <row r="417" spans="1:140" s="269" customFormat="1" x14ac:dyDescent="0.2">
      <c r="A417" s="288"/>
      <c r="B417" s="267"/>
      <c r="D417" s="264"/>
      <c r="E417" s="467"/>
      <c r="F417" s="264"/>
      <c r="G417" s="400"/>
      <c r="H417" s="264"/>
      <c r="I417" s="467"/>
      <c r="J417" s="264"/>
      <c r="K417" s="264"/>
      <c r="L417" s="264"/>
      <c r="M417" s="264"/>
      <c r="N417" s="264"/>
      <c r="O417" s="264"/>
      <c r="P417" s="264"/>
      <c r="Q417" s="264"/>
      <c r="R417" s="264"/>
      <c r="S417" s="264"/>
      <c r="T417" s="264"/>
      <c r="U417" s="264"/>
      <c r="V417" s="264"/>
      <c r="W417" s="283"/>
      <c r="X417" s="288"/>
      <c r="Z417" s="1002"/>
      <c r="AS417" s="1355"/>
      <c r="BK417" s="256"/>
      <c r="BO417" s="1363"/>
      <c r="BX417" s="257"/>
      <c r="BY417" s="256"/>
      <c r="BZ417" s="258"/>
      <c r="CA417" s="258"/>
      <c r="CB417" s="256"/>
      <c r="CC417" s="1013"/>
      <c r="CD417" s="1012"/>
      <c r="CE417" s="268"/>
      <c r="CF417" s="411"/>
      <c r="CG417" s="419"/>
      <c r="CH417" s="411"/>
      <c r="CI417" s="411"/>
      <c r="CJ417" s="411"/>
      <c r="CK417" s="419"/>
      <c r="CL417" s="411"/>
      <c r="CM417" s="411"/>
      <c r="CN417" s="411"/>
      <c r="CO417" s="419"/>
      <c r="CP417" s="411"/>
      <c r="CQ417" s="411"/>
      <c r="CR417" s="411"/>
      <c r="CS417" s="411"/>
      <c r="CT417" s="411"/>
      <c r="CU417" s="411"/>
      <c r="CV417" s="411"/>
      <c r="CW417" s="411"/>
      <c r="CX417" s="411"/>
      <c r="CY417" s="419"/>
      <c r="CZ417" s="411"/>
      <c r="DA417" s="411"/>
      <c r="DB417" s="411"/>
      <c r="DC417" s="419"/>
      <c r="DD417" s="411"/>
      <c r="DE417" s="411"/>
      <c r="DF417" s="411"/>
      <c r="DG417" s="419"/>
      <c r="DH417" s="411"/>
      <c r="DI417" s="411"/>
      <c r="DJ417" s="411"/>
      <c r="DK417" s="411"/>
      <c r="DL417" s="411"/>
      <c r="DM417" s="411"/>
      <c r="DN417" s="411"/>
      <c r="DO417" s="411"/>
      <c r="DP417" s="411"/>
      <c r="DQ417" s="411"/>
      <c r="DR417" s="411"/>
      <c r="DS417" s="411"/>
      <c r="DT417" s="411"/>
      <c r="DU417" s="419"/>
      <c r="DV417" s="411"/>
      <c r="DW417" s="411"/>
      <c r="DX417" s="415"/>
      <c r="DY417" s="268"/>
      <c r="DZ417" s="268"/>
      <c r="EA417" s="268"/>
      <c r="EB417" s="268"/>
      <c r="EC417" s="268"/>
      <c r="ED417" s="268"/>
      <c r="EE417" s="268"/>
      <c r="EF417" s="268"/>
      <c r="EG417" s="268"/>
      <c r="EH417" s="268"/>
      <c r="EI417" s="268"/>
      <c r="EJ417" s="268"/>
    </row>
    <row r="418" spans="1:140" s="269" customFormat="1" x14ac:dyDescent="0.2">
      <c r="A418" s="288"/>
      <c r="B418" s="267"/>
      <c r="D418" s="264"/>
      <c r="E418" s="467"/>
      <c r="F418" s="264"/>
      <c r="G418" s="400"/>
      <c r="H418" s="264"/>
      <c r="I418" s="467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4"/>
      <c r="V418" s="264"/>
      <c r="W418" s="283"/>
      <c r="X418" s="288"/>
      <c r="Z418" s="1002"/>
      <c r="AS418" s="1355"/>
      <c r="BK418" s="256"/>
      <c r="BO418" s="1363"/>
      <c r="BX418" s="257"/>
      <c r="BY418" s="256"/>
      <c r="BZ418" s="258"/>
      <c r="CA418" s="258"/>
      <c r="CB418" s="256"/>
      <c r="CC418" s="1013"/>
      <c r="CD418" s="1012"/>
      <c r="CE418" s="268"/>
      <c r="CF418" s="411"/>
      <c r="CG418" s="419"/>
      <c r="CH418" s="411"/>
      <c r="CI418" s="411"/>
      <c r="CJ418" s="411"/>
      <c r="CK418" s="419"/>
      <c r="CL418" s="411"/>
      <c r="CM418" s="411"/>
      <c r="CN418" s="411"/>
      <c r="CO418" s="419"/>
      <c r="CP418" s="411"/>
      <c r="CQ418" s="411"/>
      <c r="CR418" s="411"/>
      <c r="CS418" s="411"/>
      <c r="CT418" s="411"/>
      <c r="CU418" s="411"/>
      <c r="CV418" s="411"/>
      <c r="CW418" s="411"/>
      <c r="CX418" s="411"/>
      <c r="CY418" s="419"/>
      <c r="CZ418" s="411"/>
      <c r="DA418" s="411"/>
      <c r="DB418" s="411"/>
      <c r="DC418" s="419"/>
      <c r="DD418" s="411"/>
      <c r="DE418" s="411"/>
      <c r="DF418" s="411"/>
      <c r="DG418" s="419"/>
      <c r="DH418" s="411"/>
      <c r="DI418" s="411"/>
      <c r="DJ418" s="411"/>
      <c r="DK418" s="411"/>
      <c r="DL418" s="411"/>
      <c r="DM418" s="411"/>
      <c r="DN418" s="411"/>
      <c r="DO418" s="411"/>
      <c r="DP418" s="411"/>
      <c r="DQ418" s="411"/>
      <c r="DR418" s="411"/>
      <c r="DS418" s="411"/>
      <c r="DT418" s="411"/>
      <c r="DU418" s="419"/>
      <c r="DV418" s="411"/>
      <c r="DW418" s="411"/>
      <c r="DX418" s="415"/>
      <c r="DY418" s="268"/>
      <c r="DZ418" s="268"/>
      <c r="EA418" s="268"/>
      <c r="EB418" s="268"/>
      <c r="EC418" s="268"/>
      <c r="ED418" s="268"/>
      <c r="EE418" s="268"/>
      <c r="EF418" s="268"/>
      <c r="EG418" s="268"/>
      <c r="EH418" s="268"/>
      <c r="EI418" s="268"/>
      <c r="EJ418" s="268"/>
    </row>
    <row r="419" spans="1:140" s="269" customFormat="1" x14ac:dyDescent="0.2">
      <c r="A419" s="288"/>
      <c r="B419" s="267"/>
      <c r="D419" s="264"/>
      <c r="E419" s="467"/>
      <c r="F419" s="264"/>
      <c r="G419" s="400"/>
      <c r="H419" s="264"/>
      <c r="I419" s="467"/>
      <c r="J419" s="264"/>
      <c r="K419" s="264"/>
      <c r="L419" s="264"/>
      <c r="M419" s="264"/>
      <c r="N419" s="264"/>
      <c r="O419" s="264"/>
      <c r="P419" s="264"/>
      <c r="Q419" s="264"/>
      <c r="R419" s="264"/>
      <c r="S419" s="264"/>
      <c r="T419" s="264"/>
      <c r="U419" s="264"/>
      <c r="V419" s="264"/>
      <c r="W419" s="283"/>
      <c r="X419" s="288"/>
      <c r="Z419" s="1002"/>
      <c r="AS419" s="1355"/>
      <c r="BK419" s="256"/>
      <c r="BO419" s="1363"/>
      <c r="BX419" s="257"/>
      <c r="BY419" s="256"/>
      <c r="BZ419" s="258"/>
      <c r="CA419" s="258"/>
      <c r="CB419" s="256"/>
      <c r="CC419" s="1013"/>
      <c r="CD419" s="1012"/>
      <c r="CE419" s="268"/>
      <c r="CF419" s="411"/>
      <c r="CG419" s="419"/>
      <c r="CH419" s="411"/>
      <c r="CI419" s="411"/>
      <c r="CJ419" s="411"/>
      <c r="CK419" s="419"/>
      <c r="CL419" s="411"/>
      <c r="CM419" s="411"/>
      <c r="CN419" s="411"/>
      <c r="CO419" s="419"/>
      <c r="CP419" s="411"/>
      <c r="CQ419" s="411"/>
      <c r="CR419" s="411"/>
      <c r="CS419" s="411"/>
      <c r="CT419" s="411"/>
      <c r="CU419" s="411"/>
      <c r="CV419" s="411"/>
      <c r="CW419" s="411"/>
      <c r="CX419" s="411"/>
      <c r="CY419" s="419"/>
      <c r="CZ419" s="411"/>
      <c r="DA419" s="411"/>
      <c r="DB419" s="411"/>
      <c r="DC419" s="419"/>
      <c r="DD419" s="411"/>
      <c r="DE419" s="411"/>
      <c r="DF419" s="411"/>
      <c r="DG419" s="419"/>
      <c r="DH419" s="411"/>
      <c r="DI419" s="411"/>
      <c r="DJ419" s="411"/>
      <c r="DK419" s="411"/>
      <c r="DL419" s="411"/>
      <c r="DM419" s="411"/>
      <c r="DN419" s="411"/>
      <c r="DO419" s="411"/>
      <c r="DP419" s="411"/>
      <c r="DQ419" s="411"/>
      <c r="DR419" s="411"/>
      <c r="DS419" s="411"/>
      <c r="DT419" s="411"/>
      <c r="DU419" s="419"/>
      <c r="DV419" s="411"/>
      <c r="DW419" s="411"/>
      <c r="DX419" s="415"/>
      <c r="DY419" s="268"/>
      <c r="DZ419" s="268"/>
      <c r="EA419" s="268"/>
      <c r="EB419" s="268"/>
      <c r="EC419" s="268"/>
      <c r="ED419" s="268"/>
      <c r="EE419" s="268"/>
      <c r="EF419" s="268"/>
      <c r="EG419" s="268"/>
      <c r="EH419" s="268"/>
      <c r="EI419" s="268"/>
      <c r="EJ419" s="268"/>
    </row>
    <row r="420" spans="1:140" s="269" customFormat="1" x14ac:dyDescent="0.2">
      <c r="A420" s="288"/>
      <c r="B420" s="267"/>
      <c r="D420" s="264"/>
      <c r="E420" s="467"/>
      <c r="F420" s="264"/>
      <c r="G420" s="400"/>
      <c r="H420" s="264"/>
      <c r="I420" s="467"/>
      <c r="J420" s="264"/>
      <c r="K420" s="264"/>
      <c r="L420" s="264"/>
      <c r="M420" s="264"/>
      <c r="N420" s="264"/>
      <c r="O420" s="264"/>
      <c r="P420" s="264"/>
      <c r="Q420" s="264"/>
      <c r="R420" s="264"/>
      <c r="S420" s="264"/>
      <c r="T420" s="264"/>
      <c r="U420" s="264"/>
      <c r="V420" s="264"/>
      <c r="W420" s="283"/>
      <c r="X420" s="288"/>
      <c r="Z420" s="1002"/>
      <c r="AS420" s="1355"/>
      <c r="BK420" s="256"/>
      <c r="BO420" s="1363"/>
      <c r="BX420" s="257"/>
      <c r="BY420" s="256"/>
      <c r="BZ420" s="258"/>
      <c r="CA420" s="258"/>
      <c r="CB420" s="256"/>
      <c r="CC420" s="1013"/>
      <c r="CD420" s="1012"/>
      <c r="CE420" s="268"/>
      <c r="CF420" s="411"/>
      <c r="CG420" s="419"/>
      <c r="CH420" s="411"/>
      <c r="CI420" s="411"/>
      <c r="CJ420" s="411"/>
      <c r="CK420" s="419"/>
      <c r="CL420" s="411"/>
      <c r="CM420" s="411"/>
      <c r="CN420" s="411"/>
      <c r="CO420" s="419"/>
      <c r="CP420" s="411"/>
      <c r="CQ420" s="411"/>
      <c r="CR420" s="411"/>
      <c r="CS420" s="411"/>
      <c r="CT420" s="411"/>
      <c r="CU420" s="411"/>
      <c r="CV420" s="411"/>
      <c r="CW420" s="411"/>
      <c r="CX420" s="411"/>
      <c r="CY420" s="419"/>
      <c r="CZ420" s="411"/>
      <c r="DA420" s="411"/>
      <c r="DB420" s="411"/>
      <c r="DC420" s="419"/>
      <c r="DD420" s="411"/>
      <c r="DE420" s="411"/>
      <c r="DF420" s="411"/>
      <c r="DG420" s="419"/>
      <c r="DH420" s="411"/>
      <c r="DI420" s="411"/>
      <c r="DJ420" s="411"/>
      <c r="DK420" s="411"/>
      <c r="DL420" s="411"/>
      <c r="DM420" s="411"/>
      <c r="DN420" s="411"/>
      <c r="DO420" s="411"/>
      <c r="DP420" s="411"/>
      <c r="DQ420" s="411"/>
      <c r="DR420" s="411"/>
      <c r="DS420" s="411"/>
      <c r="DT420" s="411"/>
      <c r="DU420" s="419"/>
      <c r="DV420" s="411"/>
      <c r="DW420" s="411"/>
      <c r="DX420" s="415"/>
      <c r="DY420" s="268"/>
      <c r="DZ420" s="268"/>
      <c r="EA420" s="268"/>
      <c r="EB420" s="268"/>
      <c r="EC420" s="268"/>
      <c r="ED420" s="268"/>
      <c r="EE420" s="268"/>
      <c r="EF420" s="268"/>
      <c r="EG420" s="268"/>
      <c r="EH420" s="268"/>
      <c r="EI420" s="268"/>
      <c r="EJ420" s="268"/>
    </row>
    <row r="421" spans="1:140" s="269" customFormat="1" x14ac:dyDescent="0.2">
      <c r="A421" s="288"/>
      <c r="B421" s="267"/>
      <c r="D421" s="264"/>
      <c r="E421" s="467"/>
      <c r="F421" s="264"/>
      <c r="G421" s="400"/>
      <c r="H421" s="264"/>
      <c r="I421" s="467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83"/>
      <c r="X421" s="288"/>
      <c r="Z421" s="1002"/>
      <c r="AS421" s="1355"/>
      <c r="BK421" s="256"/>
      <c r="BO421" s="1363"/>
      <c r="BX421" s="257"/>
      <c r="BY421" s="256"/>
      <c r="BZ421" s="258"/>
      <c r="CA421" s="258"/>
      <c r="CB421" s="256"/>
      <c r="CC421" s="1013"/>
      <c r="CD421" s="1012"/>
      <c r="CE421" s="268"/>
      <c r="CF421" s="411"/>
      <c r="CG421" s="419"/>
      <c r="CH421" s="411"/>
      <c r="CI421" s="411"/>
      <c r="CJ421" s="411"/>
      <c r="CK421" s="419"/>
      <c r="CL421" s="411"/>
      <c r="CM421" s="411"/>
      <c r="CN421" s="411"/>
      <c r="CO421" s="419"/>
      <c r="CP421" s="411"/>
      <c r="CQ421" s="411"/>
      <c r="CR421" s="411"/>
      <c r="CS421" s="411"/>
      <c r="CT421" s="411"/>
      <c r="CU421" s="411"/>
      <c r="CV421" s="411"/>
      <c r="CW421" s="411"/>
      <c r="CX421" s="411"/>
      <c r="CY421" s="419"/>
      <c r="CZ421" s="411"/>
      <c r="DA421" s="411"/>
      <c r="DB421" s="411"/>
      <c r="DC421" s="419"/>
      <c r="DD421" s="411"/>
      <c r="DE421" s="411"/>
      <c r="DF421" s="411"/>
      <c r="DG421" s="419"/>
      <c r="DH421" s="411"/>
      <c r="DI421" s="411"/>
      <c r="DJ421" s="411"/>
      <c r="DK421" s="411"/>
      <c r="DL421" s="411"/>
      <c r="DM421" s="411"/>
      <c r="DN421" s="411"/>
      <c r="DO421" s="411"/>
      <c r="DP421" s="411"/>
      <c r="DQ421" s="411"/>
      <c r="DR421" s="411"/>
      <c r="DS421" s="411"/>
      <c r="DT421" s="411"/>
      <c r="DU421" s="419"/>
      <c r="DV421" s="411"/>
      <c r="DW421" s="411"/>
      <c r="DX421" s="415"/>
      <c r="DY421" s="268"/>
      <c r="DZ421" s="268"/>
      <c r="EA421" s="268"/>
      <c r="EB421" s="268"/>
      <c r="EC421" s="268"/>
      <c r="ED421" s="268"/>
      <c r="EE421" s="268"/>
      <c r="EF421" s="268"/>
      <c r="EG421" s="268"/>
      <c r="EH421" s="268"/>
      <c r="EI421" s="268"/>
      <c r="EJ421" s="268"/>
    </row>
    <row r="422" spans="1:140" s="269" customFormat="1" x14ac:dyDescent="0.2">
      <c r="A422" s="288"/>
      <c r="B422" s="267"/>
      <c r="D422" s="264"/>
      <c r="E422" s="467"/>
      <c r="F422" s="264"/>
      <c r="G422" s="400"/>
      <c r="H422" s="264"/>
      <c r="I422" s="467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83"/>
      <c r="X422" s="288"/>
      <c r="Z422" s="1002"/>
      <c r="AS422" s="1355"/>
      <c r="BK422" s="256"/>
      <c r="BO422" s="1363"/>
      <c r="BX422" s="257"/>
      <c r="BY422" s="256"/>
      <c r="BZ422" s="258"/>
      <c r="CA422" s="258"/>
      <c r="CB422" s="256"/>
      <c r="CC422" s="1013"/>
      <c r="CD422" s="1012"/>
      <c r="CE422" s="268"/>
      <c r="CF422" s="411"/>
      <c r="CG422" s="419"/>
      <c r="CH422" s="411"/>
      <c r="CI422" s="411"/>
      <c r="CJ422" s="411"/>
      <c r="CK422" s="419"/>
      <c r="CL422" s="411"/>
      <c r="CM422" s="411"/>
      <c r="CN422" s="411"/>
      <c r="CO422" s="419"/>
      <c r="CP422" s="411"/>
      <c r="CQ422" s="411"/>
      <c r="CR422" s="411"/>
      <c r="CS422" s="411"/>
      <c r="CT422" s="411"/>
      <c r="CU422" s="411"/>
      <c r="CV422" s="411"/>
      <c r="CW422" s="411"/>
      <c r="CX422" s="411"/>
      <c r="CY422" s="419"/>
      <c r="CZ422" s="411"/>
      <c r="DA422" s="411"/>
      <c r="DB422" s="411"/>
      <c r="DC422" s="419"/>
      <c r="DD422" s="411"/>
      <c r="DE422" s="411"/>
      <c r="DF422" s="411"/>
      <c r="DG422" s="419"/>
      <c r="DH422" s="411"/>
      <c r="DI422" s="411"/>
      <c r="DJ422" s="411"/>
      <c r="DK422" s="411"/>
      <c r="DL422" s="411"/>
      <c r="DM422" s="411"/>
      <c r="DN422" s="411"/>
      <c r="DO422" s="411"/>
      <c r="DP422" s="411"/>
      <c r="DQ422" s="411"/>
      <c r="DR422" s="411"/>
      <c r="DS422" s="411"/>
      <c r="DT422" s="411"/>
      <c r="DU422" s="419"/>
      <c r="DV422" s="411"/>
      <c r="DW422" s="411"/>
      <c r="DX422" s="415"/>
      <c r="DY422" s="268"/>
      <c r="DZ422" s="268"/>
      <c r="EA422" s="268"/>
      <c r="EB422" s="268"/>
      <c r="EC422" s="268"/>
      <c r="ED422" s="268"/>
      <c r="EE422" s="268"/>
      <c r="EF422" s="268"/>
      <c r="EG422" s="268"/>
      <c r="EH422" s="268"/>
      <c r="EI422" s="268"/>
      <c r="EJ422" s="268"/>
    </row>
    <row r="423" spans="1:140" s="269" customFormat="1" x14ac:dyDescent="0.2">
      <c r="A423" s="288"/>
      <c r="B423" s="267"/>
      <c r="D423" s="264"/>
      <c r="E423" s="467"/>
      <c r="F423" s="264"/>
      <c r="G423" s="400"/>
      <c r="H423" s="264"/>
      <c r="I423" s="467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83"/>
      <c r="X423" s="288"/>
      <c r="Z423" s="1002"/>
      <c r="AS423" s="1355"/>
      <c r="BK423" s="256"/>
      <c r="BO423" s="1363"/>
      <c r="BX423" s="257"/>
      <c r="BY423" s="256"/>
      <c r="BZ423" s="258"/>
      <c r="CA423" s="258"/>
      <c r="CB423" s="256"/>
      <c r="CC423" s="1013"/>
      <c r="CD423" s="1012"/>
      <c r="CE423" s="268"/>
      <c r="CF423" s="411"/>
      <c r="CG423" s="419"/>
      <c r="CH423" s="411"/>
      <c r="CI423" s="411"/>
      <c r="CJ423" s="411"/>
      <c r="CK423" s="419"/>
      <c r="CL423" s="411"/>
      <c r="CM423" s="411"/>
      <c r="CN423" s="411"/>
      <c r="CO423" s="419"/>
      <c r="CP423" s="411"/>
      <c r="CQ423" s="411"/>
      <c r="CR423" s="411"/>
      <c r="CS423" s="411"/>
      <c r="CT423" s="411"/>
      <c r="CU423" s="411"/>
      <c r="CV423" s="411"/>
      <c r="CW423" s="411"/>
      <c r="CX423" s="411"/>
      <c r="CY423" s="419"/>
      <c r="CZ423" s="411"/>
      <c r="DA423" s="411"/>
      <c r="DB423" s="411"/>
      <c r="DC423" s="419"/>
      <c r="DD423" s="411"/>
      <c r="DE423" s="411"/>
      <c r="DF423" s="411"/>
      <c r="DG423" s="419"/>
      <c r="DH423" s="411"/>
      <c r="DI423" s="411"/>
      <c r="DJ423" s="411"/>
      <c r="DK423" s="411"/>
      <c r="DL423" s="411"/>
      <c r="DM423" s="411"/>
      <c r="DN423" s="411"/>
      <c r="DO423" s="411"/>
      <c r="DP423" s="411"/>
      <c r="DQ423" s="411"/>
      <c r="DR423" s="411"/>
      <c r="DS423" s="411"/>
      <c r="DT423" s="411"/>
      <c r="DU423" s="419"/>
      <c r="DV423" s="411"/>
      <c r="DW423" s="411"/>
      <c r="DX423" s="415"/>
      <c r="DY423" s="268"/>
      <c r="DZ423" s="268"/>
      <c r="EA423" s="268"/>
      <c r="EB423" s="268"/>
      <c r="EC423" s="268"/>
      <c r="ED423" s="268"/>
      <c r="EE423" s="268"/>
      <c r="EF423" s="268"/>
      <c r="EG423" s="268"/>
      <c r="EH423" s="268"/>
      <c r="EI423" s="268"/>
      <c r="EJ423" s="268"/>
    </row>
    <row r="424" spans="1:140" s="269" customFormat="1" x14ac:dyDescent="0.2">
      <c r="A424" s="288"/>
      <c r="B424" s="267"/>
      <c r="D424" s="264"/>
      <c r="E424" s="467"/>
      <c r="F424" s="264"/>
      <c r="G424" s="400"/>
      <c r="H424" s="264"/>
      <c r="I424" s="467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83"/>
      <c r="X424" s="288"/>
      <c r="Z424" s="1002"/>
      <c r="AS424" s="1355"/>
      <c r="BK424" s="256"/>
      <c r="BO424" s="1363"/>
      <c r="BX424" s="257"/>
      <c r="BY424" s="256"/>
      <c r="BZ424" s="258"/>
      <c r="CA424" s="258"/>
      <c r="CB424" s="256"/>
      <c r="CC424" s="1013"/>
      <c r="CD424" s="1012"/>
      <c r="CE424" s="268"/>
      <c r="CF424" s="411"/>
      <c r="CG424" s="419"/>
      <c r="CH424" s="411"/>
      <c r="CI424" s="411"/>
      <c r="CJ424" s="411"/>
      <c r="CK424" s="419"/>
      <c r="CL424" s="411"/>
      <c r="CM424" s="411"/>
      <c r="CN424" s="411"/>
      <c r="CO424" s="419"/>
      <c r="CP424" s="411"/>
      <c r="CQ424" s="411"/>
      <c r="CR424" s="411"/>
      <c r="CS424" s="411"/>
      <c r="CT424" s="411"/>
      <c r="CU424" s="411"/>
      <c r="CV424" s="411"/>
      <c r="CW424" s="411"/>
      <c r="CX424" s="411"/>
      <c r="CY424" s="419"/>
      <c r="CZ424" s="411"/>
      <c r="DA424" s="411"/>
      <c r="DB424" s="411"/>
      <c r="DC424" s="419"/>
      <c r="DD424" s="411"/>
      <c r="DE424" s="411"/>
      <c r="DF424" s="411"/>
      <c r="DG424" s="419"/>
      <c r="DH424" s="411"/>
      <c r="DI424" s="411"/>
      <c r="DJ424" s="411"/>
      <c r="DK424" s="411"/>
      <c r="DL424" s="411"/>
      <c r="DM424" s="411"/>
      <c r="DN424" s="411"/>
      <c r="DO424" s="411"/>
      <c r="DP424" s="411"/>
      <c r="DQ424" s="411"/>
      <c r="DR424" s="411"/>
      <c r="DS424" s="411"/>
      <c r="DT424" s="411"/>
      <c r="DU424" s="419"/>
      <c r="DV424" s="411"/>
      <c r="DW424" s="411"/>
      <c r="DX424" s="415"/>
      <c r="DY424" s="268"/>
      <c r="DZ424" s="268"/>
      <c r="EA424" s="268"/>
      <c r="EB424" s="268"/>
      <c r="EC424" s="268"/>
      <c r="ED424" s="268"/>
      <c r="EE424" s="268"/>
      <c r="EF424" s="268"/>
      <c r="EG424" s="268"/>
      <c r="EH424" s="268"/>
      <c r="EI424" s="268"/>
      <c r="EJ424" s="268"/>
    </row>
    <row r="425" spans="1:140" s="269" customFormat="1" x14ac:dyDescent="0.2">
      <c r="A425" s="288"/>
      <c r="B425" s="267"/>
      <c r="D425" s="264"/>
      <c r="E425" s="467"/>
      <c r="F425" s="264"/>
      <c r="G425" s="400"/>
      <c r="H425" s="264"/>
      <c r="I425" s="467"/>
      <c r="J425" s="264"/>
      <c r="K425" s="264"/>
      <c r="L425" s="264"/>
      <c r="M425" s="264"/>
      <c r="N425" s="264"/>
      <c r="O425" s="264"/>
      <c r="P425" s="264"/>
      <c r="Q425" s="264"/>
      <c r="R425" s="264"/>
      <c r="S425" s="264"/>
      <c r="T425" s="264"/>
      <c r="U425" s="264"/>
      <c r="V425" s="264"/>
      <c r="W425" s="283"/>
      <c r="X425" s="288"/>
      <c r="Z425" s="1002"/>
      <c r="AS425" s="1355"/>
      <c r="BK425" s="256"/>
      <c r="BO425" s="1363"/>
      <c r="BX425" s="257"/>
      <c r="BY425" s="256"/>
      <c r="BZ425" s="258"/>
      <c r="CA425" s="258"/>
      <c r="CB425" s="256"/>
      <c r="CC425" s="1013"/>
      <c r="CD425" s="1012"/>
      <c r="CE425" s="268"/>
      <c r="CF425" s="411"/>
      <c r="CG425" s="419"/>
      <c r="CH425" s="411"/>
      <c r="CI425" s="411"/>
      <c r="CJ425" s="411"/>
      <c r="CK425" s="419"/>
      <c r="CL425" s="411"/>
      <c r="CM425" s="411"/>
      <c r="CN425" s="411"/>
      <c r="CO425" s="419"/>
      <c r="CP425" s="411"/>
      <c r="CQ425" s="411"/>
      <c r="CR425" s="411"/>
      <c r="CS425" s="411"/>
      <c r="CT425" s="411"/>
      <c r="CU425" s="411"/>
      <c r="CV425" s="411"/>
      <c r="CW425" s="411"/>
      <c r="CX425" s="411"/>
      <c r="CY425" s="419"/>
      <c r="CZ425" s="411"/>
      <c r="DA425" s="411"/>
      <c r="DB425" s="411"/>
      <c r="DC425" s="419"/>
      <c r="DD425" s="411"/>
      <c r="DE425" s="411"/>
      <c r="DF425" s="411"/>
      <c r="DG425" s="419"/>
      <c r="DH425" s="411"/>
      <c r="DI425" s="411"/>
      <c r="DJ425" s="411"/>
      <c r="DK425" s="411"/>
      <c r="DL425" s="411"/>
      <c r="DM425" s="411"/>
      <c r="DN425" s="411"/>
      <c r="DO425" s="411"/>
      <c r="DP425" s="411"/>
      <c r="DQ425" s="411"/>
      <c r="DR425" s="411"/>
      <c r="DS425" s="411"/>
      <c r="DT425" s="411"/>
      <c r="DU425" s="419"/>
      <c r="DV425" s="411"/>
      <c r="DW425" s="411"/>
      <c r="DX425" s="415"/>
      <c r="DY425" s="268"/>
      <c r="DZ425" s="268"/>
      <c r="EA425" s="268"/>
      <c r="EB425" s="268"/>
      <c r="EC425" s="268"/>
      <c r="ED425" s="268"/>
      <c r="EE425" s="268"/>
      <c r="EF425" s="268"/>
      <c r="EG425" s="268"/>
      <c r="EH425" s="268"/>
      <c r="EI425" s="268"/>
      <c r="EJ425" s="268"/>
    </row>
    <row r="426" spans="1:140" s="269" customFormat="1" x14ac:dyDescent="0.2">
      <c r="A426" s="288"/>
      <c r="B426" s="267"/>
      <c r="D426" s="264"/>
      <c r="E426" s="467"/>
      <c r="F426" s="264"/>
      <c r="G426" s="400"/>
      <c r="H426" s="264"/>
      <c r="I426" s="467"/>
      <c r="J426" s="264"/>
      <c r="K426" s="264"/>
      <c r="L426" s="264"/>
      <c r="M426" s="264"/>
      <c r="N426" s="264"/>
      <c r="O426" s="264"/>
      <c r="P426" s="264"/>
      <c r="Q426" s="264"/>
      <c r="R426" s="264"/>
      <c r="S426" s="264"/>
      <c r="T426" s="264"/>
      <c r="U426" s="264"/>
      <c r="V426" s="264"/>
      <c r="W426" s="283"/>
      <c r="X426" s="288"/>
      <c r="Z426" s="1002"/>
      <c r="AS426" s="1355"/>
      <c r="BK426" s="256"/>
      <c r="BO426" s="1363"/>
      <c r="BX426" s="257"/>
      <c r="BY426" s="256"/>
      <c r="BZ426" s="258"/>
      <c r="CA426" s="258"/>
      <c r="CB426" s="256"/>
      <c r="CC426" s="1013"/>
      <c r="CD426" s="1012"/>
      <c r="CE426" s="268"/>
      <c r="CF426" s="411"/>
      <c r="CG426" s="419"/>
      <c r="CH426" s="411"/>
      <c r="CI426" s="411"/>
      <c r="CJ426" s="411"/>
      <c r="CK426" s="419"/>
      <c r="CL426" s="411"/>
      <c r="CM426" s="411"/>
      <c r="CN426" s="411"/>
      <c r="CO426" s="419"/>
      <c r="CP426" s="411"/>
      <c r="CQ426" s="411"/>
      <c r="CR426" s="411"/>
      <c r="CS426" s="411"/>
      <c r="CT426" s="411"/>
      <c r="CU426" s="411"/>
      <c r="CV426" s="411"/>
      <c r="CW426" s="411"/>
      <c r="CX426" s="411"/>
      <c r="CY426" s="419"/>
      <c r="CZ426" s="411"/>
      <c r="DA426" s="411"/>
      <c r="DB426" s="411"/>
      <c r="DC426" s="419"/>
      <c r="DD426" s="411"/>
      <c r="DE426" s="411"/>
      <c r="DF426" s="411"/>
      <c r="DG426" s="419"/>
      <c r="DH426" s="411"/>
      <c r="DI426" s="411"/>
      <c r="DJ426" s="411"/>
      <c r="DK426" s="411"/>
      <c r="DL426" s="411"/>
      <c r="DM426" s="411"/>
      <c r="DN426" s="411"/>
      <c r="DO426" s="411"/>
      <c r="DP426" s="411"/>
      <c r="DQ426" s="411"/>
      <c r="DR426" s="411"/>
      <c r="DS426" s="411"/>
      <c r="DT426" s="411"/>
      <c r="DU426" s="419"/>
      <c r="DV426" s="411"/>
      <c r="DW426" s="411"/>
      <c r="DX426" s="415"/>
      <c r="DY426" s="268"/>
      <c r="DZ426" s="268"/>
      <c r="EA426" s="268"/>
      <c r="EB426" s="268"/>
      <c r="EC426" s="268"/>
      <c r="ED426" s="268"/>
      <c r="EE426" s="268"/>
      <c r="EF426" s="268"/>
      <c r="EG426" s="268"/>
      <c r="EH426" s="268"/>
      <c r="EI426" s="268"/>
      <c r="EJ426" s="268"/>
    </row>
    <row r="427" spans="1:140" s="269" customFormat="1" x14ac:dyDescent="0.2">
      <c r="A427" s="288"/>
      <c r="B427" s="267"/>
      <c r="D427" s="264"/>
      <c r="E427" s="467"/>
      <c r="F427" s="264"/>
      <c r="G427" s="400"/>
      <c r="H427" s="264"/>
      <c r="I427" s="467"/>
      <c r="J427" s="264"/>
      <c r="K427" s="264"/>
      <c r="L427" s="264"/>
      <c r="M427" s="264"/>
      <c r="N427" s="264"/>
      <c r="O427" s="264"/>
      <c r="P427" s="264"/>
      <c r="Q427" s="264"/>
      <c r="R427" s="264"/>
      <c r="S427" s="264"/>
      <c r="T427" s="264"/>
      <c r="U427" s="264"/>
      <c r="V427" s="264"/>
      <c r="W427" s="283"/>
      <c r="X427" s="288"/>
      <c r="Z427" s="1002"/>
      <c r="AS427" s="1355"/>
      <c r="BK427" s="256"/>
      <c r="BO427" s="1363"/>
      <c r="BX427" s="257"/>
      <c r="BY427" s="256"/>
      <c r="BZ427" s="258"/>
      <c r="CA427" s="258"/>
      <c r="CB427" s="256"/>
      <c r="CC427" s="1013"/>
      <c r="CD427" s="1012"/>
      <c r="CE427" s="268"/>
      <c r="CF427" s="411"/>
      <c r="CG427" s="419"/>
      <c r="CH427" s="411"/>
      <c r="CI427" s="411"/>
      <c r="CJ427" s="411"/>
      <c r="CK427" s="419"/>
      <c r="CL427" s="411"/>
      <c r="CM427" s="411"/>
      <c r="CN427" s="411"/>
      <c r="CO427" s="419"/>
      <c r="CP427" s="411"/>
      <c r="CQ427" s="411"/>
      <c r="CR427" s="411"/>
      <c r="CS427" s="411"/>
      <c r="CT427" s="411"/>
      <c r="CU427" s="411"/>
      <c r="CV427" s="411"/>
      <c r="CW427" s="411"/>
      <c r="CX427" s="411"/>
      <c r="CY427" s="419"/>
      <c r="CZ427" s="411"/>
      <c r="DA427" s="411"/>
      <c r="DB427" s="411"/>
      <c r="DC427" s="419"/>
      <c r="DD427" s="411"/>
      <c r="DE427" s="411"/>
      <c r="DF427" s="411"/>
      <c r="DG427" s="419"/>
      <c r="DH427" s="411"/>
      <c r="DI427" s="411"/>
      <c r="DJ427" s="411"/>
      <c r="DK427" s="411"/>
      <c r="DL427" s="411"/>
      <c r="DM427" s="411"/>
      <c r="DN427" s="411"/>
      <c r="DO427" s="411"/>
      <c r="DP427" s="411"/>
      <c r="DQ427" s="411"/>
      <c r="DR427" s="411"/>
      <c r="DS427" s="411"/>
      <c r="DT427" s="411"/>
      <c r="DU427" s="419"/>
      <c r="DV427" s="411"/>
      <c r="DW427" s="411"/>
      <c r="DX427" s="415"/>
      <c r="DY427" s="268"/>
      <c r="DZ427" s="268"/>
      <c r="EA427" s="268"/>
      <c r="EB427" s="268"/>
      <c r="EC427" s="268"/>
      <c r="ED427" s="268"/>
      <c r="EE427" s="268"/>
      <c r="EF427" s="268"/>
      <c r="EG427" s="268"/>
      <c r="EH427" s="268"/>
      <c r="EI427" s="268"/>
      <c r="EJ427" s="268"/>
    </row>
    <row r="428" spans="1:140" s="269" customFormat="1" x14ac:dyDescent="0.2">
      <c r="A428" s="288"/>
      <c r="B428" s="267"/>
      <c r="D428" s="264"/>
      <c r="E428" s="467"/>
      <c r="F428" s="264"/>
      <c r="G428" s="400"/>
      <c r="H428" s="264"/>
      <c r="I428" s="467"/>
      <c r="J428" s="264"/>
      <c r="K428" s="264"/>
      <c r="L428" s="264"/>
      <c r="M428" s="264"/>
      <c r="N428" s="264"/>
      <c r="O428" s="264"/>
      <c r="P428" s="264"/>
      <c r="Q428" s="264"/>
      <c r="R428" s="264"/>
      <c r="S428" s="264"/>
      <c r="T428" s="264"/>
      <c r="U428" s="264"/>
      <c r="V428" s="264"/>
      <c r="W428" s="283"/>
      <c r="X428" s="288"/>
      <c r="Z428" s="1002"/>
      <c r="AS428" s="1355"/>
      <c r="BK428" s="256"/>
      <c r="BO428" s="1363"/>
      <c r="BX428" s="257"/>
      <c r="BY428" s="256"/>
      <c r="BZ428" s="258"/>
      <c r="CA428" s="258"/>
      <c r="CB428" s="256"/>
      <c r="CC428" s="1013"/>
      <c r="CD428" s="1012"/>
      <c r="CE428" s="268"/>
      <c r="CF428" s="411"/>
      <c r="CG428" s="419"/>
      <c r="CH428" s="411"/>
      <c r="CI428" s="411"/>
      <c r="CJ428" s="411"/>
      <c r="CK428" s="419"/>
      <c r="CL428" s="411"/>
      <c r="CM428" s="411"/>
      <c r="CN428" s="411"/>
      <c r="CO428" s="419"/>
      <c r="CP428" s="411"/>
      <c r="CQ428" s="411"/>
      <c r="CR428" s="411"/>
      <c r="CS428" s="411"/>
      <c r="CT428" s="411"/>
      <c r="CU428" s="411"/>
      <c r="CV428" s="411"/>
      <c r="CW428" s="411"/>
      <c r="CX428" s="411"/>
      <c r="CY428" s="419"/>
      <c r="CZ428" s="411"/>
      <c r="DA428" s="411"/>
      <c r="DB428" s="411"/>
      <c r="DC428" s="419"/>
      <c r="DD428" s="411"/>
      <c r="DE428" s="411"/>
      <c r="DF428" s="411"/>
      <c r="DG428" s="419"/>
      <c r="DH428" s="411"/>
      <c r="DI428" s="411"/>
      <c r="DJ428" s="411"/>
      <c r="DK428" s="411"/>
      <c r="DL428" s="411"/>
      <c r="DM428" s="411"/>
      <c r="DN428" s="411"/>
      <c r="DO428" s="411"/>
      <c r="DP428" s="411"/>
      <c r="DQ428" s="411"/>
      <c r="DR428" s="411"/>
      <c r="DS428" s="411"/>
      <c r="DT428" s="411"/>
      <c r="DU428" s="419"/>
      <c r="DV428" s="411"/>
      <c r="DW428" s="411"/>
      <c r="DX428" s="415"/>
      <c r="DY428" s="268"/>
      <c r="DZ428" s="268"/>
      <c r="EA428" s="268"/>
      <c r="EB428" s="268"/>
      <c r="EC428" s="268"/>
      <c r="ED428" s="268"/>
      <c r="EE428" s="268"/>
      <c r="EF428" s="268"/>
      <c r="EG428" s="268"/>
      <c r="EH428" s="268"/>
      <c r="EI428" s="268"/>
      <c r="EJ428" s="268"/>
    </row>
    <row r="429" spans="1:140" s="269" customFormat="1" x14ac:dyDescent="0.2">
      <c r="A429" s="288"/>
      <c r="B429" s="267"/>
      <c r="D429" s="264"/>
      <c r="E429" s="467"/>
      <c r="F429" s="264"/>
      <c r="G429" s="400"/>
      <c r="H429" s="264"/>
      <c r="I429" s="467"/>
      <c r="J429" s="264"/>
      <c r="K429" s="264"/>
      <c r="L429" s="264"/>
      <c r="M429" s="264"/>
      <c r="N429" s="264"/>
      <c r="O429" s="264"/>
      <c r="P429" s="264"/>
      <c r="Q429" s="264"/>
      <c r="R429" s="264"/>
      <c r="S429" s="264"/>
      <c r="T429" s="264"/>
      <c r="U429" s="264"/>
      <c r="V429" s="264"/>
      <c r="W429" s="283"/>
      <c r="X429" s="288"/>
      <c r="Z429" s="1002"/>
      <c r="AS429" s="1355"/>
      <c r="BK429" s="256"/>
      <c r="BO429" s="1363"/>
      <c r="BX429" s="257"/>
      <c r="BY429" s="256"/>
      <c r="BZ429" s="258"/>
      <c r="CA429" s="258"/>
      <c r="CB429" s="256"/>
      <c r="CC429" s="1013"/>
      <c r="CD429" s="1012"/>
      <c r="CE429" s="268"/>
      <c r="CF429" s="411"/>
      <c r="CG429" s="419"/>
      <c r="CH429" s="411"/>
      <c r="CI429" s="411"/>
      <c r="CJ429" s="411"/>
      <c r="CK429" s="419"/>
      <c r="CL429" s="411"/>
      <c r="CM429" s="411"/>
      <c r="CN429" s="411"/>
      <c r="CO429" s="419"/>
      <c r="CP429" s="411"/>
      <c r="CQ429" s="411"/>
      <c r="CR429" s="411"/>
      <c r="CS429" s="411"/>
      <c r="CT429" s="411"/>
      <c r="CU429" s="411"/>
      <c r="CV429" s="411"/>
      <c r="CW429" s="411"/>
      <c r="CX429" s="411"/>
      <c r="CY429" s="419"/>
      <c r="CZ429" s="411"/>
      <c r="DA429" s="411"/>
      <c r="DB429" s="411"/>
      <c r="DC429" s="419"/>
      <c r="DD429" s="411"/>
      <c r="DE429" s="411"/>
      <c r="DF429" s="411"/>
      <c r="DG429" s="419"/>
      <c r="DH429" s="411"/>
      <c r="DI429" s="411"/>
      <c r="DJ429" s="411"/>
      <c r="DK429" s="411"/>
      <c r="DL429" s="411"/>
      <c r="DM429" s="411"/>
      <c r="DN429" s="411"/>
      <c r="DO429" s="411"/>
      <c r="DP429" s="411"/>
      <c r="DQ429" s="411"/>
      <c r="DR429" s="411"/>
      <c r="DS429" s="411"/>
      <c r="DT429" s="411"/>
      <c r="DU429" s="419"/>
      <c r="DV429" s="411"/>
      <c r="DW429" s="411"/>
      <c r="DX429" s="415"/>
      <c r="DY429" s="268"/>
      <c r="DZ429" s="268"/>
      <c r="EA429" s="268"/>
      <c r="EB429" s="268"/>
      <c r="EC429" s="268"/>
      <c r="ED429" s="268"/>
      <c r="EE429" s="268"/>
      <c r="EF429" s="268"/>
      <c r="EG429" s="268"/>
      <c r="EH429" s="268"/>
      <c r="EI429" s="268"/>
      <c r="EJ429" s="268"/>
    </row>
    <row r="430" spans="1:140" s="269" customFormat="1" x14ac:dyDescent="0.2">
      <c r="A430" s="288"/>
      <c r="B430" s="267"/>
      <c r="D430" s="264"/>
      <c r="E430" s="467"/>
      <c r="F430" s="264"/>
      <c r="G430" s="400"/>
      <c r="H430" s="264"/>
      <c r="I430" s="467"/>
      <c r="J430" s="264"/>
      <c r="K430" s="264"/>
      <c r="L430" s="264"/>
      <c r="M430" s="264"/>
      <c r="N430" s="264"/>
      <c r="O430" s="264"/>
      <c r="P430" s="264"/>
      <c r="Q430" s="264"/>
      <c r="R430" s="264"/>
      <c r="S430" s="264"/>
      <c r="T430" s="264"/>
      <c r="U430" s="264"/>
      <c r="V430" s="264"/>
      <c r="W430" s="283"/>
      <c r="X430" s="288"/>
      <c r="Z430" s="1002"/>
      <c r="AS430" s="1355"/>
      <c r="BK430" s="256"/>
      <c r="BO430" s="1363"/>
      <c r="BX430" s="257"/>
      <c r="BY430" s="256"/>
      <c r="BZ430" s="258"/>
      <c r="CA430" s="258"/>
      <c r="CB430" s="256"/>
      <c r="CC430" s="1013"/>
      <c r="CD430" s="1012"/>
      <c r="CE430" s="268"/>
      <c r="CF430" s="411"/>
      <c r="CG430" s="419"/>
      <c r="CH430" s="411"/>
      <c r="CI430" s="411"/>
      <c r="CJ430" s="411"/>
      <c r="CK430" s="419"/>
      <c r="CL430" s="411"/>
      <c r="CM430" s="411"/>
      <c r="CN430" s="411"/>
      <c r="CO430" s="419"/>
      <c r="CP430" s="411"/>
      <c r="CQ430" s="411"/>
      <c r="CR430" s="411"/>
      <c r="CS430" s="411"/>
      <c r="CT430" s="411"/>
      <c r="CU430" s="411"/>
      <c r="CV430" s="411"/>
      <c r="CW430" s="411"/>
      <c r="CX430" s="411"/>
      <c r="CY430" s="419"/>
      <c r="CZ430" s="411"/>
      <c r="DA430" s="411"/>
      <c r="DB430" s="411"/>
      <c r="DC430" s="419"/>
      <c r="DD430" s="411"/>
      <c r="DE430" s="411"/>
      <c r="DF430" s="411"/>
      <c r="DG430" s="419"/>
      <c r="DH430" s="411"/>
      <c r="DI430" s="411"/>
      <c r="DJ430" s="411"/>
      <c r="DK430" s="411"/>
      <c r="DL430" s="411"/>
      <c r="DM430" s="411"/>
      <c r="DN430" s="411"/>
      <c r="DO430" s="411"/>
      <c r="DP430" s="411"/>
      <c r="DQ430" s="411"/>
      <c r="DR430" s="411"/>
      <c r="DS430" s="411"/>
      <c r="DT430" s="411"/>
      <c r="DU430" s="419"/>
      <c r="DV430" s="411"/>
      <c r="DW430" s="411"/>
      <c r="DX430" s="415"/>
      <c r="DY430" s="268"/>
      <c r="DZ430" s="268"/>
      <c r="EA430" s="268"/>
      <c r="EB430" s="268"/>
      <c r="EC430" s="268"/>
      <c r="ED430" s="268"/>
      <c r="EE430" s="268"/>
      <c r="EF430" s="268"/>
      <c r="EG430" s="268"/>
      <c r="EH430" s="268"/>
      <c r="EI430" s="268"/>
      <c r="EJ430" s="268"/>
    </row>
    <row r="431" spans="1:140" s="269" customFormat="1" x14ac:dyDescent="0.2">
      <c r="A431" s="288"/>
      <c r="B431" s="267"/>
      <c r="D431" s="264"/>
      <c r="E431" s="467"/>
      <c r="F431" s="264"/>
      <c r="G431" s="400"/>
      <c r="H431" s="264"/>
      <c r="I431" s="467"/>
      <c r="J431" s="264"/>
      <c r="K431" s="264"/>
      <c r="L431" s="264"/>
      <c r="M431" s="264"/>
      <c r="N431" s="264"/>
      <c r="O431" s="264"/>
      <c r="P431" s="264"/>
      <c r="Q431" s="264"/>
      <c r="R431" s="264"/>
      <c r="S431" s="264"/>
      <c r="T431" s="264"/>
      <c r="U431" s="264"/>
      <c r="V431" s="264"/>
      <c r="W431" s="283"/>
      <c r="X431" s="288"/>
      <c r="Z431" s="1002"/>
      <c r="AS431" s="1355"/>
      <c r="BK431" s="256"/>
      <c r="BO431" s="1363"/>
      <c r="BX431" s="257"/>
      <c r="BY431" s="256"/>
      <c r="BZ431" s="258"/>
      <c r="CA431" s="258"/>
      <c r="CB431" s="256"/>
      <c r="CC431" s="1013"/>
      <c r="CD431" s="1012"/>
      <c r="CE431" s="268"/>
      <c r="CF431" s="411"/>
      <c r="CG431" s="419"/>
      <c r="CH431" s="411"/>
      <c r="CI431" s="411"/>
      <c r="CJ431" s="411"/>
      <c r="CK431" s="419"/>
      <c r="CL431" s="411"/>
      <c r="CM431" s="411"/>
      <c r="CN431" s="411"/>
      <c r="CO431" s="419"/>
      <c r="CP431" s="411"/>
      <c r="CQ431" s="411"/>
      <c r="CR431" s="411"/>
      <c r="CS431" s="411"/>
      <c r="CT431" s="411"/>
      <c r="CU431" s="411"/>
      <c r="CV431" s="411"/>
      <c r="CW431" s="411"/>
      <c r="CX431" s="411"/>
      <c r="CY431" s="419"/>
      <c r="CZ431" s="411"/>
      <c r="DA431" s="411"/>
      <c r="DB431" s="411"/>
      <c r="DC431" s="419"/>
      <c r="DD431" s="411"/>
      <c r="DE431" s="411"/>
      <c r="DF431" s="411"/>
      <c r="DG431" s="419"/>
      <c r="DH431" s="411"/>
      <c r="DI431" s="411"/>
      <c r="DJ431" s="411"/>
      <c r="DK431" s="411"/>
      <c r="DL431" s="411"/>
      <c r="DM431" s="411"/>
      <c r="DN431" s="411"/>
      <c r="DO431" s="411"/>
      <c r="DP431" s="411"/>
      <c r="DQ431" s="411"/>
      <c r="DR431" s="411"/>
      <c r="DS431" s="411"/>
      <c r="DT431" s="411"/>
      <c r="DU431" s="419"/>
      <c r="DV431" s="411"/>
      <c r="DW431" s="411"/>
      <c r="DX431" s="415"/>
      <c r="DY431" s="268"/>
      <c r="DZ431" s="268"/>
      <c r="EA431" s="268"/>
      <c r="EB431" s="268"/>
      <c r="EC431" s="268"/>
      <c r="ED431" s="268"/>
      <c r="EE431" s="268"/>
      <c r="EF431" s="268"/>
      <c r="EG431" s="268"/>
      <c r="EH431" s="268"/>
      <c r="EI431" s="268"/>
      <c r="EJ431" s="268"/>
    </row>
    <row r="432" spans="1:140" s="269" customFormat="1" x14ac:dyDescent="0.2">
      <c r="A432" s="288"/>
      <c r="B432" s="267"/>
      <c r="D432" s="264"/>
      <c r="E432" s="467"/>
      <c r="F432" s="264"/>
      <c r="G432" s="400"/>
      <c r="H432" s="264"/>
      <c r="I432" s="467"/>
      <c r="J432" s="264"/>
      <c r="K432" s="264"/>
      <c r="L432" s="264"/>
      <c r="M432" s="264"/>
      <c r="N432" s="264"/>
      <c r="O432" s="264"/>
      <c r="P432" s="264"/>
      <c r="Q432" s="264"/>
      <c r="R432" s="264"/>
      <c r="S432" s="264"/>
      <c r="T432" s="264"/>
      <c r="U432" s="264"/>
      <c r="V432" s="264"/>
      <c r="W432" s="283"/>
      <c r="X432" s="288"/>
      <c r="Z432" s="1002"/>
      <c r="AS432" s="1355"/>
      <c r="BK432" s="256"/>
      <c r="BO432" s="1363"/>
      <c r="BX432" s="257"/>
      <c r="BY432" s="256"/>
      <c r="BZ432" s="258"/>
      <c r="CA432" s="258"/>
      <c r="CB432" s="256"/>
      <c r="CC432" s="1013"/>
      <c r="CD432" s="1012"/>
      <c r="CE432" s="268"/>
      <c r="CF432" s="411"/>
      <c r="CG432" s="419"/>
      <c r="CH432" s="411"/>
      <c r="CI432" s="411"/>
      <c r="CJ432" s="411"/>
      <c r="CK432" s="419"/>
      <c r="CL432" s="411"/>
      <c r="CM432" s="411"/>
      <c r="CN432" s="411"/>
      <c r="CO432" s="419"/>
      <c r="CP432" s="411"/>
      <c r="CQ432" s="411"/>
      <c r="CR432" s="411"/>
      <c r="CS432" s="411"/>
      <c r="CT432" s="411"/>
      <c r="CU432" s="411"/>
      <c r="CV432" s="411"/>
      <c r="CW432" s="411"/>
      <c r="CX432" s="411"/>
      <c r="CY432" s="419"/>
      <c r="CZ432" s="411"/>
      <c r="DA432" s="411"/>
      <c r="DB432" s="411"/>
      <c r="DC432" s="419"/>
      <c r="DD432" s="411"/>
      <c r="DE432" s="411"/>
      <c r="DF432" s="411"/>
      <c r="DG432" s="419"/>
      <c r="DH432" s="411"/>
      <c r="DI432" s="411"/>
      <c r="DJ432" s="411"/>
      <c r="DK432" s="411"/>
      <c r="DL432" s="411"/>
      <c r="DM432" s="411"/>
      <c r="DN432" s="411"/>
      <c r="DO432" s="411"/>
      <c r="DP432" s="411"/>
      <c r="DQ432" s="411"/>
      <c r="DR432" s="411"/>
      <c r="DS432" s="411"/>
      <c r="DT432" s="411"/>
      <c r="DU432" s="419"/>
      <c r="DV432" s="411"/>
      <c r="DW432" s="411"/>
      <c r="DX432" s="415"/>
      <c r="DY432" s="268"/>
      <c r="DZ432" s="268"/>
      <c r="EA432" s="268"/>
      <c r="EB432" s="268"/>
      <c r="EC432" s="268"/>
      <c r="ED432" s="268"/>
      <c r="EE432" s="268"/>
      <c r="EF432" s="268"/>
      <c r="EG432" s="268"/>
      <c r="EH432" s="268"/>
      <c r="EI432" s="268"/>
      <c r="EJ432" s="268"/>
    </row>
    <row r="433" spans="1:140" s="269" customFormat="1" x14ac:dyDescent="0.2">
      <c r="A433" s="288"/>
      <c r="B433" s="267"/>
      <c r="D433" s="264"/>
      <c r="E433" s="467"/>
      <c r="F433" s="264"/>
      <c r="G433" s="400"/>
      <c r="H433" s="264"/>
      <c r="I433" s="467"/>
      <c r="J433" s="264"/>
      <c r="K433" s="264"/>
      <c r="L433" s="264"/>
      <c r="M433" s="264"/>
      <c r="N433" s="264"/>
      <c r="O433" s="264"/>
      <c r="P433" s="264"/>
      <c r="Q433" s="264"/>
      <c r="R433" s="264"/>
      <c r="S433" s="264"/>
      <c r="T433" s="264"/>
      <c r="U433" s="264"/>
      <c r="V433" s="264"/>
      <c r="W433" s="283"/>
      <c r="X433" s="288"/>
      <c r="Z433" s="1002"/>
      <c r="AS433" s="1355"/>
      <c r="BK433" s="256"/>
      <c r="BO433" s="1363"/>
      <c r="BX433" s="257"/>
      <c r="BY433" s="256"/>
      <c r="BZ433" s="258"/>
      <c r="CA433" s="258"/>
      <c r="CB433" s="256"/>
      <c r="CC433" s="1013"/>
      <c r="CD433" s="1012"/>
      <c r="CE433" s="268"/>
      <c r="CF433" s="411"/>
      <c r="CG433" s="419"/>
      <c r="CH433" s="411"/>
      <c r="CI433" s="411"/>
      <c r="CJ433" s="411"/>
      <c r="CK433" s="419"/>
      <c r="CL433" s="411"/>
      <c r="CM433" s="411"/>
      <c r="CN433" s="411"/>
      <c r="CO433" s="419"/>
      <c r="CP433" s="411"/>
      <c r="CQ433" s="411"/>
      <c r="CR433" s="411"/>
      <c r="CS433" s="411"/>
      <c r="CT433" s="411"/>
      <c r="CU433" s="411"/>
      <c r="CV433" s="411"/>
      <c r="CW433" s="411"/>
      <c r="CX433" s="411"/>
      <c r="CY433" s="419"/>
      <c r="CZ433" s="411"/>
      <c r="DA433" s="411"/>
      <c r="DB433" s="411"/>
      <c r="DC433" s="419"/>
      <c r="DD433" s="411"/>
      <c r="DE433" s="411"/>
      <c r="DF433" s="411"/>
      <c r="DG433" s="419"/>
      <c r="DH433" s="411"/>
      <c r="DI433" s="411"/>
      <c r="DJ433" s="411"/>
      <c r="DK433" s="411"/>
      <c r="DL433" s="411"/>
      <c r="DM433" s="411"/>
      <c r="DN433" s="411"/>
      <c r="DO433" s="411"/>
      <c r="DP433" s="411"/>
      <c r="DQ433" s="411"/>
      <c r="DR433" s="411"/>
      <c r="DS433" s="411"/>
      <c r="DT433" s="411"/>
      <c r="DU433" s="419"/>
      <c r="DV433" s="411"/>
      <c r="DW433" s="411"/>
      <c r="DX433" s="415"/>
      <c r="DY433" s="268"/>
      <c r="DZ433" s="268"/>
      <c r="EA433" s="268"/>
      <c r="EB433" s="268"/>
      <c r="EC433" s="268"/>
      <c r="ED433" s="268"/>
      <c r="EE433" s="268"/>
      <c r="EF433" s="268"/>
      <c r="EG433" s="268"/>
      <c r="EH433" s="268"/>
      <c r="EI433" s="268"/>
      <c r="EJ433" s="268"/>
    </row>
    <row r="434" spans="1:140" s="269" customFormat="1" x14ac:dyDescent="0.2">
      <c r="A434" s="288"/>
      <c r="B434" s="267"/>
      <c r="D434" s="264"/>
      <c r="E434" s="467"/>
      <c r="F434" s="264"/>
      <c r="G434" s="400"/>
      <c r="H434" s="264"/>
      <c r="I434" s="467"/>
      <c r="J434" s="264"/>
      <c r="K434" s="264"/>
      <c r="L434" s="264"/>
      <c r="M434" s="264"/>
      <c r="N434" s="264"/>
      <c r="O434" s="264"/>
      <c r="P434" s="264"/>
      <c r="Q434" s="264"/>
      <c r="R434" s="264"/>
      <c r="S434" s="264"/>
      <c r="T434" s="264"/>
      <c r="U434" s="264"/>
      <c r="V434" s="264"/>
      <c r="W434" s="283"/>
      <c r="X434" s="288"/>
      <c r="Z434" s="1002"/>
      <c r="AS434" s="1355"/>
      <c r="BK434" s="256"/>
      <c r="BO434" s="1363"/>
      <c r="BX434" s="257"/>
      <c r="BY434" s="256"/>
      <c r="BZ434" s="258"/>
      <c r="CA434" s="258"/>
      <c r="CB434" s="256"/>
      <c r="CC434" s="1013"/>
      <c r="CD434" s="1012"/>
      <c r="CE434" s="268"/>
      <c r="CF434" s="411"/>
      <c r="CG434" s="419"/>
      <c r="CH434" s="411"/>
      <c r="CI434" s="411"/>
      <c r="CJ434" s="411"/>
      <c r="CK434" s="419"/>
      <c r="CL434" s="411"/>
      <c r="CM434" s="411"/>
      <c r="CN434" s="411"/>
      <c r="CO434" s="419"/>
      <c r="CP434" s="411"/>
      <c r="CQ434" s="411"/>
      <c r="CR434" s="411"/>
      <c r="CS434" s="411"/>
      <c r="CT434" s="411"/>
      <c r="CU434" s="411"/>
      <c r="CV434" s="411"/>
      <c r="CW434" s="411"/>
      <c r="CX434" s="411"/>
      <c r="CY434" s="419"/>
      <c r="CZ434" s="411"/>
      <c r="DA434" s="411"/>
      <c r="DB434" s="411"/>
      <c r="DC434" s="419"/>
      <c r="DD434" s="411"/>
      <c r="DE434" s="411"/>
      <c r="DF434" s="411"/>
      <c r="DG434" s="419"/>
      <c r="DH434" s="411"/>
      <c r="DI434" s="411"/>
      <c r="DJ434" s="411"/>
      <c r="DK434" s="411"/>
      <c r="DL434" s="411"/>
      <c r="DM434" s="411"/>
      <c r="DN434" s="411"/>
      <c r="DO434" s="411"/>
      <c r="DP434" s="411"/>
      <c r="DQ434" s="411"/>
      <c r="DR434" s="411"/>
      <c r="DS434" s="411"/>
      <c r="DT434" s="411"/>
      <c r="DU434" s="419"/>
      <c r="DV434" s="411"/>
      <c r="DW434" s="411"/>
      <c r="DX434" s="415"/>
      <c r="DY434" s="268"/>
      <c r="DZ434" s="268"/>
      <c r="EA434" s="268"/>
      <c r="EB434" s="268"/>
      <c r="EC434" s="268"/>
      <c r="ED434" s="268"/>
      <c r="EE434" s="268"/>
      <c r="EF434" s="268"/>
      <c r="EG434" s="268"/>
      <c r="EH434" s="268"/>
      <c r="EI434" s="268"/>
      <c r="EJ434" s="268"/>
    </row>
    <row r="435" spans="1:140" s="269" customFormat="1" x14ac:dyDescent="0.2">
      <c r="A435" s="288"/>
      <c r="B435" s="267"/>
      <c r="D435" s="264"/>
      <c r="E435" s="467"/>
      <c r="F435" s="264"/>
      <c r="G435" s="400"/>
      <c r="H435" s="264"/>
      <c r="I435" s="467"/>
      <c r="J435" s="264"/>
      <c r="K435" s="264"/>
      <c r="L435" s="264"/>
      <c r="M435" s="264"/>
      <c r="N435" s="264"/>
      <c r="O435" s="264"/>
      <c r="P435" s="264"/>
      <c r="Q435" s="264"/>
      <c r="R435" s="264"/>
      <c r="S435" s="264"/>
      <c r="T435" s="264"/>
      <c r="U435" s="264"/>
      <c r="V435" s="264"/>
      <c r="W435" s="283"/>
      <c r="X435" s="288"/>
      <c r="Z435" s="1002"/>
      <c r="AS435" s="1355"/>
      <c r="BK435" s="256"/>
      <c r="BO435" s="1363"/>
      <c r="BX435" s="257"/>
      <c r="BY435" s="256"/>
      <c r="BZ435" s="258"/>
      <c r="CA435" s="258"/>
      <c r="CB435" s="256"/>
      <c r="CC435" s="1013"/>
      <c r="CD435" s="1012"/>
      <c r="CE435" s="268"/>
      <c r="CF435" s="411"/>
      <c r="CG435" s="419"/>
      <c r="CH435" s="411"/>
      <c r="CI435" s="411"/>
      <c r="CJ435" s="411"/>
      <c r="CK435" s="419"/>
      <c r="CL435" s="411"/>
      <c r="CM435" s="411"/>
      <c r="CN435" s="411"/>
      <c r="CO435" s="419"/>
      <c r="CP435" s="411"/>
      <c r="CQ435" s="411"/>
      <c r="CR435" s="411"/>
      <c r="CS435" s="411"/>
      <c r="CT435" s="411"/>
      <c r="CU435" s="411"/>
      <c r="CV435" s="411"/>
      <c r="CW435" s="411"/>
      <c r="CX435" s="411"/>
      <c r="CY435" s="419"/>
      <c r="CZ435" s="411"/>
      <c r="DA435" s="411"/>
      <c r="DB435" s="411"/>
      <c r="DC435" s="419"/>
      <c r="DD435" s="411"/>
      <c r="DE435" s="411"/>
      <c r="DF435" s="411"/>
      <c r="DG435" s="419"/>
      <c r="DH435" s="411"/>
      <c r="DI435" s="411"/>
      <c r="DJ435" s="411"/>
      <c r="DK435" s="411"/>
      <c r="DL435" s="411"/>
      <c r="DM435" s="411"/>
      <c r="DN435" s="411"/>
      <c r="DO435" s="411"/>
      <c r="DP435" s="411"/>
      <c r="DQ435" s="411"/>
      <c r="DR435" s="411"/>
      <c r="DS435" s="411"/>
      <c r="DT435" s="411"/>
      <c r="DU435" s="419"/>
      <c r="DV435" s="411"/>
      <c r="DW435" s="411"/>
      <c r="DX435" s="415"/>
      <c r="DY435" s="268"/>
      <c r="DZ435" s="268"/>
      <c r="EA435" s="268"/>
      <c r="EB435" s="268"/>
      <c r="EC435" s="268"/>
      <c r="ED435" s="268"/>
      <c r="EE435" s="268"/>
      <c r="EF435" s="268"/>
      <c r="EG435" s="268"/>
      <c r="EH435" s="268"/>
      <c r="EI435" s="268"/>
      <c r="EJ435" s="268"/>
    </row>
    <row r="436" spans="1:140" s="269" customFormat="1" x14ac:dyDescent="0.2">
      <c r="A436" s="288"/>
      <c r="B436" s="267"/>
      <c r="D436" s="264"/>
      <c r="E436" s="467"/>
      <c r="F436" s="264"/>
      <c r="G436" s="400"/>
      <c r="H436" s="264"/>
      <c r="I436" s="467"/>
      <c r="J436" s="264"/>
      <c r="K436" s="264"/>
      <c r="L436" s="264"/>
      <c r="M436" s="264"/>
      <c r="N436" s="264"/>
      <c r="O436" s="264"/>
      <c r="P436" s="264"/>
      <c r="Q436" s="264"/>
      <c r="R436" s="264"/>
      <c r="S436" s="264"/>
      <c r="T436" s="264"/>
      <c r="U436" s="264"/>
      <c r="V436" s="264"/>
      <c r="W436" s="283"/>
      <c r="X436" s="288"/>
      <c r="Z436" s="1002"/>
      <c r="AS436" s="1355"/>
      <c r="BK436" s="256"/>
      <c r="BO436" s="1363"/>
      <c r="BX436" s="257"/>
      <c r="BY436" s="256"/>
      <c r="BZ436" s="258"/>
      <c r="CA436" s="258"/>
      <c r="CB436" s="256"/>
      <c r="CC436" s="1013"/>
      <c r="CD436" s="1012"/>
      <c r="CE436" s="268"/>
      <c r="CF436" s="411"/>
      <c r="CG436" s="419"/>
      <c r="CH436" s="411"/>
      <c r="CI436" s="411"/>
      <c r="CJ436" s="411"/>
      <c r="CK436" s="419"/>
      <c r="CL436" s="411"/>
      <c r="CM436" s="411"/>
      <c r="CN436" s="411"/>
      <c r="CO436" s="419"/>
      <c r="CP436" s="411"/>
      <c r="CQ436" s="411"/>
      <c r="CR436" s="411"/>
      <c r="CS436" s="411"/>
      <c r="CT436" s="411"/>
      <c r="CU436" s="411"/>
      <c r="CV436" s="411"/>
      <c r="CW436" s="411"/>
      <c r="CX436" s="411"/>
      <c r="CY436" s="419"/>
      <c r="CZ436" s="411"/>
      <c r="DA436" s="411"/>
      <c r="DB436" s="411"/>
      <c r="DC436" s="419"/>
      <c r="DD436" s="411"/>
      <c r="DE436" s="411"/>
      <c r="DF436" s="411"/>
      <c r="DG436" s="419"/>
      <c r="DH436" s="411"/>
      <c r="DI436" s="411"/>
      <c r="DJ436" s="411"/>
      <c r="DK436" s="411"/>
      <c r="DL436" s="411"/>
      <c r="DM436" s="411"/>
      <c r="DN436" s="411"/>
      <c r="DO436" s="411"/>
      <c r="DP436" s="411"/>
      <c r="DQ436" s="411"/>
      <c r="DR436" s="411"/>
      <c r="DS436" s="411"/>
      <c r="DT436" s="411"/>
      <c r="DU436" s="419"/>
      <c r="DV436" s="411"/>
      <c r="DW436" s="411"/>
      <c r="DX436" s="415"/>
      <c r="DY436" s="268"/>
      <c r="DZ436" s="268"/>
      <c r="EA436" s="268"/>
      <c r="EB436" s="268"/>
      <c r="EC436" s="268"/>
      <c r="ED436" s="268"/>
      <c r="EE436" s="268"/>
      <c r="EF436" s="268"/>
      <c r="EG436" s="268"/>
      <c r="EH436" s="268"/>
      <c r="EI436" s="268"/>
      <c r="EJ436" s="268"/>
    </row>
    <row r="437" spans="1:140" s="269" customFormat="1" x14ac:dyDescent="0.2">
      <c r="A437" s="288"/>
      <c r="B437" s="267"/>
      <c r="D437" s="264"/>
      <c r="E437" s="467"/>
      <c r="F437" s="264"/>
      <c r="G437" s="400"/>
      <c r="H437" s="264"/>
      <c r="I437" s="467"/>
      <c r="J437" s="264"/>
      <c r="K437" s="264"/>
      <c r="L437" s="264"/>
      <c r="M437" s="264"/>
      <c r="N437" s="264"/>
      <c r="O437" s="264"/>
      <c r="P437" s="264"/>
      <c r="Q437" s="264"/>
      <c r="R437" s="264"/>
      <c r="S437" s="264"/>
      <c r="T437" s="264"/>
      <c r="U437" s="264"/>
      <c r="V437" s="264"/>
      <c r="W437" s="283"/>
      <c r="X437" s="288"/>
      <c r="Z437" s="1002"/>
      <c r="AS437" s="1355"/>
      <c r="BK437" s="256"/>
      <c r="BO437" s="1363"/>
      <c r="BX437" s="257"/>
      <c r="BY437" s="256"/>
      <c r="BZ437" s="258"/>
      <c r="CA437" s="258"/>
      <c r="CB437" s="256"/>
      <c r="CC437" s="1013"/>
      <c r="CD437" s="1012"/>
      <c r="CE437" s="268"/>
      <c r="CF437" s="411"/>
      <c r="CG437" s="419"/>
      <c r="CH437" s="411"/>
      <c r="CI437" s="411"/>
      <c r="CJ437" s="411"/>
      <c r="CK437" s="419"/>
      <c r="CL437" s="411"/>
      <c r="CM437" s="411"/>
      <c r="CN437" s="411"/>
      <c r="CO437" s="419"/>
      <c r="CP437" s="411"/>
      <c r="CQ437" s="411"/>
      <c r="CR437" s="411"/>
      <c r="CS437" s="411"/>
      <c r="CT437" s="411"/>
      <c r="CU437" s="411"/>
      <c r="CV437" s="411"/>
      <c r="CW437" s="411"/>
      <c r="CX437" s="411"/>
      <c r="CY437" s="419"/>
      <c r="CZ437" s="411"/>
      <c r="DA437" s="411"/>
      <c r="DB437" s="411"/>
      <c r="DC437" s="419"/>
      <c r="DD437" s="411"/>
      <c r="DE437" s="411"/>
      <c r="DF437" s="411"/>
      <c r="DG437" s="419"/>
      <c r="DH437" s="411"/>
      <c r="DI437" s="411"/>
      <c r="DJ437" s="411"/>
      <c r="DK437" s="411"/>
      <c r="DL437" s="411"/>
      <c r="DM437" s="411"/>
      <c r="DN437" s="411"/>
      <c r="DO437" s="411"/>
      <c r="DP437" s="411"/>
      <c r="DQ437" s="411"/>
      <c r="DR437" s="411"/>
      <c r="DS437" s="411"/>
      <c r="DT437" s="411"/>
      <c r="DU437" s="419"/>
      <c r="DV437" s="411"/>
      <c r="DW437" s="411"/>
      <c r="DX437" s="415"/>
      <c r="DY437" s="268"/>
      <c r="DZ437" s="268"/>
      <c r="EA437" s="268"/>
      <c r="EB437" s="268"/>
      <c r="EC437" s="268"/>
      <c r="ED437" s="268"/>
      <c r="EE437" s="268"/>
      <c r="EF437" s="268"/>
      <c r="EG437" s="268"/>
      <c r="EH437" s="268"/>
      <c r="EI437" s="268"/>
      <c r="EJ437" s="268"/>
    </row>
    <row r="438" spans="1:140" s="269" customFormat="1" x14ac:dyDescent="0.2">
      <c r="A438" s="288"/>
      <c r="B438" s="267"/>
      <c r="D438" s="264"/>
      <c r="E438" s="467"/>
      <c r="F438" s="264"/>
      <c r="G438" s="400"/>
      <c r="H438" s="264"/>
      <c r="I438" s="467"/>
      <c r="J438" s="264"/>
      <c r="K438" s="264"/>
      <c r="L438" s="264"/>
      <c r="M438" s="264"/>
      <c r="N438" s="264"/>
      <c r="O438" s="264"/>
      <c r="P438" s="264"/>
      <c r="Q438" s="264"/>
      <c r="R438" s="264"/>
      <c r="S438" s="264"/>
      <c r="T438" s="264"/>
      <c r="U438" s="264"/>
      <c r="V438" s="264"/>
      <c r="W438" s="283"/>
      <c r="X438" s="288"/>
      <c r="Z438" s="1002"/>
      <c r="AS438" s="1355"/>
      <c r="BK438" s="256"/>
      <c r="BO438" s="1363"/>
      <c r="BX438" s="257"/>
      <c r="BY438" s="256"/>
      <c r="BZ438" s="258"/>
      <c r="CA438" s="258"/>
      <c r="CB438" s="256"/>
      <c r="CC438" s="1013"/>
      <c r="CD438" s="1012"/>
      <c r="CE438" s="268"/>
      <c r="CF438" s="411"/>
      <c r="CG438" s="419"/>
      <c r="CH438" s="411"/>
      <c r="CI438" s="411"/>
      <c r="CJ438" s="411"/>
      <c r="CK438" s="419"/>
      <c r="CL438" s="411"/>
      <c r="CM438" s="411"/>
      <c r="CN438" s="411"/>
      <c r="CO438" s="419"/>
      <c r="CP438" s="411"/>
      <c r="CQ438" s="411"/>
      <c r="CR438" s="411"/>
      <c r="CS438" s="411"/>
      <c r="CT438" s="411"/>
      <c r="CU438" s="411"/>
      <c r="CV438" s="411"/>
      <c r="CW438" s="411"/>
      <c r="CX438" s="411"/>
      <c r="CY438" s="419"/>
      <c r="CZ438" s="411"/>
      <c r="DA438" s="411"/>
      <c r="DB438" s="411"/>
      <c r="DC438" s="419"/>
      <c r="DD438" s="411"/>
      <c r="DE438" s="411"/>
      <c r="DF438" s="411"/>
      <c r="DG438" s="419"/>
      <c r="DH438" s="411"/>
      <c r="DI438" s="411"/>
      <c r="DJ438" s="411"/>
      <c r="DK438" s="411"/>
      <c r="DL438" s="411"/>
      <c r="DM438" s="411"/>
      <c r="DN438" s="411"/>
      <c r="DO438" s="411"/>
      <c r="DP438" s="411"/>
      <c r="DQ438" s="411"/>
      <c r="DR438" s="411"/>
      <c r="DS438" s="411"/>
      <c r="DT438" s="411"/>
      <c r="DU438" s="419"/>
      <c r="DV438" s="411"/>
      <c r="DW438" s="411"/>
      <c r="DX438" s="415"/>
      <c r="DY438" s="268"/>
      <c r="DZ438" s="268"/>
      <c r="EA438" s="268"/>
      <c r="EB438" s="268"/>
      <c r="EC438" s="268"/>
      <c r="ED438" s="268"/>
      <c r="EE438" s="268"/>
      <c r="EF438" s="268"/>
      <c r="EG438" s="268"/>
      <c r="EH438" s="268"/>
      <c r="EI438" s="268"/>
      <c r="EJ438" s="268"/>
    </row>
    <row r="439" spans="1:140" s="269" customFormat="1" x14ac:dyDescent="0.2">
      <c r="A439" s="288"/>
      <c r="B439" s="267"/>
      <c r="D439" s="264"/>
      <c r="E439" s="467"/>
      <c r="F439" s="264"/>
      <c r="G439" s="400"/>
      <c r="H439" s="264"/>
      <c r="I439" s="467"/>
      <c r="J439" s="264"/>
      <c r="K439" s="264"/>
      <c r="L439" s="264"/>
      <c r="M439" s="264"/>
      <c r="N439" s="264"/>
      <c r="O439" s="264"/>
      <c r="P439" s="264"/>
      <c r="Q439" s="264"/>
      <c r="R439" s="264"/>
      <c r="S439" s="264"/>
      <c r="T439" s="264"/>
      <c r="U439" s="264"/>
      <c r="V439" s="264"/>
      <c r="W439" s="283"/>
      <c r="X439" s="288"/>
      <c r="Z439" s="1002"/>
      <c r="AS439" s="1355"/>
      <c r="BK439" s="256"/>
      <c r="BO439" s="1363"/>
      <c r="BX439" s="257"/>
      <c r="BY439" s="256"/>
      <c r="BZ439" s="258"/>
      <c r="CA439" s="258"/>
      <c r="CB439" s="256"/>
      <c r="CC439" s="1013"/>
      <c r="CD439" s="1012"/>
      <c r="CE439" s="268"/>
      <c r="CF439" s="411"/>
      <c r="CG439" s="419"/>
      <c r="CH439" s="411"/>
      <c r="CI439" s="411"/>
      <c r="CJ439" s="411"/>
      <c r="CK439" s="419"/>
      <c r="CL439" s="411"/>
      <c r="CM439" s="411"/>
      <c r="CN439" s="411"/>
      <c r="CO439" s="419"/>
      <c r="CP439" s="411"/>
      <c r="CQ439" s="411"/>
      <c r="CR439" s="411"/>
      <c r="CS439" s="411"/>
      <c r="CT439" s="411"/>
      <c r="CU439" s="411"/>
      <c r="CV439" s="411"/>
      <c r="CW439" s="411"/>
      <c r="CX439" s="411"/>
      <c r="CY439" s="419"/>
      <c r="CZ439" s="411"/>
      <c r="DA439" s="411"/>
      <c r="DB439" s="411"/>
      <c r="DC439" s="419"/>
      <c r="DD439" s="411"/>
      <c r="DE439" s="411"/>
      <c r="DF439" s="411"/>
      <c r="DG439" s="419"/>
      <c r="DH439" s="411"/>
      <c r="DI439" s="411"/>
      <c r="DJ439" s="411"/>
      <c r="DK439" s="411"/>
      <c r="DL439" s="411"/>
      <c r="DM439" s="411"/>
      <c r="DN439" s="411"/>
      <c r="DO439" s="411"/>
      <c r="DP439" s="411"/>
      <c r="DQ439" s="411"/>
      <c r="DR439" s="411"/>
      <c r="DS439" s="411"/>
      <c r="DT439" s="411"/>
      <c r="DU439" s="419"/>
      <c r="DV439" s="411"/>
      <c r="DW439" s="411"/>
      <c r="DX439" s="415"/>
      <c r="DY439" s="268"/>
      <c r="DZ439" s="268"/>
      <c r="EA439" s="268"/>
      <c r="EB439" s="268"/>
      <c r="EC439" s="268"/>
      <c r="ED439" s="268"/>
      <c r="EE439" s="268"/>
      <c r="EF439" s="268"/>
      <c r="EG439" s="268"/>
      <c r="EH439" s="268"/>
      <c r="EI439" s="268"/>
      <c r="EJ439" s="268"/>
    </row>
    <row r="440" spans="1:140" s="269" customFormat="1" x14ac:dyDescent="0.2">
      <c r="A440" s="288"/>
      <c r="B440" s="267"/>
      <c r="D440" s="264"/>
      <c r="E440" s="467"/>
      <c r="F440" s="264"/>
      <c r="G440" s="400"/>
      <c r="H440" s="264"/>
      <c r="I440" s="467"/>
      <c r="J440" s="264"/>
      <c r="K440" s="264"/>
      <c r="L440" s="264"/>
      <c r="M440" s="264"/>
      <c r="N440" s="264"/>
      <c r="O440" s="264"/>
      <c r="P440" s="264"/>
      <c r="Q440" s="264"/>
      <c r="R440" s="264"/>
      <c r="S440" s="264"/>
      <c r="T440" s="264"/>
      <c r="U440" s="264"/>
      <c r="V440" s="264"/>
      <c r="W440" s="283"/>
      <c r="X440" s="288"/>
      <c r="Z440" s="1002"/>
      <c r="AS440" s="1355"/>
      <c r="BK440" s="256"/>
      <c r="BO440" s="1363"/>
      <c r="BX440" s="257"/>
      <c r="BY440" s="256"/>
      <c r="BZ440" s="258"/>
      <c r="CA440" s="258"/>
      <c r="CB440" s="256"/>
      <c r="CC440" s="1013"/>
      <c r="CD440" s="1012"/>
      <c r="CE440" s="268"/>
      <c r="CF440" s="411"/>
      <c r="CG440" s="419"/>
      <c r="CH440" s="411"/>
      <c r="CI440" s="411"/>
      <c r="CJ440" s="411"/>
      <c r="CK440" s="419"/>
      <c r="CL440" s="411"/>
      <c r="CM440" s="411"/>
      <c r="CN440" s="411"/>
      <c r="CO440" s="419"/>
      <c r="CP440" s="411"/>
      <c r="CQ440" s="411"/>
      <c r="CR440" s="411"/>
      <c r="CS440" s="411"/>
      <c r="CT440" s="411"/>
      <c r="CU440" s="411"/>
      <c r="CV440" s="411"/>
      <c r="CW440" s="411"/>
      <c r="CX440" s="411"/>
      <c r="CY440" s="419"/>
      <c r="CZ440" s="411"/>
      <c r="DA440" s="411"/>
      <c r="DB440" s="411"/>
      <c r="DC440" s="419"/>
      <c r="DD440" s="411"/>
      <c r="DE440" s="411"/>
      <c r="DF440" s="411"/>
      <c r="DG440" s="419"/>
      <c r="DH440" s="411"/>
      <c r="DI440" s="411"/>
      <c r="DJ440" s="411"/>
      <c r="DK440" s="411"/>
      <c r="DL440" s="411"/>
      <c r="DM440" s="411"/>
      <c r="DN440" s="411"/>
      <c r="DO440" s="411"/>
      <c r="DP440" s="411"/>
      <c r="DQ440" s="411"/>
      <c r="DR440" s="411"/>
      <c r="DS440" s="411"/>
      <c r="DT440" s="411"/>
      <c r="DU440" s="419"/>
      <c r="DV440" s="411"/>
      <c r="DW440" s="411"/>
      <c r="DX440" s="415"/>
      <c r="DY440" s="268"/>
      <c r="DZ440" s="268"/>
      <c r="EA440" s="268"/>
      <c r="EB440" s="268"/>
      <c r="EC440" s="268"/>
      <c r="ED440" s="268"/>
      <c r="EE440" s="268"/>
      <c r="EF440" s="268"/>
      <c r="EG440" s="268"/>
      <c r="EH440" s="268"/>
      <c r="EI440" s="268"/>
      <c r="EJ440" s="268"/>
    </row>
    <row r="441" spans="1:140" s="269" customFormat="1" x14ac:dyDescent="0.2">
      <c r="A441" s="288"/>
      <c r="B441" s="267"/>
      <c r="D441" s="264"/>
      <c r="E441" s="467"/>
      <c r="F441" s="264"/>
      <c r="G441" s="400"/>
      <c r="H441" s="264"/>
      <c r="I441" s="467"/>
      <c r="J441" s="264"/>
      <c r="K441" s="264"/>
      <c r="L441" s="264"/>
      <c r="M441" s="264"/>
      <c r="N441" s="264"/>
      <c r="O441" s="264"/>
      <c r="P441" s="264"/>
      <c r="Q441" s="264"/>
      <c r="R441" s="264"/>
      <c r="S441" s="264"/>
      <c r="T441" s="264"/>
      <c r="U441" s="264"/>
      <c r="V441" s="264"/>
      <c r="W441" s="283"/>
      <c r="X441" s="288"/>
      <c r="Z441" s="1002"/>
      <c r="AS441" s="1355"/>
      <c r="BK441" s="256"/>
      <c r="BO441" s="1363"/>
      <c r="BX441" s="257"/>
      <c r="BY441" s="256"/>
      <c r="BZ441" s="258"/>
      <c r="CA441" s="258"/>
      <c r="CB441" s="256"/>
      <c r="CC441" s="1013"/>
      <c r="CD441" s="1012"/>
      <c r="CE441" s="268"/>
      <c r="CF441" s="411"/>
      <c r="CG441" s="419"/>
      <c r="CH441" s="411"/>
      <c r="CI441" s="411"/>
      <c r="CJ441" s="411"/>
      <c r="CK441" s="419"/>
      <c r="CL441" s="411"/>
      <c r="CM441" s="411"/>
      <c r="CN441" s="411"/>
      <c r="CO441" s="419"/>
      <c r="CP441" s="411"/>
      <c r="CQ441" s="411"/>
      <c r="CR441" s="411"/>
      <c r="CS441" s="411"/>
      <c r="CT441" s="411"/>
      <c r="CU441" s="411"/>
      <c r="CV441" s="411"/>
      <c r="CW441" s="411"/>
      <c r="CX441" s="411"/>
      <c r="CY441" s="419"/>
      <c r="CZ441" s="411"/>
      <c r="DA441" s="411"/>
      <c r="DB441" s="411"/>
      <c r="DC441" s="419"/>
      <c r="DD441" s="411"/>
      <c r="DE441" s="411"/>
      <c r="DF441" s="411"/>
      <c r="DG441" s="419"/>
      <c r="DH441" s="411"/>
      <c r="DI441" s="411"/>
      <c r="DJ441" s="411"/>
      <c r="DK441" s="411"/>
      <c r="DL441" s="411"/>
      <c r="DM441" s="411"/>
      <c r="DN441" s="411"/>
      <c r="DO441" s="411"/>
      <c r="DP441" s="411"/>
      <c r="DQ441" s="411"/>
      <c r="DR441" s="411"/>
      <c r="DS441" s="411"/>
      <c r="DT441" s="411"/>
      <c r="DU441" s="419"/>
      <c r="DV441" s="411"/>
      <c r="DW441" s="411"/>
      <c r="DX441" s="415"/>
      <c r="DY441" s="268"/>
      <c r="DZ441" s="268"/>
      <c r="EA441" s="268"/>
      <c r="EB441" s="268"/>
      <c r="EC441" s="268"/>
      <c r="ED441" s="268"/>
      <c r="EE441" s="268"/>
      <c r="EF441" s="268"/>
      <c r="EG441" s="268"/>
      <c r="EH441" s="268"/>
      <c r="EI441" s="268"/>
      <c r="EJ441" s="268"/>
    </row>
    <row r="442" spans="1:140" s="269" customFormat="1" x14ac:dyDescent="0.2">
      <c r="A442" s="288"/>
      <c r="B442" s="267"/>
      <c r="D442" s="264"/>
      <c r="E442" s="467"/>
      <c r="F442" s="264"/>
      <c r="G442" s="400"/>
      <c r="H442" s="264"/>
      <c r="I442" s="467"/>
      <c r="J442" s="264"/>
      <c r="K442" s="264"/>
      <c r="L442" s="264"/>
      <c r="M442" s="264"/>
      <c r="N442" s="264"/>
      <c r="O442" s="264"/>
      <c r="P442" s="264"/>
      <c r="Q442" s="264"/>
      <c r="R442" s="264"/>
      <c r="S442" s="264"/>
      <c r="T442" s="264"/>
      <c r="U442" s="264"/>
      <c r="V442" s="264"/>
      <c r="W442" s="283"/>
      <c r="X442" s="288"/>
      <c r="Z442" s="1002"/>
      <c r="AS442" s="1355"/>
      <c r="BK442" s="256"/>
      <c r="BO442" s="1363"/>
      <c r="BX442" s="257"/>
      <c r="BY442" s="256"/>
      <c r="BZ442" s="258"/>
      <c r="CA442" s="258"/>
      <c r="CB442" s="256"/>
      <c r="CC442" s="1013"/>
      <c r="CD442" s="1012"/>
      <c r="CE442" s="268"/>
      <c r="CF442" s="411"/>
      <c r="CG442" s="419"/>
      <c r="CH442" s="411"/>
      <c r="CI442" s="411"/>
      <c r="CJ442" s="411"/>
      <c r="CK442" s="419"/>
      <c r="CL442" s="411"/>
      <c r="CM442" s="411"/>
      <c r="CN442" s="411"/>
      <c r="CO442" s="419"/>
      <c r="CP442" s="411"/>
      <c r="CQ442" s="411"/>
      <c r="CR442" s="411"/>
      <c r="CS442" s="411"/>
      <c r="CT442" s="411"/>
      <c r="CU442" s="411"/>
      <c r="CV442" s="411"/>
      <c r="CW442" s="411"/>
      <c r="CX442" s="411"/>
      <c r="CY442" s="419"/>
      <c r="CZ442" s="411"/>
      <c r="DA442" s="411"/>
      <c r="DB442" s="411"/>
      <c r="DC442" s="419"/>
      <c r="DD442" s="411"/>
      <c r="DE442" s="411"/>
      <c r="DF442" s="411"/>
      <c r="DG442" s="419"/>
      <c r="DH442" s="411"/>
      <c r="DI442" s="411"/>
      <c r="DJ442" s="411"/>
      <c r="DK442" s="411"/>
      <c r="DL442" s="411"/>
      <c r="DM442" s="411"/>
      <c r="DN442" s="411"/>
      <c r="DO442" s="411"/>
      <c r="DP442" s="411"/>
      <c r="DQ442" s="411"/>
      <c r="DR442" s="411"/>
      <c r="DS442" s="411"/>
      <c r="DT442" s="411"/>
      <c r="DU442" s="419"/>
      <c r="DV442" s="411"/>
      <c r="DW442" s="411"/>
      <c r="DX442" s="415"/>
      <c r="DY442" s="268"/>
      <c r="DZ442" s="268"/>
      <c r="EA442" s="268"/>
      <c r="EB442" s="268"/>
      <c r="EC442" s="268"/>
      <c r="ED442" s="268"/>
      <c r="EE442" s="268"/>
      <c r="EF442" s="268"/>
      <c r="EG442" s="268"/>
      <c r="EH442" s="268"/>
      <c r="EI442" s="268"/>
      <c r="EJ442" s="268"/>
    </row>
    <row r="443" spans="1:140" s="269" customFormat="1" x14ac:dyDescent="0.2">
      <c r="A443" s="288"/>
      <c r="B443" s="267"/>
      <c r="D443" s="264"/>
      <c r="E443" s="467"/>
      <c r="F443" s="264"/>
      <c r="G443" s="400"/>
      <c r="H443" s="264"/>
      <c r="I443" s="467"/>
      <c r="J443" s="264"/>
      <c r="K443" s="264"/>
      <c r="L443" s="264"/>
      <c r="M443" s="264"/>
      <c r="N443" s="264"/>
      <c r="O443" s="264"/>
      <c r="P443" s="264"/>
      <c r="Q443" s="264"/>
      <c r="R443" s="264"/>
      <c r="S443" s="264"/>
      <c r="T443" s="264"/>
      <c r="U443" s="264"/>
      <c r="V443" s="264"/>
      <c r="W443" s="283"/>
      <c r="X443" s="288"/>
      <c r="Z443" s="1002"/>
      <c r="AS443" s="1355"/>
      <c r="BK443" s="256"/>
      <c r="BO443" s="1363"/>
      <c r="BX443" s="257"/>
      <c r="BY443" s="256"/>
      <c r="BZ443" s="258"/>
      <c r="CA443" s="258"/>
      <c r="CB443" s="256"/>
      <c r="CC443" s="1013"/>
      <c r="CD443" s="1012"/>
      <c r="CE443" s="268"/>
      <c r="CF443" s="411"/>
      <c r="CG443" s="419"/>
      <c r="CH443" s="411"/>
      <c r="CI443" s="411"/>
      <c r="CJ443" s="411"/>
      <c r="CK443" s="419"/>
      <c r="CL443" s="411"/>
      <c r="CM443" s="411"/>
      <c r="CN443" s="411"/>
      <c r="CO443" s="419"/>
      <c r="CP443" s="411"/>
      <c r="CQ443" s="411"/>
      <c r="CR443" s="411"/>
      <c r="CS443" s="411"/>
      <c r="CT443" s="411"/>
      <c r="CU443" s="411"/>
      <c r="CV443" s="411"/>
      <c r="CW443" s="411"/>
      <c r="CX443" s="411"/>
      <c r="CY443" s="419"/>
      <c r="CZ443" s="411"/>
      <c r="DA443" s="411"/>
      <c r="DB443" s="411"/>
      <c r="DC443" s="419"/>
      <c r="DD443" s="411"/>
      <c r="DE443" s="411"/>
      <c r="DF443" s="411"/>
      <c r="DG443" s="419"/>
      <c r="DH443" s="411"/>
      <c r="DI443" s="411"/>
      <c r="DJ443" s="411"/>
      <c r="DK443" s="411"/>
      <c r="DL443" s="411"/>
      <c r="DM443" s="411"/>
      <c r="DN443" s="411"/>
      <c r="DO443" s="411"/>
      <c r="DP443" s="411"/>
      <c r="DQ443" s="411"/>
      <c r="DR443" s="411"/>
      <c r="DS443" s="411"/>
      <c r="DT443" s="411"/>
      <c r="DU443" s="419"/>
      <c r="DV443" s="411"/>
      <c r="DW443" s="411"/>
      <c r="DX443" s="415"/>
      <c r="DY443" s="268"/>
      <c r="DZ443" s="268"/>
      <c r="EA443" s="268"/>
      <c r="EB443" s="268"/>
      <c r="EC443" s="268"/>
      <c r="ED443" s="268"/>
      <c r="EE443" s="268"/>
      <c r="EF443" s="268"/>
      <c r="EG443" s="268"/>
      <c r="EH443" s="268"/>
      <c r="EI443" s="268"/>
      <c r="EJ443" s="268"/>
    </row>
    <row r="444" spans="1:140" s="269" customFormat="1" x14ac:dyDescent="0.2">
      <c r="A444" s="288"/>
      <c r="B444" s="267"/>
      <c r="D444" s="264"/>
      <c r="E444" s="467"/>
      <c r="F444" s="264"/>
      <c r="G444" s="400"/>
      <c r="H444" s="264"/>
      <c r="I444" s="467"/>
      <c r="J444" s="264"/>
      <c r="K444" s="264"/>
      <c r="L444" s="264"/>
      <c r="M444" s="264"/>
      <c r="N444" s="264"/>
      <c r="O444" s="264"/>
      <c r="P444" s="264"/>
      <c r="Q444" s="264"/>
      <c r="R444" s="264"/>
      <c r="S444" s="264"/>
      <c r="T444" s="264"/>
      <c r="U444" s="264"/>
      <c r="V444" s="264"/>
      <c r="W444" s="283"/>
      <c r="X444" s="288"/>
      <c r="Z444" s="1002"/>
      <c r="AS444" s="1355"/>
      <c r="BK444" s="256"/>
      <c r="BO444" s="1363"/>
      <c r="BX444" s="257"/>
      <c r="BY444" s="256"/>
      <c r="BZ444" s="258"/>
      <c r="CA444" s="258"/>
      <c r="CB444" s="256"/>
      <c r="CC444" s="1013"/>
      <c r="CD444" s="1012"/>
      <c r="CE444" s="268"/>
      <c r="CF444" s="411"/>
      <c r="CG444" s="419"/>
      <c r="CH444" s="411"/>
      <c r="CI444" s="411"/>
      <c r="CJ444" s="411"/>
      <c r="CK444" s="419"/>
      <c r="CL444" s="411"/>
      <c r="CM444" s="411"/>
      <c r="CN444" s="411"/>
      <c r="CO444" s="419"/>
      <c r="CP444" s="411"/>
      <c r="CQ444" s="411"/>
      <c r="CR444" s="411"/>
      <c r="CS444" s="411"/>
      <c r="CT444" s="411"/>
      <c r="CU444" s="411"/>
      <c r="CV444" s="411"/>
      <c r="CW444" s="411"/>
      <c r="CX444" s="411"/>
      <c r="CY444" s="419"/>
      <c r="CZ444" s="411"/>
      <c r="DA444" s="411"/>
      <c r="DB444" s="411"/>
      <c r="DC444" s="419"/>
      <c r="DD444" s="411"/>
      <c r="DE444" s="411"/>
      <c r="DF444" s="411"/>
      <c r="DG444" s="419"/>
      <c r="DH444" s="411"/>
      <c r="DI444" s="411"/>
      <c r="DJ444" s="411"/>
      <c r="DK444" s="411"/>
      <c r="DL444" s="411"/>
      <c r="DM444" s="411"/>
      <c r="DN444" s="411"/>
      <c r="DO444" s="411"/>
      <c r="DP444" s="411"/>
      <c r="DQ444" s="411"/>
      <c r="DR444" s="411"/>
      <c r="DS444" s="411"/>
      <c r="DT444" s="411"/>
      <c r="DU444" s="419"/>
      <c r="DV444" s="411"/>
      <c r="DW444" s="411"/>
      <c r="DX444" s="415"/>
      <c r="DY444" s="268"/>
      <c r="DZ444" s="268"/>
      <c r="EA444" s="268"/>
      <c r="EB444" s="268"/>
      <c r="EC444" s="268"/>
      <c r="ED444" s="268"/>
      <c r="EE444" s="268"/>
      <c r="EF444" s="268"/>
      <c r="EG444" s="268"/>
      <c r="EH444" s="268"/>
      <c r="EI444" s="268"/>
      <c r="EJ444" s="268"/>
    </row>
    <row r="445" spans="1:140" s="269" customFormat="1" x14ac:dyDescent="0.2">
      <c r="A445" s="288"/>
      <c r="B445" s="267"/>
      <c r="D445" s="264"/>
      <c r="E445" s="467"/>
      <c r="F445" s="264"/>
      <c r="G445" s="400"/>
      <c r="H445" s="264"/>
      <c r="I445" s="467"/>
      <c r="J445" s="264"/>
      <c r="K445" s="264"/>
      <c r="L445" s="264"/>
      <c r="M445" s="264"/>
      <c r="N445" s="264"/>
      <c r="O445" s="264"/>
      <c r="P445" s="264"/>
      <c r="Q445" s="264"/>
      <c r="R445" s="264"/>
      <c r="S445" s="264"/>
      <c r="T445" s="264"/>
      <c r="U445" s="264"/>
      <c r="V445" s="264"/>
      <c r="W445" s="283"/>
      <c r="X445" s="288"/>
      <c r="Z445" s="1002"/>
      <c r="AS445" s="1355"/>
      <c r="BK445" s="256"/>
      <c r="BO445" s="1363"/>
      <c r="BX445" s="257"/>
      <c r="BY445" s="256"/>
      <c r="BZ445" s="258"/>
      <c r="CA445" s="258"/>
      <c r="CB445" s="256"/>
      <c r="CC445" s="1013"/>
      <c r="CD445" s="1012"/>
      <c r="CE445" s="268"/>
      <c r="CF445" s="411"/>
      <c r="CG445" s="419"/>
      <c r="CH445" s="411"/>
      <c r="CI445" s="411"/>
      <c r="CJ445" s="411"/>
      <c r="CK445" s="419"/>
      <c r="CL445" s="411"/>
      <c r="CM445" s="411"/>
      <c r="CN445" s="411"/>
      <c r="CO445" s="419"/>
      <c r="CP445" s="411"/>
      <c r="CQ445" s="411"/>
      <c r="CR445" s="411"/>
      <c r="CS445" s="411"/>
      <c r="CT445" s="411"/>
      <c r="CU445" s="411"/>
      <c r="CV445" s="411"/>
      <c r="CW445" s="411"/>
      <c r="CX445" s="411"/>
      <c r="CY445" s="419"/>
      <c r="CZ445" s="411"/>
      <c r="DA445" s="411"/>
      <c r="DB445" s="411"/>
      <c r="DC445" s="419"/>
      <c r="DD445" s="411"/>
      <c r="DE445" s="411"/>
      <c r="DF445" s="411"/>
      <c r="DG445" s="419"/>
      <c r="DH445" s="411"/>
      <c r="DI445" s="411"/>
      <c r="DJ445" s="411"/>
      <c r="DK445" s="411"/>
      <c r="DL445" s="411"/>
      <c r="DM445" s="411"/>
      <c r="DN445" s="411"/>
      <c r="DO445" s="411"/>
      <c r="DP445" s="411"/>
      <c r="DQ445" s="411"/>
      <c r="DR445" s="411"/>
      <c r="DS445" s="411"/>
      <c r="DT445" s="411"/>
      <c r="DU445" s="419"/>
      <c r="DV445" s="411"/>
      <c r="DW445" s="411"/>
      <c r="DX445" s="415"/>
      <c r="DY445" s="268"/>
      <c r="DZ445" s="268"/>
      <c r="EA445" s="268"/>
      <c r="EB445" s="268"/>
      <c r="EC445" s="268"/>
      <c r="ED445" s="268"/>
      <c r="EE445" s="268"/>
      <c r="EF445" s="268"/>
      <c r="EG445" s="268"/>
      <c r="EH445" s="268"/>
      <c r="EI445" s="268"/>
      <c r="EJ445" s="268"/>
    </row>
    <row r="446" spans="1:140" s="269" customFormat="1" x14ac:dyDescent="0.2">
      <c r="A446" s="288"/>
      <c r="B446" s="267"/>
      <c r="D446" s="264"/>
      <c r="E446" s="467"/>
      <c r="F446" s="264"/>
      <c r="G446" s="400"/>
      <c r="H446" s="264"/>
      <c r="I446" s="467"/>
      <c r="J446" s="264"/>
      <c r="K446" s="264"/>
      <c r="L446" s="264"/>
      <c r="M446" s="264"/>
      <c r="N446" s="264"/>
      <c r="O446" s="264"/>
      <c r="P446" s="264"/>
      <c r="Q446" s="264"/>
      <c r="R446" s="264"/>
      <c r="S446" s="264"/>
      <c r="T446" s="264"/>
      <c r="U446" s="264"/>
      <c r="V446" s="264"/>
      <c r="W446" s="283"/>
      <c r="X446" s="288"/>
      <c r="Z446" s="1002"/>
      <c r="AS446" s="1355"/>
      <c r="BK446" s="256"/>
      <c r="BO446" s="1363"/>
      <c r="BX446" s="257"/>
      <c r="BY446" s="256"/>
      <c r="BZ446" s="258"/>
      <c r="CA446" s="258"/>
      <c r="CB446" s="256"/>
      <c r="CC446" s="1013"/>
      <c r="CD446" s="1012"/>
      <c r="CE446" s="268"/>
      <c r="CF446" s="411"/>
      <c r="CG446" s="419"/>
      <c r="CH446" s="411"/>
      <c r="CI446" s="411"/>
      <c r="CJ446" s="411"/>
      <c r="CK446" s="419"/>
      <c r="CL446" s="411"/>
      <c r="CM446" s="411"/>
      <c r="CN446" s="411"/>
      <c r="CO446" s="419"/>
      <c r="CP446" s="411"/>
      <c r="CQ446" s="411"/>
      <c r="CR446" s="411"/>
      <c r="CS446" s="411"/>
      <c r="CT446" s="411"/>
      <c r="CU446" s="411"/>
      <c r="CV446" s="411"/>
      <c r="CW446" s="411"/>
      <c r="CX446" s="411"/>
      <c r="CY446" s="419"/>
      <c r="CZ446" s="411"/>
      <c r="DA446" s="411"/>
      <c r="DB446" s="411"/>
      <c r="DC446" s="419"/>
      <c r="DD446" s="411"/>
      <c r="DE446" s="411"/>
      <c r="DF446" s="411"/>
      <c r="DG446" s="419"/>
      <c r="DH446" s="411"/>
      <c r="DI446" s="411"/>
      <c r="DJ446" s="411"/>
      <c r="DK446" s="411"/>
      <c r="DL446" s="411"/>
      <c r="DM446" s="411"/>
      <c r="DN446" s="411"/>
      <c r="DO446" s="411"/>
      <c r="DP446" s="411"/>
      <c r="DQ446" s="411"/>
      <c r="DR446" s="411"/>
      <c r="DS446" s="411"/>
      <c r="DT446" s="411"/>
      <c r="DU446" s="419"/>
      <c r="DV446" s="411"/>
      <c r="DW446" s="411"/>
      <c r="DX446" s="415"/>
      <c r="DY446" s="268"/>
      <c r="DZ446" s="268"/>
      <c r="EA446" s="268"/>
      <c r="EB446" s="268"/>
      <c r="EC446" s="268"/>
      <c r="ED446" s="268"/>
      <c r="EE446" s="268"/>
      <c r="EF446" s="268"/>
      <c r="EG446" s="268"/>
      <c r="EH446" s="268"/>
      <c r="EI446" s="268"/>
      <c r="EJ446" s="268"/>
    </row>
    <row r="447" spans="1:140" s="269" customFormat="1" x14ac:dyDescent="0.2">
      <c r="A447" s="288"/>
      <c r="B447" s="267"/>
      <c r="D447" s="264"/>
      <c r="E447" s="467"/>
      <c r="F447" s="264"/>
      <c r="G447" s="400"/>
      <c r="H447" s="264"/>
      <c r="I447" s="467"/>
      <c r="J447" s="264"/>
      <c r="K447" s="264"/>
      <c r="L447" s="264"/>
      <c r="M447" s="264"/>
      <c r="N447" s="264"/>
      <c r="O447" s="264"/>
      <c r="P447" s="264"/>
      <c r="Q447" s="264"/>
      <c r="R447" s="264"/>
      <c r="S447" s="264"/>
      <c r="T447" s="264"/>
      <c r="U447" s="264"/>
      <c r="V447" s="264"/>
      <c r="W447" s="283"/>
      <c r="X447" s="288"/>
      <c r="Z447" s="1002"/>
      <c r="AS447" s="1355"/>
      <c r="BK447" s="256"/>
      <c r="BO447" s="1363"/>
      <c r="BX447" s="257"/>
      <c r="BY447" s="256"/>
      <c r="BZ447" s="258"/>
      <c r="CA447" s="258"/>
      <c r="CB447" s="256"/>
      <c r="CC447" s="1013"/>
      <c r="CD447" s="1012"/>
      <c r="CE447" s="268"/>
      <c r="CF447" s="411"/>
      <c r="CG447" s="419"/>
      <c r="CH447" s="411"/>
      <c r="CI447" s="411"/>
      <c r="CJ447" s="411"/>
      <c r="CK447" s="419"/>
      <c r="CL447" s="411"/>
      <c r="CM447" s="411"/>
      <c r="CN447" s="411"/>
      <c r="CO447" s="419"/>
      <c r="CP447" s="411"/>
      <c r="CQ447" s="411"/>
      <c r="CR447" s="411"/>
      <c r="CS447" s="411"/>
      <c r="CT447" s="411"/>
      <c r="CU447" s="411"/>
      <c r="CV447" s="411"/>
      <c r="CW447" s="411"/>
      <c r="CX447" s="411"/>
      <c r="CY447" s="419"/>
      <c r="CZ447" s="411"/>
      <c r="DA447" s="411"/>
      <c r="DB447" s="411"/>
      <c r="DC447" s="419"/>
      <c r="DD447" s="411"/>
      <c r="DE447" s="411"/>
      <c r="DF447" s="411"/>
      <c r="DG447" s="419"/>
      <c r="DH447" s="411"/>
      <c r="DI447" s="411"/>
      <c r="DJ447" s="411"/>
      <c r="DK447" s="411"/>
      <c r="DL447" s="411"/>
      <c r="DM447" s="411"/>
      <c r="DN447" s="411"/>
      <c r="DO447" s="411"/>
      <c r="DP447" s="411"/>
      <c r="DQ447" s="411"/>
      <c r="DR447" s="411"/>
      <c r="DS447" s="411"/>
      <c r="DT447" s="411"/>
      <c r="DU447" s="419"/>
      <c r="DV447" s="411"/>
      <c r="DW447" s="411"/>
      <c r="DX447" s="415"/>
      <c r="DY447" s="268"/>
      <c r="DZ447" s="268"/>
      <c r="EA447" s="268"/>
      <c r="EB447" s="268"/>
      <c r="EC447" s="268"/>
      <c r="ED447" s="268"/>
      <c r="EE447" s="268"/>
      <c r="EF447" s="268"/>
      <c r="EG447" s="268"/>
      <c r="EH447" s="268"/>
      <c r="EI447" s="268"/>
      <c r="EJ447" s="268"/>
    </row>
    <row r="448" spans="1:140" s="269" customFormat="1" x14ac:dyDescent="0.2">
      <c r="A448" s="288"/>
      <c r="B448" s="267"/>
      <c r="D448" s="264"/>
      <c r="E448" s="467"/>
      <c r="F448" s="264"/>
      <c r="G448" s="400"/>
      <c r="H448" s="264"/>
      <c r="I448" s="467"/>
      <c r="J448" s="264"/>
      <c r="K448" s="264"/>
      <c r="L448" s="264"/>
      <c r="M448" s="264"/>
      <c r="N448" s="264"/>
      <c r="O448" s="264"/>
      <c r="P448" s="264"/>
      <c r="Q448" s="264"/>
      <c r="R448" s="264"/>
      <c r="S448" s="264"/>
      <c r="T448" s="264"/>
      <c r="U448" s="264"/>
      <c r="V448" s="264"/>
      <c r="W448" s="283"/>
      <c r="X448" s="288"/>
      <c r="Z448" s="1002"/>
      <c r="AS448" s="1355"/>
      <c r="BK448" s="256"/>
      <c r="BO448" s="1363"/>
      <c r="BX448" s="257"/>
      <c r="BY448" s="256"/>
      <c r="BZ448" s="258"/>
      <c r="CA448" s="258"/>
      <c r="CB448" s="256"/>
      <c r="CC448" s="1013"/>
      <c r="CD448" s="1012"/>
      <c r="CE448" s="268"/>
      <c r="CF448" s="411"/>
      <c r="CG448" s="419"/>
      <c r="CH448" s="411"/>
      <c r="CI448" s="411"/>
      <c r="CJ448" s="411"/>
      <c r="CK448" s="419"/>
      <c r="CL448" s="411"/>
      <c r="CM448" s="411"/>
      <c r="CN448" s="411"/>
      <c r="CO448" s="419"/>
      <c r="CP448" s="411"/>
      <c r="CQ448" s="411"/>
      <c r="CR448" s="411"/>
      <c r="CS448" s="411"/>
      <c r="CT448" s="411"/>
      <c r="CU448" s="411"/>
      <c r="CV448" s="411"/>
      <c r="CW448" s="411"/>
      <c r="CX448" s="411"/>
      <c r="CY448" s="419"/>
      <c r="CZ448" s="411"/>
      <c r="DA448" s="411"/>
      <c r="DB448" s="411"/>
      <c r="DC448" s="419"/>
      <c r="DD448" s="411"/>
      <c r="DE448" s="411"/>
      <c r="DF448" s="411"/>
      <c r="DG448" s="419"/>
      <c r="DH448" s="411"/>
      <c r="DI448" s="411"/>
      <c r="DJ448" s="411"/>
      <c r="DK448" s="411"/>
      <c r="DL448" s="411"/>
      <c r="DM448" s="411"/>
      <c r="DN448" s="411"/>
      <c r="DO448" s="411"/>
      <c r="DP448" s="411"/>
      <c r="DQ448" s="411"/>
      <c r="DR448" s="411"/>
      <c r="DS448" s="411"/>
      <c r="DT448" s="411"/>
      <c r="DU448" s="419"/>
      <c r="DV448" s="411"/>
      <c r="DW448" s="411"/>
      <c r="DX448" s="415"/>
      <c r="DY448" s="268"/>
      <c r="DZ448" s="268"/>
      <c r="EA448" s="268"/>
      <c r="EB448" s="268"/>
      <c r="EC448" s="268"/>
      <c r="ED448" s="268"/>
      <c r="EE448" s="268"/>
      <c r="EF448" s="268"/>
      <c r="EG448" s="268"/>
      <c r="EH448" s="268"/>
      <c r="EI448" s="268"/>
      <c r="EJ448" s="268"/>
    </row>
    <row r="449" spans="1:140" s="269" customFormat="1" x14ac:dyDescent="0.2">
      <c r="A449" s="288"/>
      <c r="B449" s="267"/>
      <c r="D449" s="264"/>
      <c r="E449" s="467"/>
      <c r="F449" s="264"/>
      <c r="G449" s="400"/>
      <c r="H449" s="264"/>
      <c r="I449" s="467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/>
      <c r="U449" s="264"/>
      <c r="V449" s="264"/>
      <c r="W449" s="283"/>
      <c r="X449" s="288"/>
      <c r="Z449" s="1002"/>
      <c r="AS449" s="1355"/>
      <c r="BK449" s="256"/>
      <c r="BO449" s="1363"/>
      <c r="BX449" s="257"/>
      <c r="BY449" s="256"/>
      <c r="BZ449" s="258"/>
      <c r="CA449" s="258"/>
      <c r="CB449" s="256"/>
      <c r="CC449" s="1013"/>
      <c r="CD449" s="1012"/>
      <c r="CE449" s="268"/>
      <c r="CF449" s="411"/>
      <c r="CG449" s="419"/>
      <c r="CH449" s="411"/>
      <c r="CI449" s="411"/>
      <c r="CJ449" s="411"/>
      <c r="CK449" s="419"/>
      <c r="CL449" s="411"/>
      <c r="CM449" s="411"/>
      <c r="CN449" s="411"/>
      <c r="CO449" s="419"/>
      <c r="CP449" s="411"/>
      <c r="CQ449" s="411"/>
      <c r="CR449" s="411"/>
      <c r="CS449" s="411"/>
      <c r="CT449" s="411"/>
      <c r="CU449" s="411"/>
      <c r="CV449" s="411"/>
      <c r="CW449" s="411"/>
      <c r="CX449" s="411"/>
      <c r="CY449" s="419"/>
      <c r="CZ449" s="411"/>
      <c r="DA449" s="411"/>
      <c r="DB449" s="411"/>
      <c r="DC449" s="419"/>
      <c r="DD449" s="411"/>
      <c r="DE449" s="411"/>
      <c r="DF449" s="411"/>
      <c r="DG449" s="419"/>
      <c r="DH449" s="411"/>
      <c r="DI449" s="411"/>
      <c r="DJ449" s="411"/>
      <c r="DK449" s="411"/>
      <c r="DL449" s="411"/>
      <c r="DM449" s="411"/>
      <c r="DN449" s="411"/>
      <c r="DO449" s="411"/>
      <c r="DP449" s="411"/>
      <c r="DQ449" s="411"/>
      <c r="DR449" s="411"/>
      <c r="DS449" s="411"/>
      <c r="DT449" s="411"/>
      <c r="DU449" s="419"/>
      <c r="DV449" s="411"/>
      <c r="DW449" s="411"/>
      <c r="DX449" s="415"/>
      <c r="DY449" s="268"/>
      <c r="DZ449" s="268"/>
      <c r="EA449" s="268"/>
      <c r="EB449" s="268"/>
      <c r="EC449" s="268"/>
      <c r="ED449" s="268"/>
      <c r="EE449" s="268"/>
      <c r="EF449" s="268"/>
      <c r="EG449" s="268"/>
      <c r="EH449" s="268"/>
      <c r="EI449" s="268"/>
      <c r="EJ449" s="268"/>
    </row>
    <row r="450" spans="1:140" s="269" customFormat="1" x14ac:dyDescent="0.2">
      <c r="A450" s="288"/>
      <c r="B450" s="267"/>
      <c r="D450" s="264"/>
      <c r="E450" s="467"/>
      <c r="F450" s="264"/>
      <c r="G450" s="400"/>
      <c r="H450" s="264"/>
      <c r="I450" s="467"/>
      <c r="J450" s="264"/>
      <c r="K450" s="264"/>
      <c r="L450" s="264"/>
      <c r="M450" s="264"/>
      <c r="N450" s="264"/>
      <c r="O450" s="264"/>
      <c r="P450" s="264"/>
      <c r="Q450" s="264"/>
      <c r="R450" s="264"/>
      <c r="S450" s="264"/>
      <c r="T450" s="264"/>
      <c r="U450" s="264"/>
      <c r="V450" s="264"/>
      <c r="W450" s="283"/>
      <c r="X450" s="288"/>
      <c r="Z450" s="1002"/>
      <c r="AS450" s="1355"/>
      <c r="BK450" s="256"/>
      <c r="BO450" s="1363"/>
      <c r="BX450" s="257"/>
      <c r="BY450" s="256"/>
      <c r="BZ450" s="258"/>
      <c r="CA450" s="258"/>
      <c r="CB450" s="256"/>
      <c r="CC450" s="1013"/>
      <c r="CD450" s="1012"/>
      <c r="CE450" s="268"/>
      <c r="CF450" s="411"/>
      <c r="CG450" s="419"/>
      <c r="CH450" s="411"/>
      <c r="CI450" s="411"/>
      <c r="CJ450" s="411"/>
      <c r="CK450" s="419"/>
      <c r="CL450" s="411"/>
      <c r="CM450" s="411"/>
      <c r="CN450" s="411"/>
      <c r="CO450" s="419"/>
      <c r="CP450" s="411"/>
      <c r="CQ450" s="411"/>
      <c r="CR450" s="411"/>
      <c r="CS450" s="411"/>
      <c r="CT450" s="411"/>
      <c r="CU450" s="411"/>
      <c r="CV450" s="411"/>
      <c r="CW450" s="411"/>
      <c r="CX450" s="411"/>
      <c r="CY450" s="419"/>
      <c r="CZ450" s="411"/>
      <c r="DA450" s="411"/>
      <c r="DB450" s="411"/>
      <c r="DC450" s="419"/>
      <c r="DD450" s="411"/>
      <c r="DE450" s="411"/>
      <c r="DF450" s="411"/>
      <c r="DG450" s="419"/>
      <c r="DH450" s="411"/>
      <c r="DI450" s="411"/>
      <c r="DJ450" s="411"/>
      <c r="DK450" s="411"/>
      <c r="DL450" s="411"/>
      <c r="DM450" s="411"/>
      <c r="DN450" s="411"/>
      <c r="DO450" s="411"/>
      <c r="DP450" s="411"/>
      <c r="DQ450" s="411"/>
      <c r="DR450" s="411"/>
      <c r="DS450" s="411"/>
      <c r="DT450" s="411"/>
      <c r="DU450" s="419"/>
      <c r="DV450" s="411"/>
      <c r="DW450" s="411"/>
      <c r="DX450" s="415"/>
      <c r="DY450" s="268"/>
      <c r="DZ450" s="268"/>
      <c r="EA450" s="268"/>
      <c r="EB450" s="268"/>
      <c r="EC450" s="268"/>
      <c r="ED450" s="268"/>
      <c r="EE450" s="268"/>
      <c r="EF450" s="268"/>
      <c r="EG450" s="268"/>
      <c r="EH450" s="268"/>
      <c r="EI450" s="268"/>
      <c r="EJ450" s="268"/>
    </row>
    <row r="451" spans="1:140" s="269" customFormat="1" x14ac:dyDescent="0.2">
      <c r="A451" s="288"/>
      <c r="B451" s="267"/>
      <c r="D451" s="264"/>
      <c r="E451" s="467"/>
      <c r="F451" s="264"/>
      <c r="G451" s="400"/>
      <c r="H451" s="264"/>
      <c r="I451" s="467"/>
      <c r="J451" s="264"/>
      <c r="K451" s="264"/>
      <c r="L451" s="264"/>
      <c r="M451" s="264"/>
      <c r="N451" s="264"/>
      <c r="O451" s="264"/>
      <c r="P451" s="264"/>
      <c r="Q451" s="264"/>
      <c r="R451" s="264"/>
      <c r="S451" s="264"/>
      <c r="T451" s="264"/>
      <c r="U451" s="264"/>
      <c r="V451" s="264"/>
      <c r="W451" s="283"/>
      <c r="X451" s="288"/>
      <c r="Z451" s="1002"/>
      <c r="AS451" s="1355"/>
      <c r="BK451" s="256"/>
      <c r="BO451" s="1363"/>
      <c r="BX451" s="257"/>
      <c r="BY451" s="256"/>
      <c r="BZ451" s="258"/>
      <c r="CA451" s="258"/>
      <c r="CB451" s="256"/>
      <c r="CC451" s="1013"/>
      <c r="CD451" s="1012"/>
      <c r="CE451" s="268"/>
      <c r="CF451" s="411"/>
      <c r="CG451" s="419"/>
      <c r="CH451" s="411"/>
      <c r="CI451" s="411"/>
      <c r="CJ451" s="411"/>
      <c r="CK451" s="419"/>
      <c r="CL451" s="411"/>
      <c r="CM451" s="411"/>
      <c r="CN451" s="411"/>
      <c r="CO451" s="419"/>
      <c r="CP451" s="411"/>
      <c r="CQ451" s="411"/>
      <c r="CR451" s="411"/>
      <c r="CS451" s="411"/>
      <c r="CT451" s="411"/>
      <c r="CU451" s="411"/>
      <c r="CV451" s="411"/>
      <c r="CW451" s="411"/>
      <c r="CX451" s="411"/>
      <c r="CY451" s="419"/>
      <c r="CZ451" s="411"/>
      <c r="DA451" s="411"/>
      <c r="DB451" s="411"/>
      <c r="DC451" s="419"/>
      <c r="DD451" s="411"/>
      <c r="DE451" s="411"/>
      <c r="DF451" s="411"/>
      <c r="DG451" s="419"/>
      <c r="DH451" s="411"/>
      <c r="DI451" s="411"/>
      <c r="DJ451" s="411"/>
      <c r="DK451" s="411"/>
      <c r="DL451" s="411"/>
      <c r="DM451" s="411"/>
      <c r="DN451" s="411"/>
      <c r="DO451" s="411"/>
      <c r="DP451" s="411"/>
      <c r="DQ451" s="411"/>
      <c r="DR451" s="411"/>
      <c r="DS451" s="411"/>
      <c r="DT451" s="411"/>
      <c r="DU451" s="419"/>
      <c r="DV451" s="411"/>
      <c r="DW451" s="411"/>
      <c r="DX451" s="415"/>
      <c r="DY451" s="268"/>
      <c r="DZ451" s="268"/>
      <c r="EA451" s="268"/>
      <c r="EB451" s="268"/>
      <c r="EC451" s="268"/>
      <c r="ED451" s="268"/>
      <c r="EE451" s="268"/>
      <c r="EF451" s="268"/>
      <c r="EG451" s="268"/>
      <c r="EH451" s="268"/>
      <c r="EI451" s="268"/>
      <c r="EJ451" s="268"/>
    </row>
    <row r="452" spans="1:140" s="269" customFormat="1" x14ac:dyDescent="0.2">
      <c r="A452" s="288"/>
      <c r="B452" s="267"/>
      <c r="D452" s="264"/>
      <c r="E452" s="467"/>
      <c r="F452" s="264"/>
      <c r="G452" s="400"/>
      <c r="H452" s="264"/>
      <c r="I452" s="467"/>
      <c r="J452" s="264"/>
      <c r="K452" s="264"/>
      <c r="L452" s="264"/>
      <c r="M452" s="264"/>
      <c r="N452" s="264"/>
      <c r="O452" s="264"/>
      <c r="P452" s="264"/>
      <c r="Q452" s="264"/>
      <c r="R452" s="264"/>
      <c r="S452" s="264"/>
      <c r="T452" s="264"/>
      <c r="U452" s="264"/>
      <c r="V452" s="264"/>
      <c r="W452" s="283"/>
      <c r="X452" s="288"/>
      <c r="Z452" s="1002"/>
      <c r="AS452" s="1355"/>
      <c r="BK452" s="256"/>
      <c r="BO452" s="1363"/>
      <c r="BX452" s="257"/>
      <c r="BY452" s="256"/>
      <c r="BZ452" s="258"/>
      <c r="CA452" s="258"/>
      <c r="CB452" s="256"/>
      <c r="CC452" s="1013"/>
      <c r="CD452" s="1012"/>
      <c r="CE452" s="268"/>
      <c r="CF452" s="411"/>
      <c r="CG452" s="419"/>
      <c r="CH452" s="411"/>
      <c r="CI452" s="411"/>
      <c r="CJ452" s="411"/>
      <c r="CK452" s="419"/>
      <c r="CL452" s="411"/>
      <c r="CM452" s="411"/>
      <c r="CN452" s="411"/>
      <c r="CO452" s="419"/>
      <c r="CP452" s="411"/>
      <c r="CQ452" s="411"/>
      <c r="CR452" s="411"/>
      <c r="CS452" s="411"/>
      <c r="CT452" s="411"/>
      <c r="CU452" s="411"/>
      <c r="CV452" s="411"/>
      <c r="CW452" s="411"/>
      <c r="CX452" s="411"/>
      <c r="CY452" s="419"/>
      <c r="CZ452" s="411"/>
      <c r="DA452" s="411"/>
      <c r="DB452" s="411"/>
      <c r="DC452" s="419"/>
      <c r="DD452" s="411"/>
      <c r="DE452" s="411"/>
      <c r="DF452" s="411"/>
      <c r="DG452" s="419"/>
      <c r="DH452" s="411"/>
      <c r="DI452" s="411"/>
      <c r="DJ452" s="411"/>
      <c r="DK452" s="411"/>
      <c r="DL452" s="411"/>
      <c r="DM452" s="411"/>
      <c r="DN452" s="411"/>
      <c r="DO452" s="411"/>
      <c r="DP452" s="411"/>
      <c r="DQ452" s="411"/>
      <c r="DR452" s="411"/>
      <c r="DS452" s="411"/>
      <c r="DT452" s="411"/>
      <c r="DU452" s="419"/>
      <c r="DV452" s="411"/>
      <c r="DW452" s="411"/>
      <c r="DX452" s="415"/>
      <c r="DY452" s="268"/>
      <c r="DZ452" s="268"/>
      <c r="EA452" s="268"/>
      <c r="EB452" s="268"/>
      <c r="EC452" s="268"/>
      <c r="ED452" s="268"/>
      <c r="EE452" s="268"/>
      <c r="EF452" s="268"/>
      <c r="EG452" s="268"/>
      <c r="EH452" s="268"/>
      <c r="EI452" s="268"/>
      <c r="EJ452" s="268"/>
    </row>
    <row r="453" spans="1:140" s="269" customFormat="1" x14ac:dyDescent="0.2">
      <c r="A453" s="288"/>
      <c r="B453" s="267"/>
      <c r="D453" s="264"/>
      <c r="E453" s="467"/>
      <c r="F453" s="264"/>
      <c r="G453" s="400"/>
      <c r="H453" s="264"/>
      <c r="I453" s="467"/>
      <c r="J453" s="264"/>
      <c r="K453" s="264"/>
      <c r="L453" s="264"/>
      <c r="M453" s="264"/>
      <c r="N453" s="264"/>
      <c r="O453" s="264"/>
      <c r="P453" s="264"/>
      <c r="Q453" s="264"/>
      <c r="R453" s="264"/>
      <c r="S453" s="264"/>
      <c r="T453" s="264"/>
      <c r="U453" s="264"/>
      <c r="V453" s="264"/>
      <c r="W453" s="283"/>
      <c r="X453" s="288"/>
      <c r="Z453" s="1002"/>
      <c r="AS453" s="1355"/>
      <c r="BK453" s="256"/>
      <c r="BO453" s="1363"/>
      <c r="BX453" s="257"/>
      <c r="BY453" s="256"/>
      <c r="BZ453" s="258"/>
      <c r="CA453" s="258"/>
      <c r="CB453" s="256"/>
      <c r="CC453" s="1013"/>
      <c r="CD453" s="1012"/>
      <c r="CE453" s="268"/>
      <c r="CF453" s="411"/>
      <c r="CG453" s="419"/>
      <c r="CH453" s="411"/>
      <c r="CI453" s="411"/>
      <c r="CJ453" s="411"/>
      <c r="CK453" s="419"/>
      <c r="CL453" s="411"/>
      <c r="CM453" s="411"/>
      <c r="CN453" s="411"/>
      <c r="CO453" s="419"/>
      <c r="CP453" s="411"/>
      <c r="CQ453" s="411"/>
      <c r="CR453" s="411"/>
      <c r="CS453" s="411"/>
      <c r="CT453" s="411"/>
      <c r="CU453" s="411"/>
      <c r="CV453" s="411"/>
      <c r="CW453" s="411"/>
      <c r="CX453" s="411"/>
      <c r="CY453" s="419"/>
      <c r="CZ453" s="411"/>
      <c r="DA453" s="411"/>
      <c r="DB453" s="411"/>
      <c r="DC453" s="419"/>
      <c r="DD453" s="411"/>
      <c r="DE453" s="411"/>
      <c r="DF453" s="411"/>
      <c r="DG453" s="419"/>
      <c r="DH453" s="411"/>
      <c r="DI453" s="411"/>
      <c r="DJ453" s="411"/>
      <c r="DK453" s="411"/>
      <c r="DL453" s="411"/>
      <c r="DM453" s="411"/>
      <c r="DN453" s="411"/>
      <c r="DO453" s="411"/>
      <c r="DP453" s="411"/>
      <c r="DQ453" s="411"/>
      <c r="DR453" s="411"/>
      <c r="DS453" s="411"/>
      <c r="DT453" s="411"/>
      <c r="DU453" s="419"/>
      <c r="DV453" s="411"/>
      <c r="DW453" s="411"/>
      <c r="DX453" s="415"/>
      <c r="DY453" s="268"/>
      <c r="DZ453" s="268"/>
      <c r="EA453" s="268"/>
      <c r="EB453" s="268"/>
      <c r="EC453" s="268"/>
      <c r="ED453" s="268"/>
      <c r="EE453" s="268"/>
      <c r="EF453" s="268"/>
      <c r="EG453" s="268"/>
      <c r="EH453" s="268"/>
      <c r="EI453" s="268"/>
      <c r="EJ453" s="268"/>
    </row>
    <row r="454" spans="1:140" s="269" customFormat="1" x14ac:dyDescent="0.2">
      <c r="A454" s="288"/>
      <c r="B454" s="267"/>
      <c r="D454" s="264"/>
      <c r="E454" s="467"/>
      <c r="F454" s="264"/>
      <c r="G454" s="400"/>
      <c r="H454" s="264"/>
      <c r="I454" s="467"/>
      <c r="J454" s="264"/>
      <c r="K454" s="264"/>
      <c r="L454" s="264"/>
      <c r="M454" s="264"/>
      <c r="N454" s="264"/>
      <c r="O454" s="264"/>
      <c r="P454" s="264"/>
      <c r="Q454" s="264"/>
      <c r="R454" s="264"/>
      <c r="S454" s="264"/>
      <c r="T454" s="264"/>
      <c r="U454" s="264"/>
      <c r="V454" s="264"/>
      <c r="W454" s="283"/>
      <c r="X454" s="288"/>
      <c r="Z454" s="1002"/>
      <c r="AS454" s="1355"/>
      <c r="BK454" s="256"/>
      <c r="BO454" s="1363"/>
      <c r="BX454" s="257"/>
      <c r="BY454" s="256"/>
      <c r="BZ454" s="258"/>
      <c r="CA454" s="258"/>
      <c r="CB454" s="256"/>
      <c r="CC454" s="1013"/>
      <c r="CD454" s="1012"/>
      <c r="CE454" s="268"/>
      <c r="CF454" s="411"/>
      <c r="CG454" s="419"/>
      <c r="CH454" s="411"/>
      <c r="CI454" s="411"/>
      <c r="CJ454" s="411"/>
      <c r="CK454" s="419"/>
      <c r="CL454" s="411"/>
      <c r="CM454" s="411"/>
      <c r="CN454" s="411"/>
      <c r="CO454" s="419"/>
      <c r="CP454" s="411"/>
      <c r="CQ454" s="411"/>
      <c r="CR454" s="411"/>
      <c r="CS454" s="411"/>
      <c r="CT454" s="411"/>
      <c r="CU454" s="411"/>
      <c r="CV454" s="411"/>
      <c r="CW454" s="411"/>
      <c r="CX454" s="411"/>
      <c r="CY454" s="419"/>
      <c r="CZ454" s="411"/>
      <c r="DA454" s="411"/>
      <c r="DB454" s="411"/>
      <c r="DC454" s="419"/>
      <c r="DD454" s="411"/>
      <c r="DE454" s="411"/>
      <c r="DF454" s="411"/>
      <c r="DG454" s="419"/>
      <c r="DH454" s="411"/>
      <c r="DI454" s="411"/>
      <c r="DJ454" s="411"/>
      <c r="DK454" s="411"/>
      <c r="DL454" s="411"/>
      <c r="DM454" s="411"/>
      <c r="DN454" s="411"/>
      <c r="DO454" s="411"/>
      <c r="DP454" s="411"/>
      <c r="DQ454" s="411"/>
      <c r="DR454" s="411"/>
      <c r="DS454" s="411"/>
      <c r="DT454" s="411"/>
      <c r="DU454" s="419"/>
      <c r="DV454" s="411"/>
      <c r="DW454" s="411"/>
      <c r="DX454" s="415"/>
      <c r="DY454" s="268"/>
      <c r="DZ454" s="268"/>
      <c r="EA454" s="268"/>
      <c r="EB454" s="268"/>
      <c r="EC454" s="268"/>
      <c r="ED454" s="268"/>
      <c r="EE454" s="268"/>
      <c r="EF454" s="268"/>
      <c r="EG454" s="268"/>
      <c r="EH454" s="268"/>
      <c r="EI454" s="268"/>
      <c r="EJ454" s="268"/>
    </row>
    <row r="455" spans="1:140" s="269" customFormat="1" x14ac:dyDescent="0.2">
      <c r="A455" s="288"/>
      <c r="B455" s="267"/>
      <c r="D455" s="264"/>
      <c r="E455" s="467"/>
      <c r="F455" s="264"/>
      <c r="G455" s="400"/>
      <c r="H455" s="264"/>
      <c r="I455" s="467"/>
      <c r="J455" s="264"/>
      <c r="K455" s="264"/>
      <c r="L455" s="264"/>
      <c r="M455" s="264"/>
      <c r="N455" s="264"/>
      <c r="O455" s="264"/>
      <c r="P455" s="264"/>
      <c r="Q455" s="264"/>
      <c r="R455" s="264"/>
      <c r="S455" s="264"/>
      <c r="T455" s="264"/>
      <c r="U455" s="264"/>
      <c r="V455" s="264"/>
      <c r="W455" s="283"/>
      <c r="X455" s="288"/>
      <c r="Z455" s="1002"/>
      <c r="AS455" s="1355"/>
      <c r="BK455" s="256"/>
      <c r="BO455" s="1363"/>
      <c r="BX455" s="257"/>
      <c r="BY455" s="256"/>
      <c r="BZ455" s="258"/>
      <c r="CA455" s="258"/>
      <c r="CB455" s="256"/>
      <c r="CC455" s="1013"/>
      <c r="CD455" s="1012"/>
      <c r="CE455" s="268"/>
      <c r="CF455" s="411"/>
      <c r="CG455" s="419"/>
      <c r="CH455" s="411"/>
      <c r="CI455" s="411"/>
      <c r="CJ455" s="411"/>
      <c r="CK455" s="419"/>
      <c r="CL455" s="411"/>
      <c r="CM455" s="411"/>
      <c r="CN455" s="411"/>
      <c r="CO455" s="419"/>
      <c r="CP455" s="411"/>
      <c r="CQ455" s="411"/>
      <c r="CR455" s="411"/>
      <c r="CS455" s="411"/>
      <c r="CT455" s="411"/>
      <c r="CU455" s="411"/>
      <c r="CV455" s="411"/>
      <c r="CW455" s="411"/>
      <c r="CX455" s="411"/>
      <c r="CY455" s="419"/>
      <c r="CZ455" s="411"/>
      <c r="DA455" s="411"/>
      <c r="DB455" s="411"/>
      <c r="DC455" s="419"/>
      <c r="DD455" s="411"/>
      <c r="DE455" s="411"/>
      <c r="DF455" s="411"/>
      <c r="DG455" s="419"/>
      <c r="DH455" s="411"/>
      <c r="DI455" s="411"/>
      <c r="DJ455" s="411"/>
      <c r="DK455" s="411"/>
      <c r="DL455" s="411"/>
      <c r="DM455" s="411"/>
      <c r="DN455" s="411"/>
      <c r="DO455" s="411"/>
      <c r="DP455" s="411"/>
      <c r="DQ455" s="411"/>
      <c r="DR455" s="411"/>
      <c r="DS455" s="411"/>
      <c r="DT455" s="411"/>
      <c r="DU455" s="419"/>
      <c r="DV455" s="411"/>
      <c r="DW455" s="411"/>
      <c r="DX455" s="415"/>
      <c r="DY455" s="268"/>
      <c r="DZ455" s="268"/>
      <c r="EA455" s="268"/>
      <c r="EB455" s="268"/>
      <c r="EC455" s="268"/>
      <c r="ED455" s="268"/>
      <c r="EE455" s="268"/>
      <c r="EF455" s="268"/>
      <c r="EG455" s="268"/>
      <c r="EH455" s="268"/>
      <c r="EI455" s="268"/>
      <c r="EJ455" s="268"/>
    </row>
    <row r="456" spans="1:140" s="269" customFormat="1" x14ac:dyDescent="0.2">
      <c r="A456" s="288"/>
      <c r="B456" s="267"/>
      <c r="D456" s="264"/>
      <c r="E456" s="467"/>
      <c r="F456" s="264"/>
      <c r="G456" s="400"/>
      <c r="H456" s="264"/>
      <c r="I456" s="467"/>
      <c r="J456" s="264"/>
      <c r="K456" s="264"/>
      <c r="L456" s="264"/>
      <c r="M456" s="264"/>
      <c r="N456" s="264"/>
      <c r="O456" s="264"/>
      <c r="P456" s="264"/>
      <c r="Q456" s="264"/>
      <c r="R456" s="264"/>
      <c r="S456" s="264"/>
      <c r="T456" s="264"/>
      <c r="U456" s="264"/>
      <c r="V456" s="264"/>
      <c r="W456" s="283"/>
      <c r="X456" s="288"/>
      <c r="Z456" s="1002"/>
      <c r="AS456" s="1355"/>
      <c r="BK456" s="256"/>
      <c r="BO456" s="1363"/>
      <c r="BX456" s="257"/>
      <c r="BY456" s="256"/>
      <c r="BZ456" s="258"/>
      <c r="CA456" s="258"/>
      <c r="CB456" s="256"/>
      <c r="CC456" s="1013"/>
      <c r="CD456" s="1012"/>
      <c r="CE456" s="268"/>
      <c r="CF456" s="411"/>
      <c r="CG456" s="419"/>
      <c r="CH456" s="411"/>
      <c r="CI456" s="411"/>
      <c r="CJ456" s="411"/>
      <c r="CK456" s="419"/>
      <c r="CL456" s="411"/>
      <c r="CM456" s="411"/>
      <c r="CN456" s="411"/>
      <c r="CO456" s="419"/>
      <c r="CP456" s="411"/>
      <c r="CQ456" s="411"/>
      <c r="CR456" s="411"/>
      <c r="CS456" s="411"/>
      <c r="CT456" s="411"/>
      <c r="CU456" s="411"/>
      <c r="CV456" s="411"/>
      <c r="CW456" s="411"/>
      <c r="CX456" s="411"/>
      <c r="CY456" s="419"/>
      <c r="CZ456" s="411"/>
      <c r="DA456" s="411"/>
      <c r="DB456" s="411"/>
      <c r="DC456" s="419"/>
      <c r="DD456" s="411"/>
      <c r="DE456" s="411"/>
      <c r="DF456" s="411"/>
      <c r="DG456" s="419"/>
      <c r="DH456" s="411"/>
      <c r="DI456" s="411"/>
      <c r="DJ456" s="411"/>
      <c r="DK456" s="411"/>
      <c r="DL456" s="411"/>
      <c r="DM456" s="411"/>
      <c r="DN456" s="411"/>
      <c r="DO456" s="411"/>
      <c r="DP456" s="411"/>
      <c r="DQ456" s="411"/>
      <c r="DR456" s="411"/>
      <c r="DS456" s="411"/>
      <c r="DT456" s="411"/>
      <c r="DU456" s="419"/>
      <c r="DV456" s="411"/>
      <c r="DW456" s="411"/>
      <c r="DX456" s="415"/>
      <c r="DY456" s="268"/>
      <c r="DZ456" s="268"/>
      <c r="EA456" s="268"/>
      <c r="EB456" s="268"/>
      <c r="EC456" s="268"/>
      <c r="ED456" s="268"/>
      <c r="EE456" s="268"/>
      <c r="EF456" s="268"/>
      <c r="EG456" s="268"/>
      <c r="EH456" s="268"/>
      <c r="EI456" s="268"/>
      <c r="EJ456" s="268"/>
    </row>
    <row r="457" spans="1:140" s="269" customFormat="1" x14ac:dyDescent="0.2">
      <c r="A457" s="288"/>
      <c r="B457" s="267"/>
      <c r="D457" s="264"/>
      <c r="E457" s="467"/>
      <c r="F457" s="264"/>
      <c r="G457" s="400"/>
      <c r="H457" s="264"/>
      <c r="I457" s="467"/>
      <c r="J457" s="264"/>
      <c r="K457" s="264"/>
      <c r="L457" s="264"/>
      <c r="M457" s="264"/>
      <c r="N457" s="264"/>
      <c r="O457" s="264"/>
      <c r="P457" s="264"/>
      <c r="Q457" s="264"/>
      <c r="R457" s="264"/>
      <c r="S457" s="264"/>
      <c r="T457" s="264"/>
      <c r="U457" s="264"/>
      <c r="V457" s="264"/>
      <c r="W457" s="283"/>
      <c r="X457" s="288"/>
      <c r="Z457" s="1002"/>
      <c r="AS457" s="1355"/>
      <c r="BK457" s="256"/>
      <c r="BO457" s="1363"/>
      <c r="BX457" s="257"/>
      <c r="BY457" s="256"/>
      <c r="BZ457" s="258"/>
      <c r="CA457" s="258"/>
      <c r="CB457" s="256"/>
      <c r="CC457" s="1013"/>
      <c r="CD457" s="1012"/>
      <c r="CE457" s="268"/>
      <c r="CF457" s="411"/>
      <c r="CG457" s="419"/>
      <c r="CH457" s="411"/>
      <c r="CI457" s="411"/>
      <c r="CJ457" s="411"/>
      <c r="CK457" s="419"/>
      <c r="CL457" s="411"/>
      <c r="CM457" s="411"/>
      <c r="CN457" s="411"/>
      <c r="CO457" s="419"/>
      <c r="CP457" s="411"/>
      <c r="CQ457" s="411"/>
      <c r="CR457" s="411"/>
      <c r="CS457" s="411"/>
      <c r="CT457" s="411"/>
      <c r="CU457" s="411"/>
      <c r="CV457" s="411"/>
      <c r="CW457" s="411"/>
      <c r="CX457" s="411"/>
      <c r="CY457" s="419"/>
      <c r="CZ457" s="411"/>
      <c r="DA457" s="411"/>
      <c r="DB457" s="411"/>
      <c r="DC457" s="419"/>
      <c r="DD457" s="411"/>
      <c r="DE457" s="411"/>
      <c r="DF457" s="411"/>
      <c r="DG457" s="419"/>
      <c r="DH457" s="411"/>
      <c r="DI457" s="411"/>
      <c r="DJ457" s="411"/>
      <c r="DK457" s="411"/>
      <c r="DL457" s="411"/>
      <c r="DM457" s="411"/>
      <c r="DN457" s="411"/>
      <c r="DO457" s="411"/>
      <c r="DP457" s="411"/>
      <c r="DQ457" s="411"/>
      <c r="DR457" s="411"/>
      <c r="DS457" s="411"/>
      <c r="DT457" s="411"/>
      <c r="DU457" s="419"/>
      <c r="DV457" s="411"/>
      <c r="DW457" s="411"/>
      <c r="DX457" s="415"/>
      <c r="DY457" s="268"/>
      <c r="DZ457" s="268"/>
      <c r="EA457" s="268"/>
      <c r="EB457" s="268"/>
      <c r="EC457" s="268"/>
      <c r="ED457" s="268"/>
      <c r="EE457" s="268"/>
      <c r="EF457" s="268"/>
      <c r="EG457" s="268"/>
      <c r="EH457" s="268"/>
      <c r="EI457" s="268"/>
      <c r="EJ457" s="268"/>
    </row>
    <row r="458" spans="1:140" s="269" customFormat="1" x14ac:dyDescent="0.2">
      <c r="A458" s="288"/>
      <c r="B458" s="267"/>
      <c r="D458" s="264"/>
      <c r="E458" s="467"/>
      <c r="F458" s="264"/>
      <c r="G458" s="400"/>
      <c r="H458" s="264"/>
      <c r="I458" s="467"/>
      <c r="J458" s="264"/>
      <c r="K458" s="264"/>
      <c r="L458" s="264"/>
      <c r="M458" s="264"/>
      <c r="N458" s="264"/>
      <c r="O458" s="264"/>
      <c r="P458" s="264"/>
      <c r="Q458" s="264"/>
      <c r="R458" s="264"/>
      <c r="S458" s="264"/>
      <c r="T458" s="264"/>
      <c r="U458" s="264"/>
      <c r="V458" s="264"/>
      <c r="W458" s="283"/>
      <c r="X458" s="288"/>
      <c r="Z458" s="1002"/>
      <c r="AS458" s="1355"/>
      <c r="BK458" s="256"/>
      <c r="BO458" s="1363"/>
      <c r="BX458" s="257"/>
      <c r="BY458" s="256"/>
      <c r="BZ458" s="258"/>
      <c r="CA458" s="258"/>
      <c r="CB458" s="256"/>
      <c r="CC458" s="1013"/>
      <c r="CD458" s="1012"/>
      <c r="CE458" s="268"/>
      <c r="CF458" s="411"/>
      <c r="CG458" s="419"/>
      <c r="CH458" s="411"/>
      <c r="CI458" s="411"/>
      <c r="CJ458" s="411"/>
      <c r="CK458" s="419"/>
      <c r="CL458" s="411"/>
      <c r="CM458" s="411"/>
      <c r="CN458" s="411"/>
      <c r="CO458" s="419"/>
      <c r="CP458" s="411"/>
      <c r="CQ458" s="411"/>
      <c r="CR458" s="411"/>
      <c r="CS458" s="411"/>
      <c r="CT458" s="411"/>
      <c r="CU458" s="411"/>
      <c r="CV458" s="411"/>
      <c r="CW458" s="411"/>
      <c r="CX458" s="411"/>
      <c r="CY458" s="419"/>
      <c r="CZ458" s="411"/>
      <c r="DA458" s="411"/>
      <c r="DB458" s="411"/>
      <c r="DC458" s="419"/>
      <c r="DD458" s="411"/>
      <c r="DE458" s="411"/>
      <c r="DF458" s="411"/>
      <c r="DG458" s="419"/>
      <c r="DH458" s="411"/>
      <c r="DI458" s="411"/>
      <c r="DJ458" s="411"/>
      <c r="DK458" s="411"/>
      <c r="DL458" s="411"/>
      <c r="DM458" s="411"/>
      <c r="DN458" s="411"/>
      <c r="DO458" s="411"/>
      <c r="DP458" s="411"/>
      <c r="DQ458" s="411"/>
      <c r="DR458" s="411"/>
      <c r="DS458" s="411"/>
      <c r="DT458" s="411"/>
      <c r="DU458" s="419"/>
      <c r="DV458" s="411"/>
      <c r="DW458" s="411"/>
      <c r="DX458" s="415"/>
      <c r="DY458" s="268"/>
      <c r="DZ458" s="268"/>
      <c r="EA458" s="268"/>
      <c r="EB458" s="268"/>
      <c r="EC458" s="268"/>
      <c r="ED458" s="268"/>
      <c r="EE458" s="268"/>
      <c r="EF458" s="268"/>
      <c r="EG458" s="268"/>
      <c r="EH458" s="268"/>
      <c r="EI458" s="268"/>
      <c r="EJ458" s="268"/>
    </row>
    <row r="459" spans="1:140" s="269" customFormat="1" x14ac:dyDescent="0.2">
      <c r="A459" s="288"/>
      <c r="B459" s="267"/>
      <c r="D459" s="264"/>
      <c r="E459" s="467"/>
      <c r="F459" s="264"/>
      <c r="G459" s="400"/>
      <c r="H459" s="264"/>
      <c r="I459" s="467"/>
      <c r="J459" s="264"/>
      <c r="K459" s="264"/>
      <c r="L459" s="264"/>
      <c r="M459" s="264"/>
      <c r="N459" s="264"/>
      <c r="O459" s="264"/>
      <c r="P459" s="264"/>
      <c r="Q459" s="264"/>
      <c r="R459" s="264"/>
      <c r="S459" s="264"/>
      <c r="T459" s="264"/>
      <c r="U459" s="264"/>
      <c r="V459" s="264"/>
      <c r="W459" s="283"/>
      <c r="X459" s="288"/>
      <c r="Z459" s="1002"/>
      <c r="AS459" s="1355"/>
      <c r="BK459" s="256"/>
      <c r="BO459" s="1363"/>
      <c r="BX459" s="257"/>
      <c r="BY459" s="256"/>
      <c r="BZ459" s="258"/>
      <c r="CA459" s="258"/>
      <c r="CB459" s="256"/>
      <c r="CC459" s="1013"/>
      <c r="CD459" s="1012"/>
      <c r="CE459" s="268"/>
      <c r="CF459" s="411"/>
      <c r="CG459" s="419"/>
      <c r="CH459" s="411"/>
      <c r="CI459" s="411"/>
      <c r="CJ459" s="411"/>
      <c r="CK459" s="419"/>
      <c r="CL459" s="411"/>
      <c r="CM459" s="411"/>
      <c r="CN459" s="411"/>
      <c r="CO459" s="419"/>
      <c r="CP459" s="411"/>
      <c r="CQ459" s="411"/>
      <c r="CR459" s="411"/>
      <c r="CS459" s="411"/>
      <c r="CT459" s="411"/>
      <c r="CU459" s="411"/>
      <c r="CV459" s="411"/>
      <c r="CW459" s="411"/>
      <c r="CX459" s="411"/>
      <c r="CY459" s="419"/>
      <c r="CZ459" s="411"/>
      <c r="DA459" s="411"/>
      <c r="DB459" s="411"/>
      <c r="DC459" s="419"/>
      <c r="DD459" s="411"/>
      <c r="DE459" s="411"/>
      <c r="DF459" s="411"/>
      <c r="DG459" s="419"/>
      <c r="DH459" s="411"/>
      <c r="DI459" s="411"/>
      <c r="DJ459" s="411"/>
      <c r="DK459" s="411"/>
      <c r="DL459" s="411"/>
      <c r="DM459" s="411"/>
      <c r="DN459" s="411"/>
      <c r="DO459" s="411"/>
      <c r="DP459" s="411"/>
      <c r="DQ459" s="411"/>
      <c r="DR459" s="411"/>
      <c r="DS459" s="411"/>
      <c r="DT459" s="411"/>
      <c r="DU459" s="419"/>
      <c r="DV459" s="411"/>
      <c r="DW459" s="411"/>
      <c r="DX459" s="415"/>
      <c r="DY459" s="268"/>
      <c r="DZ459" s="268"/>
      <c r="EA459" s="268"/>
      <c r="EB459" s="268"/>
      <c r="EC459" s="268"/>
      <c r="ED459" s="268"/>
      <c r="EE459" s="268"/>
      <c r="EF459" s="268"/>
      <c r="EG459" s="268"/>
      <c r="EH459" s="268"/>
      <c r="EI459" s="268"/>
      <c r="EJ459" s="268"/>
    </row>
    <row r="460" spans="1:140" s="269" customFormat="1" x14ac:dyDescent="0.2">
      <c r="A460" s="288"/>
      <c r="B460" s="267"/>
      <c r="D460" s="264"/>
      <c r="E460" s="467"/>
      <c r="F460" s="264"/>
      <c r="G460" s="400"/>
      <c r="H460" s="264"/>
      <c r="I460" s="467"/>
      <c r="J460" s="264"/>
      <c r="K460" s="264"/>
      <c r="L460" s="264"/>
      <c r="M460" s="264"/>
      <c r="N460" s="264"/>
      <c r="O460" s="264"/>
      <c r="P460" s="264"/>
      <c r="Q460" s="264"/>
      <c r="R460" s="264"/>
      <c r="S460" s="264"/>
      <c r="T460" s="264"/>
      <c r="U460" s="264"/>
      <c r="V460" s="264"/>
      <c r="W460" s="283"/>
      <c r="X460" s="288"/>
      <c r="Z460" s="1002"/>
      <c r="AS460" s="1355"/>
      <c r="BK460" s="256"/>
      <c r="BO460" s="1363"/>
      <c r="BX460" s="257"/>
      <c r="BY460" s="256"/>
      <c r="BZ460" s="258"/>
      <c r="CA460" s="258"/>
      <c r="CB460" s="256"/>
      <c r="CC460" s="1013"/>
      <c r="CD460" s="1012"/>
      <c r="CE460" s="268"/>
      <c r="CF460" s="411"/>
      <c r="CG460" s="419"/>
      <c r="CH460" s="411"/>
      <c r="CI460" s="411"/>
      <c r="CJ460" s="411"/>
      <c r="CK460" s="419"/>
      <c r="CL460" s="411"/>
      <c r="CM460" s="411"/>
      <c r="CN460" s="411"/>
      <c r="CO460" s="419"/>
      <c r="CP460" s="411"/>
      <c r="CQ460" s="411"/>
      <c r="CR460" s="411"/>
      <c r="CS460" s="411"/>
      <c r="CT460" s="411"/>
      <c r="CU460" s="411"/>
      <c r="CV460" s="411"/>
      <c r="CW460" s="411"/>
      <c r="CX460" s="411"/>
      <c r="CY460" s="419"/>
      <c r="CZ460" s="411"/>
      <c r="DA460" s="411"/>
      <c r="DB460" s="411"/>
      <c r="DC460" s="419"/>
      <c r="DD460" s="411"/>
      <c r="DE460" s="411"/>
      <c r="DF460" s="411"/>
      <c r="DG460" s="419"/>
      <c r="DH460" s="411"/>
      <c r="DI460" s="411"/>
      <c r="DJ460" s="411"/>
      <c r="DK460" s="411"/>
      <c r="DL460" s="411"/>
      <c r="DM460" s="411"/>
      <c r="DN460" s="411"/>
      <c r="DO460" s="411"/>
      <c r="DP460" s="411"/>
      <c r="DQ460" s="411"/>
      <c r="DR460" s="411"/>
      <c r="DS460" s="411"/>
      <c r="DT460" s="411"/>
      <c r="DU460" s="419"/>
      <c r="DV460" s="411"/>
      <c r="DW460" s="411"/>
      <c r="DX460" s="415"/>
      <c r="DY460" s="268"/>
      <c r="DZ460" s="268"/>
      <c r="EA460" s="268"/>
      <c r="EB460" s="268"/>
      <c r="EC460" s="268"/>
      <c r="ED460" s="268"/>
      <c r="EE460" s="268"/>
      <c r="EF460" s="268"/>
      <c r="EG460" s="268"/>
      <c r="EH460" s="268"/>
      <c r="EI460" s="268"/>
      <c r="EJ460" s="268"/>
    </row>
    <row r="461" spans="1:140" s="269" customFormat="1" x14ac:dyDescent="0.2">
      <c r="A461" s="288"/>
      <c r="B461" s="267"/>
      <c r="D461" s="264"/>
      <c r="E461" s="467"/>
      <c r="F461" s="264"/>
      <c r="G461" s="400"/>
      <c r="H461" s="264"/>
      <c r="I461" s="467"/>
      <c r="J461" s="264"/>
      <c r="K461" s="264"/>
      <c r="L461" s="264"/>
      <c r="M461" s="264"/>
      <c r="N461" s="264"/>
      <c r="O461" s="264"/>
      <c r="P461" s="264"/>
      <c r="Q461" s="264"/>
      <c r="R461" s="264"/>
      <c r="S461" s="264"/>
      <c r="T461" s="264"/>
      <c r="U461" s="264"/>
      <c r="V461" s="264"/>
      <c r="W461" s="283"/>
      <c r="X461" s="288"/>
      <c r="Z461" s="1002"/>
      <c r="AS461" s="1355"/>
      <c r="BK461" s="256"/>
      <c r="BO461" s="1363"/>
      <c r="BX461" s="257"/>
      <c r="BY461" s="256"/>
      <c r="BZ461" s="258"/>
      <c r="CA461" s="258"/>
      <c r="CB461" s="256"/>
      <c r="CC461" s="1013"/>
      <c r="CD461" s="1012"/>
      <c r="CE461" s="268"/>
      <c r="CF461" s="411"/>
      <c r="CG461" s="419"/>
      <c r="CH461" s="411"/>
      <c r="CI461" s="411"/>
      <c r="CJ461" s="411"/>
      <c r="CK461" s="419"/>
      <c r="CL461" s="411"/>
      <c r="CM461" s="411"/>
      <c r="CN461" s="411"/>
      <c r="CO461" s="419"/>
      <c r="CP461" s="411"/>
      <c r="CQ461" s="411"/>
      <c r="CR461" s="411"/>
      <c r="CS461" s="411"/>
      <c r="CT461" s="411"/>
      <c r="CU461" s="411"/>
      <c r="CV461" s="411"/>
      <c r="CW461" s="411"/>
      <c r="CX461" s="411"/>
      <c r="CY461" s="419"/>
      <c r="CZ461" s="411"/>
      <c r="DA461" s="411"/>
      <c r="DB461" s="411"/>
      <c r="DC461" s="419"/>
      <c r="DD461" s="411"/>
      <c r="DE461" s="411"/>
      <c r="DF461" s="411"/>
      <c r="DG461" s="419"/>
      <c r="DH461" s="411"/>
      <c r="DI461" s="411"/>
      <c r="DJ461" s="411"/>
      <c r="DK461" s="411"/>
      <c r="DL461" s="411"/>
      <c r="DM461" s="411"/>
      <c r="DN461" s="411"/>
      <c r="DO461" s="411"/>
      <c r="DP461" s="411"/>
      <c r="DQ461" s="411"/>
      <c r="DR461" s="411"/>
      <c r="DS461" s="411"/>
      <c r="DT461" s="411"/>
      <c r="DU461" s="419"/>
      <c r="DV461" s="411"/>
      <c r="DW461" s="411"/>
      <c r="DX461" s="415"/>
      <c r="DY461" s="268"/>
      <c r="DZ461" s="268"/>
      <c r="EA461" s="268"/>
      <c r="EB461" s="268"/>
      <c r="EC461" s="268"/>
      <c r="ED461" s="268"/>
      <c r="EE461" s="268"/>
      <c r="EF461" s="268"/>
      <c r="EG461" s="268"/>
      <c r="EH461" s="268"/>
      <c r="EI461" s="268"/>
      <c r="EJ461" s="268"/>
    </row>
    <row r="462" spans="1:140" s="269" customFormat="1" x14ac:dyDescent="0.2">
      <c r="A462" s="288"/>
      <c r="B462" s="267"/>
      <c r="D462" s="264"/>
      <c r="E462" s="467"/>
      <c r="F462" s="264"/>
      <c r="G462" s="400"/>
      <c r="H462" s="264"/>
      <c r="I462" s="467"/>
      <c r="J462" s="264"/>
      <c r="K462" s="264"/>
      <c r="L462" s="264"/>
      <c r="M462" s="264"/>
      <c r="N462" s="264"/>
      <c r="O462" s="264"/>
      <c r="P462" s="264"/>
      <c r="Q462" s="264"/>
      <c r="R462" s="264"/>
      <c r="S462" s="264"/>
      <c r="T462" s="264"/>
      <c r="U462" s="264"/>
      <c r="V462" s="264"/>
      <c r="W462" s="283"/>
      <c r="X462" s="288"/>
      <c r="Z462" s="1002"/>
      <c r="AS462" s="1355"/>
      <c r="BK462" s="256"/>
      <c r="BO462" s="1363"/>
      <c r="BX462" s="257"/>
      <c r="BY462" s="256"/>
      <c r="BZ462" s="258"/>
      <c r="CA462" s="258"/>
      <c r="CB462" s="256"/>
      <c r="CC462" s="1013"/>
      <c r="CD462" s="1012"/>
      <c r="CE462" s="268"/>
      <c r="CF462" s="411"/>
      <c r="CG462" s="419"/>
      <c r="CH462" s="411"/>
      <c r="CI462" s="411"/>
      <c r="CJ462" s="411"/>
      <c r="CK462" s="419"/>
      <c r="CL462" s="411"/>
      <c r="CM462" s="411"/>
      <c r="CN462" s="411"/>
      <c r="CO462" s="419"/>
      <c r="CP462" s="411"/>
      <c r="CQ462" s="411"/>
      <c r="CR462" s="411"/>
      <c r="CS462" s="411"/>
      <c r="CT462" s="411"/>
      <c r="CU462" s="411"/>
      <c r="CV462" s="411"/>
      <c r="CW462" s="411"/>
      <c r="CX462" s="411"/>
      <c r="CY462" s="419"/>
      <c r="CZ462" s="411"/>
      <c r="DA462" s="411"/>
      <c r="DB462" s="411"/>
      <c r="DC462" s="419"/>
      <c r="DD462" s="411"/>
      <c r="DE462" s="411"/>
      <c r="DF462" s="411"/>
      <c r="DG462" s="419"/>
      <c r="DH462" s="411"/>
      <c r="DI462" s="411"/>
      <c r="DJ462" s="411"/>
      <c r="DK462" s="411"/>
      <c r="DL462" s="411"/>
      <c r="DM462" s="411"/>
      <c r="DN462" s="411"/>
      <c r="DO462" s="411"/>
      <c r="DP462" s="411"/>
      <c r="DQ462" s="411"/>
      <c r="DR462" s="411"/>
      <c r="DS462" s="411"/>
      <c r="DT462" s="411"/>
      <c r="DU462" s="419"/>
      <c r="DV462" s="411"/>
      <c r="DW462" s="411"/>
      <c r="DX462" s="415"/>
      <c r="DY462" s="268"/>
      <c r="DZ462" s="268"/>
      <c r="EA462" s="268"/>
      <c r="EB462" s="268"/>
      <c r="EC462" s="268"/>
      <c r="ED462" s="268"/>
      <c r="EE462" s="268"/>
      <c r="EF462" s="268"/>
      <c r="EG462" s="268"/>
      <c r="EH462" s="268"/>
      <c r="EI462" s="268"/>
      <c r="EJ462" s="268"/>
    </row>
    <row r="463" spans="1:140" s="269" customFormat="1" x14ac:dyDescent="0.2">
      <c r="A463" s="288"/>
      <c r="B463" s="267"/>
      <c r="D463" s="264"/>
      <c r="E463" s="467"/>
      <c r="F463" s="264"/>
      <c r="G463" s="400"/>
      <c r="H463" s="264"/>
      <c r="I463" s="467"/>
      <c r="J463" s="264"/>
      <c r="K463" s="264"/>
      <c r="L463" s="264"/>
      <c r="M463" s="264"/>
      <c r="N463" s="264"/>
      <c r="O463" s="264"/>
      <c r="P463" s="264"/>
      <c r="Q463" s="264"/>
      <c r="R463" s="264"/>
      <c r="S463" s="264"/>
      <c r="T463" s="264"/>
      <c r="U463" s="264"/>
      <c r="V463" s="264"/>
      <c r="W463" s="283"/>
      <c r="X463" s="288"/>
      <c r="Z463" s="1002"/>
      <c r="AS463" s="1355"/>
      <c r="BK463" s="256"/>
      <c r="BO463" s="1363"/>
      <c r="BX463" s="257"/>
      <c r="BY463" s="256"/>
      <c r="BZ463" s="258"/>
      <c r="CA463" s="258"/>
      <c r="CB463" s="256"/>
      <c r="CC463" s="1013"/>
      <c r="CD463" s="1012"/>
      <c r="CE463" s="268"/>
      <c r="CF463" s="411"/>
      <c r="CG463" s="419"/>
      <c r="CH463" s="411"/>
      <c r="CI463" s="411"/>
      <c r="CJ463" s="411"/>
      <c r="CK463" s="419"/>
      <c r="CL463" s="411"/>
      <c r="CM463" s="411"/>
      <c r="CN463" s="411"/>
      <c r="CO463" s="419"/>
      <c r="CP463" s="411"/>
      <c r="CQ463" s="411"/>
      <c r="CR463" s="411"/>
      <c r="CS463" s="411"/>
      <c r="CT463" s="411"/>
      <c r="CU463" s="411"/>
      <c r="CV463" s="411"/>
      <c r="CW463" s="411"/>
      <c r="CX463" s="411"/>
      <c r="CY463" s="419"/>
      <c r="CZ463" s="411"/>
      <c r="DA463" s="411"/>
      <c r="DB463" s="411"/>
      <c r="DC463" s="419"/>
      <c r="DD463" s="411"/>
      <c r="DE463" s="411"/>
      <c r="DF463" s="411"/>
      <c r="DG463" s="419"/>
      <c r="DH463" s="411"/>
      <c r="DI463" s="411"/>
      <c r="DJ463" s="411"/>
      <c r="DK463" s="411"/>
      <c r="DL463" s="411"/>
      <c r="DM463" s="411"/>
      <c r="DN463" s="411"/>
      <c r="DO463" s="411"/>
      <c r="DP463" s="411"/>
      <c r="DQ463" s="411"/>
      <c r="DR463" s="411"/>
      <c r="DS463" s="411"/>
      <c r="DT463" s="411"/>
      <c r="DU463" s="419"/>
      <c r="DV463" s="411"/>
      <c r="DW463" s="411"/>
      <c r="DX463" s="415"/>
      <c r="DY463" s="268"/>
      <c r="DZ463" s="268"/>
      <c r="EA463" s="268"/>
      <c r="EB463" s="268"/>
      <c r="EC463" s="268"/>
      <c r="ED463" s="268"/>
      <c r="EE463" s="268"/>
      <c r="EF463" s="268"/>
      <c r="EG463" s="268"/>
      <c r="EH463" s="268"/>
      <c r="EI463" s="268"/>
      <c r="EJ463" s="268"/>
    </row>
    <row r="464" spans="1:140" s="269" customFormat="1" x14ac:dyDescent="0.2">
      <c r="A464" s="288"/>
      <c r="B464" s="267"/>
      <c r="D464" s="264"/>
      <c r="E464" s="467"/>
      <c r="F464" s="264"/>
      <c r="G464" s="400"/>
      <c r="H464" s="264"/>
      <c r="I464" s="467"/>
      <c r="J464" s="264"/>
      <c r="K464" s="264"/>
      <c r="L464" s="264"/>
      <c r="M464" s="264"/>
      <c r="N464" s="264"/>
      <c r="O464" s="264"/>
      <c r="P464" s="264"/>
      <c r="Q464" s="264"/>
      <c r="R464" s="264"/>
      <c r="S464" s="264"/>
      <c r="T464" s="264"/>
      <c r="U464" s="264"/>
      <c r="V464" s="264"/>
      <c r="W464" s="283"/>
      <c r="X464" s="288"/>
      <c r="Z464" s="1002"/>
      <c r="AS464" s="1355"/>
      <c r="BK464" s="256"/>
      <c r="BO464" s="1363"/>
      <c r="BX464" s="257"/>
      <c r="BY464" s="256"/>
      <c r="BZ464" s="258"/>
      <c r="CA464" s="258"/>
      <c r="CB464" s="256"/>
      <c r="CC464" s="1013"/>
      <c r="CD464" s="1012"/>
      <c r="CE464" s="268"/>
      <c r="CF464" s="411"/>
      <c r="CG464" s="419"/>
      <c r="CH464" s="411"/>
      <c r="CI464" s="411"/>
      <c r="CJ464" s="411"/>
      <c r="CK464" s="419"/>
      <c r="CL464" s="411"/>
      <c r="CM464" s="411"/>
      <c r="CN464" s="411"/>
      <c r="CO464" s="419"/>
      <c r="CP464" s="411"/>
      <c r="CQ464" s="411"/>
      <c r="CR464" s="411"/>
      <c r="CS464" s="411"/>
      <c r="CT464" s="411"/>
      <c r="CU464" s="411"/>
      <c r="CV464" s="411"/>
      <c r="CW464" s="411"/>
      <c r="CX464" s="411"/>
      <c r="CY464" s="419"/>
      <c r="CZ464" s="411"/>
      <c r="DA464" s="411"/>
      <c r="DB464" s="411"/>
      <c r="DC464" s="419"/>
      <c r="DD464" s="411"/>
      <c r="DE464" s="411"/>
      <c r="DF464" s="411"/>
      <c r="DG464" s="419"/>
      <c r="DH464" s="411"/>
      <c r="DI464" s="411"/>
      <c r="DJ464" s="411"/>
      <c r="DK464" s="411"/>
      <c r="DL464" s="411"/>
      <c r="DM464" s="411"/>
      <c r="DN464" s="411"/>
      <c r="DO464" s="411"/>
      <c r="DP464" s="411"/>
      <c r="DQ464" s="411"/>
      <c r="DR464" s="411"/>
      <c r="DS464" s="411"/>
      <c r="DT464" s="411"/>
      <c r="DU464" s="419"/>
      <c r="DV464" s="411"/>
      <c r="DW464" s="411"/>
      <c r="DX464" s="415"/>
      <c r="DY464" s="268"/>
      <c r="DZ464" s="268"/>
      <c r="EA464" s="268"/>
      <c r="EB464" s="268"/>
      <c r="EC464" s="268"/>
      <c r="ED464" s="268"/>
      <c r="EE464" s="268"/>
      <c r="EF464" s="268"/>
      <c r="EG464" s="268"/>
      <c r="EH464" s="268"/>
      <c r="EI464" s="268"/>
      <c r="EJ464" s="268"/>
    </row>
    <row r="465" spans="1:140" s="269" customFormat="1" x14ac:dyDescent="0.2">
      <c r="A465" s="288"/>
      <c r="B465" s="267"/>
      <c r="D465" s="264"/>
      <c r="E465" s="467"/>
      <c r="F465" s="264"/>
      <c r="G465" s="400"/>
      <c r="H465" s="264"/>
      <c r="I465" s="467"/>
      <c r="J465" s="264"/>
      <c r="K465" s="264"/>
      <c r="L465" s="264"/>
      <c r="M465" s="264"/>
      <c r="N465" s="264"/>
      <c r="O465" s="264"/>
      <c r="P465" s="264"/>
      <c r="Q465" s="264"/>
      <c r="R465" s="264"/>
      <c r="S465" s="264"/>
      <c r="T465" s="264"/>
      <c r="U465" s="264"/>
      <c r="V465" s="264"/>
      <c r="W465" s="283"/>
      <c r="X465" s="288"/>
      <c r="Z465" s="1002"/>
      <c r="AS465" s="1355"/>
      <c r="BK465" s="256"/>
      <c r="BO465" s="1363"/>
      <c r="BX465" s="257"/>
      <c r="BY465" s="256"/>
      <c r="BZ465" s="258"/>
      <c r="CA465" s="258"/>
      <c r="CB465" s="256"/>
      <c r="CC465" s="1013"/>
      <c r="CD465" s="1012"/>
      <c r="CE465" s="268"/>
      <c r="CF465" s="411"/>
      <c r="CG465" s="419"/>
      <c r="CH465" s="411"/>
      <c r="CI465" s="411"/>
      <c r="CJ465" s="411"/>
      <c r="CK465" s="419"/>
      <c r="CL465" s="411"/>
      <c r="CM465" s="411"/>
      <c r="CN465" s="411"/>
      <c r="CO465" s="419"/>
      <c r="CP465" s="411"/>
      <c r="CQ465" s="411"/>
      <c r="CR465" s="411"/>
      <c r="CS465" s="411"/>
      <c r="CT465" s="411"/>
      <c r="CU465" s="411"/>
      <c r="CV465" s="411"/>
      <c r="CW465" s="411"/>
      <c r="CX465" s="411"/>
      <c r="CY465" s="419"/>
      <c r="CZ465" s="411"/>
      <c r="DA465" s="411"/>
      <c r="DB465" s="411"/>
      <c r="DC465" s="419"/>
      <c r="DD465" s="411"/>
      <c r="DE465" s="411"/>
      <c r="DF465" s="411"/>
      <c r="DG465" s="419"/>
      <c r="DH465" s="411"/>
      <c r="DI465" s="411"/>
      <c r="DJ465" s="411"/>
      <c r="DK465" s="411"/>
      <c r="DL465" s="411"/>
      <c r="DM465" s="411"/>
      <c r="DN465" s="411"/>
      <c r="DO465" s="411"/>
      <c r="DP465" s="411"/>
      <c r="DQ465" s="411"/>
      <c r="DR465" s="411"/>
      <c r="DS465" s="411"/>
      <c r="DT465" s="411"/>
      <c r="DU465" s="419"/>
      <c r="DV465" s="411"/>
      <c r="DW465" s="411"/>
      <c r="DX465" s="415"/>
      <c r="DY465" s="268"/>
      <c r="DZ465" s="268"/>
      <c r="EA465" s="268"/>
      <c r="EB465" s="268"/>
      <c r="EC465" s="268"/>
      <c r="ED465" s="268"/>
      <c r="EE465" s="268"/>
      <c r="EF465" s="268"/>
      <c r="EG465" s="268"/>
      <c r="EH465" s="268"/>
      <c r="EI465" s="268"/>
      <c r="EJ465" s="268"/>
    </row>
    <row r="466" spans="1:140" s="269" customFormat="1" x14ac:dyDescent="0.2">
      <c r="A466" s="288"/>
      <c r="B466" s="267"/>
      <c r="D466" s="264"/>
      <c r="E466" s="467"/>
      <c r="F466" s="264"/>
      <c r="G466" s="400"/>
      <c r="H466" s="264"/>
      <c r="I466" s="467"/>
      <c r="J466" s="264"/>
      <c r="K466" s="264"/>
      <c r="L466" s="264"/>
      <c r="M466" s="264"/>
      <c r="N466" s="264"/>
      <c r="O466" s="264"/>
      <c r="P466" s="264"/>
      <c r="Q466" s="264"/>
      <c r="R466" s="264"/>
      <c r="S466" s="264"/>
      <c r="T466" s="264"/>
      <c r="U466" s="264"/>
      <c r="V466" s="264"/>
      <c r="W466" s="283"/>
      <c r="X466" s="288"/>
      <c r="Z466" s="1002"/>
      <c r="AS466" s="1355"/>
      <c r="BK466" s="256"/>
      <c r="BO466" s="1363"/>
      <c r="BX466" s="257"/>
      <c r="BY466" s="256"/>
      <c r="BZ466" s="258"/>
      <c r="CA466" s="258"/>
      <c r="CB466" s="256"/>
      <c r="CC466" s="1013"/>
      <c r="CD466" s="1012"/>
      <c r="CE466" s="268"/>
      <c r="CF466" s="411"/>
      <c r="CG466" s="419"/>
      <c r="CH466" s="411"/>
      <c r="CI466" s="411"/>
      <c r="CJ466" s="411"/>
      <c r="CK466" s="419"/>
      <c r="CL466" s="411"/>
      <c r="CM466" s="411"/>
      <c r="CN466" s="411"/>
      <c r="CO466" s="419"/>
      <c r="CP466" s="411"/>
      <c r="CQ466" s="411"/>
      <c r="CR466" s="411"/>
      <c r="CS466" s="411"/>
      <c r="CT466" s="411"/>
      <c r="CU466" s="411"/>
      <c r="CV466" s="411"/>
      <c r="CW466" s="411"/>
      <c r="CX466" s="411"/>
      <c r="CY466" s="419"/>
      <c r="CZ466" s="411"/>
      <c r="DA466" s="411"/>
      <c r="DB466" s="411"/>
      <c r="DC466" s="419"/>
      <c r="DD466" s="411"/>
      <c r="DE466" s="411"/>
      <c r="DF466" s="411"/>
      <c r="DG466" s="419"/>
      <c r="DH466" s="411"/>
      <c r="DI466" s="411"/>
      <c r="DJ466" s="411"/>
      <c r="DK466" s="411"/>
      <c r="DL466" s="411"/>
      <c r="DM466" s="411"/>
      <c r="DN466" s="411"/>
      <c r="DO466" s="411"/>
      <c r="DP466" s="411"/>
      <c r="DQ466" s="411"/>
      <c r="DR466" s="411"/>
      <c r="DS466" s="411"/>
      <c r="DT466" s="411"/>
      <c r="DU466" s="419"/>
      <c r="DV466" s="411"/>
      <c r="DW466" s="411"/>
      <c r="DX466" s="415"/>
      <c r="DY466" s="268"/>
      <c r="DZ466" s="268"/>
      <c r="EA466" s="268"/>
      <c r="EB466" s="268"/>
      <c r="EC466" s="268"/>
      <c r="ED466" s="268"/>
      <c r="EE466" s="268"/>
      <c r="EF466" s="268"/>
      <c r="EG466" s="268"/>
      <c r="EH466" s="268"/>
      <c r="EI466" s="268"/>
      <c r="EJ466" s="268"/>
    </row>
    <row r="467" spans="1:140" s="269" customFormat="1" x14ac:dyDescent="0.2">
      <c r="A467" s="288"/>
      <c r="B467" s="267"/>
      <c r="D467" s="264"/>
      <c r="E467" s="467"/>
      <c r="F467" s="264"/>
      <c r="G467" s="400"/>
      <c r="H467" s="264"/>
      <c r="I467" s="467"/>
      <c r="J467" s="264"/>
      <c r="K467" s="264"/>
      <c r="L467" s="264"/>
      <c r="M467" s="264"/>
      <c r="N467" s="264"/>
      <c r="O467" s="264"/>
      <c r="P467" s="264"/>
      <c r="Q467" s="264"/>
      <c r="R467" s="264"/>
      <c r="S467" s="264"/>
      <c r="T467" s="264"/>
      <c r="U467" s="264"/>
      <c r="V467" s="264"/>
      <c r="W467" s="283"/>
      <c r="X467" s="288"/>
      <c r="Z467" s="1002"/>
      <c r="AS467" s="1355"/>
      <c r="BK467" s="256"/>
      <c r="BO467" s="1363"/>
      <c r="BX467" s="257"/>
      <c r="BY467" s="256"/>
      <c r="BZ467" s="258"/>
      <c r="CA467" s="258"/>
      <c r="CB467" s="256"/>
      <c r="CC467" s="1013"/>
      <c r="CD467" s="1012"/>
      <c r="CE467" s="268"/>
      <c r="CF467" s="411"/>
      <c r="CG467" s="419"/>
      <c r="CH467" s="411"/>
      <c r="CI467" s="411"/>
      <c r="CJ467" s="411"/>
      <c r="CK467" s="419"/>
      <c r="CL467" s="411"/>
      <c r="CM467" s="411"/>
      <c r="CN467" s="411"/>
      <c r="CO467" s="419"/>
      <c r="CP467" s="411"/>
      <c r="CQ467" s="411"/>
      <c r="CR467" s="411"/>
      <c r="CS467" s="411"/>
      <c r="CT467" s="411"/>
      <c r="CU467" s="411"/>
      <c r="CV467" s="411"/>
      <c r="CW467" s="411"/>
      <c r="CX467" s="411"/>
      <c r="CY467" s="419"/>
      <c r="CZ467" s="411"/>
      <c r="DA467" s="411"/>
      <c r="DB467" s="411"/>
      <c r="DC467" s="419"/>
      <c r="DD467" s="411"/>
      <c r="DE467" s="411"/>
      <c r="DF467" s="411"/>
      <c r="DG467" s="419"/>
      <c r="DH467" s="411"/>
      <c r="DI467" s="411"/>
      <c r="DJ467" s="411"/>
      <c r="DK467" s="411"/>
      <c r="DL467" s="411"/>
      <c r="DM467" s="411"/>
      <c r="DN467" s="411"/>
      <c r="DO467" s="411"/>
      <c r="DP467" s="411"/>
      <c r="DQ467" s="411"/>
      <c r="DR467" s="411"/>
      <c r="DS467" s="411"/>
      <c r="DT467" s="411"/>
      <c r="DU467" s="419"/>
      <c r="DV467" s="411"/>
      <c r="DW467" s="411"/>
      <c r="DX467" s="415"/>
      <c r="DY467" s="268"/>
      <c r="DZ467" s="268"/>
      <c r="EA467" s="268"/>
      <c r="EB467" s="268"/>
      <c r="EC467" s="268"/>
      <c r="ED467" s="268"/>
      <c r="EE467" s="268"/>
      <c r="EF467" s="268"/>
      <c r="EG467" s="268"/>
      <c r="EH467" s="268"/>
      <c r="EI467" s="268"/>
      <c r="EJ467" s="268"/>
    </row>
    <row r="468" spans="1:140" s="269" customFormat="1" x14ac:dyDescent="0.2">
      <c r="A468" s="288"/>
      <c r="B468" s="267"/>
      <c r="D468" s="264"/>
      <c r="E468" s="467"/>
      <c r="F468" s="264"/>
      <c r="G468" s="400"/>
      <c r="H468" s="264"/>
      <c r="I468" s="467"/>
      <c r="J468" s="264"/>
      <c r="K468" s="264"/>
      <c r="L468" s="264"/>
      <c r="M468" s="264"/>
      <c r="N468" s="264"/>
      <c r="O468" s="264"/>
      <c r="P468" s="264"/>
      <c r="Q468" s="264"/>
      <c r="R468" s="264"/>
      <c r="S468" s="264"/>
      <c r="T468" s="264"/>
      <c r="U468" s="264"/>
      <c r="V468" s="264"/>
      <c r="W468" s="283"/>
      <c r="X468" s="288"/>
      <c r="Z468" s="1002"/>
      <c r="AS468" s="1355"/>
      <c r="BK468" s="256"/>
      <c r="BO468" s="1363"/>
      <c r="BX468" s="257"/>
      <c r="BY468" s="256"/>
      <c r="BZ468" s="258"/>
      <c r="CA468" s="258"/>
      <c r="CB468" s="256"/>
      <c r="CC468" s="1013"/>
      <c r="CD468" s="1012"/>
      <c r="CE468" s="268"/>
      <c r="CF468" s="411"/>
      <c r="CG468" s="419"/>
      <c r="CH468" s="411"/>
      <c r="CI468" s="411"/>
      <c r="CJ468" s="411"/>
      <c r="CK468" s="419"/>
      <c r="CL468" s="411"/>
      <c r="CM468" s="411"/>
      <c r="CN468" s="411"/>
      <c r="CO468" s="419"/>
      <c r="CP468" s="411"/>
      <c r="CQ468" s="411"/>
      <c r="CR468" s="411"/>
      <c r="CS468" s="411"/>
      <c r="CT468" s="411"/>
      <c r="CU468" s="411"/>
      <c r="CV468" s="411"/>
      <c r="CW468" s="411"/>
      <c r="CX468" s="411"/>
      <c r="CY468" s="419"/>
      <c r="CZ468" s="411"/>
      <c r="DA468" s="411"/>
      <c r="DB468" s="411"/>
      <c r="DC468" s="419"/>
      <c r="DD468" s="411"/>
      <c r="DE468" s="411"/>
      <c r="DF468" s="411"/>
      <c r="DG468" s="419"/>
      <c r="DH468" s="411"/>
      <c r="DI468" s="411"/>
      <c r="DJ468" s="411"/>
      <c r="DK468" s="411"/>
      <c r="DL468" s="411"/>
      <c r="DM468" s="411"/>
      <c r="DN468" s="411"/>
      <c r="DO468" s="411"/>
      <c r="DP468" s="411"/>
      <c r="DQ468" s="411"/>
      <c r="DR468" s="411"/>
      <c r="DS468" s="411"/>
      <c r="DT468" s="411"/>
      <c r="DU468" s="419"/>
      <c r="DV468" s="411"/>
      <c r="DW468" s="411"/>
      <c r="DX468" s="415"/>
      <c r="DY468" s="268"/>
      <c r="DZ468" s="268"/>
      <c r="EA468" s="268"/>
      <c r="EB468" s="268"/>
      <c r="EC468" s="268"/>
      <c r="ED468" s="268"/>
      <c r="EE468" s="268"/>
      <c r="EF468" s="268"/>
      <c r="EG468" s="268"/>
      <c r="EH468" s="268"/>
      <c r="EI468" s="268"/>
      <c r="EJ468" s="268"/>
    </row>
    <row r="469" spans="1:140" s="269" customFormat="1" x14ac:dyDescent="0.2">
      <c r="A469" s="288"/>
      <c r="B469" s="267"/>
      <c r="D469" s="264"/>
      <c r="E469" s="467"/>
      <c r="F469" s="264"/>
      <c r="G469" s="400"/>
      <c r="H469" s="264"/>
      <c r="I469" s="467"/>
      <c r="J469" s="264"/>
      <c r="K469" s="264"/>
      <c r="L469" s="264"/>
      <c r="M469" s="264"/>
      <c r="N469" s="264"/>
      <c r="O469" s="264"/>
      <c r="P469" s="264"/>
      <c r="Q469" s="264"/>
      <c r="R469" s="264"/>
      <c r="S469" s="264"/>
      <c r="T469" s="264"/>
      <c r="U469" s="264"/>
      <c r="V469" s="264"/>
      <c r="W469" s="283"/>
      <c r="X469" s="288"/>
      <c r="Z469" s="1002"/>
      <c r="AS469" s="1355"/>
      <c r="BK469" s="256"/>
      <c r="BO469" s="1363"/>
      <c r="BX469" s="257"/>
      <c r="BY469" s="256"/>
      <c r="BZ469" s="258"/>
      <c r="CA469" s="258"/>
      <c r="CB469" s="256"/>
      <c r="CC469" s="1013"/>
      <c r="CD469" s="1012"/>
      <c r="CE469" s="268"/>
      <c r="CF469" s="411"/>
      <c r="CG469" s="419"/>
      <c r="CH469" s="411"/>
      <c r="CI469" s="411"/>
      <c r="CJ469" s="411"/>
      <c r="CK469" s="419"/>
      <c r="CL469" s="411"/>
      <c r="CM469" s="411"/>
      <c r="CN469" s="411"/>
      <c r="CO469" s="419"/>
      <c r="CP469" s="411"/>
      <c r="CQ469" s="411"/>
      <c r="CR469" s="411"/>
      <c r="CS469" s="411"/>
      <c r="CT469" s="411"/>
      <c r="CU469" s="411"/>
      <c r="CV469" s="411"/>
      <c r="CW469" s="411"/>
      <c r="CX469" s="411"/>
      <c r="CY469" s="419"/>
      <c r="CZ469" s="411"/>
      <c r="DA469" s="411"/>
      <c r="DB469" s="411"/>
      <c r="DC469" s="419"/>
      <c r="DD469" s="411"/>
      <c r="DE469" s="411"/>
      <c r="DF469" s="411"/>
      <c r="DG469" s="419"/>
      <c r="DH469" s="411"/>
      <c r="DI469" s="411"/>
      <c r="DJ469" s="411"/>
      <c r="DK469" s="411"/>
      <c r="DL469" s="411"/>
      <c r="DM469" s="411"/>
      <c r="DN469" s="411"/>
      <c r="DO469" s="411"/>
      <c r="DP469" s="411"/>
      <c r="DQ469" s="411"/>
      <c r="DR469" s="411"/>
      <c r="DS469" s="411"/>
      <c r="DT469" s="411"/>
      <c r="DU469" s="419"/>
      <c r="DV469" s="411"/>
      <c r="DW469" s="411"/>
      <c r="DX469" s="415"/>
      <c r="DY469" s="268"/>
      <c r="DZ469" s="268"/>
      <c r="EA469" s="268"/>
      <c r="EB469" s="268"/>
      <c r="EC469" s="268"/>
      <c r="ED469" s="268"/>
      <c r="EE469" s="268"/>
      <c r="EF469" s="268"/>
      <c r="EG469" s="268"/>
      <c r="EH469" s="268"/>
      <c r="EI469" s="268"/>
      <c r="EJ469" s="268"/>
    </row>
    <row r="470" spans="1:140" s="269" customFormat="1" x14ac:dyDescent="0.2">
      <c r="A470" s="288"/>
      <c r="B470" s="267"/>
      <c r="D470" s="264"/>
      <c r="E470" s="467"/>
      <c r="F470" s="264"/>
      <c r="G470" s="400"/>
      <c r="H470" s="264"/>
      <c r="I470" s="467"/>
      <c r="J470" s="264"/>
      <c r="K470" s="264"/>
      <c r="L470" s="264"/>
      <c r="M470" s="264"/>
      <c r="N470" s="264"/>
      <c r="O470" s="264"/>
      <c r="P470" s="264"/>
      <c r="Q470" s="264"/>
      <c r="R470" s="264"/>
      <c r="S470" s="264"/>
      <c r="T470" s="264"/>
      <c r="U470" s="264"/>
      <c r="V470" s="264"/>
      <c r="W470" s="283"/>
      <c r="X470" s="288"/>
      <c r="Z470" s="1002"/>
      <c r="AS470" s="1355"/>
      <c r="BK470" s="256"/>
      <c r="BO470" s="1363"/>
      <c r="BX470" s="257"/>
      <c r="BY470" s="256"/>
      <c r="BZ470" s="258"/>
      <c r="CA470" s="258"/>
      <c r="CB470" s="256"/>
      <c r="CC470" s="1013"/>
      <c r="CD470" s="1012"/>
      <c r="CE470" s="268"/>
      <c r="CF470" s="411"/>
      <c r="CG470" s="419"/>
      <c r="CH470" s="411"/>
      <c r="CI470" s="411"/>
      <c r="CJ470" s="411"/>
      <c r="CK470" s="419"/>
      <c r="CL470" s="411"/>
      <c r="CM470" s="411"/>
      <c r="CN470" s="411"/>
      <c r="CO470" s="419"/>
      <c r="CP470" s="411"/>
      <c r="CQ470" s="411"/>
      <c r="CR470" s="411"/>
      <c r="CS470" s="411"/>
      <c r="CT470" s="411"/>
      <c r="CU470" s="411"/>
      <c r="CV470" s="411"/>
      <c r="CW470" s="411"/>
      <c r="CX470" s="411"/>
      <c r="CY470" s="419"/>
      <c r="CZ470" s="411"/>
      <c r="DA470" s="411"/>
      <c r="DB470" s="411"/>
      <c r="DC470" s="419"/>
      <c r="DD470" s="411"/>
      <c r="DE470" s="411"/>
      <c r="DF470" s="411"/>
      <c r="DG470" s="419"/>
      <c r="DH470" s="411"/>
      <c r="DI470" s="411"/>
      <c r="DJ470" s="411"/>
      <c r="DK470" s="411"/>
      <c r="DL470" s="411"/>
      <c r="DM470" s="411"/>
      <c r="DN470" s="411"/>
      <c r="DO470" s="411"/>
      <c r="DP470" s="411"/>
      <c r="DQ470" s="411"/>
      <c r="DR470" s="411"/>
      <c r="DS470" s="411"/>
      <c r="DT470" s="411"/>
      <c r="DU470" s="419"/>
      <c r="DV470" s="411"/>
      <c r="DW470" s="411"/>
      <c r="DX470" s="415"/>
      <c r="DY470" s="268"/>
      <c r="DZ470" s="268"/>
      <c r="EA470" s="268"/>
      <c r="EB470" s="268"/>
      <c r="EC470" s="268"/>
      <c r="ED470" s="268"/>
      <c r="EE470" s="268"/>
      <c r="EF470" s="268"/>
      <c r="EG470" s="268"/>
      <c r="EH470" s="268"/>
      <c r="EI470" s="268"/>
      <c r="EJ470" s="268"/>
    </row>
    <row r="471" spans="1:140" s="269" customFormat="1" x14ac:dyDescent="0.2">
      <c r="A471" s="288"/>
      <c r="B471" s="267"/>
      <c r="D471" s="264"/>
      <c r="E471" s="467"/>
      <c r="F471" s="264"/>
      <c r="G471" s="400"/>
      <c r="H471" s="264"/>
      <c r="I471" s="467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83"/>
      <c r="X471" s="288"/>
      <c r="Z471" s="1002"/>
      <c r="AS471" s="1355"/>
      <c r="BK471" s="256"/>
      <c r="BO471" s="1363"/>
      <c r="BX471" s="257"/>
      <c r="BY471" s="256"/>
      <c r="BZ471" s="258"/>
      <c r="CA471" s="258"/>
      <c r="CB471" s="256"/>
      <c r="CC471" s="1013"/>
      <c r="CD471" s="1012"/>
      <c r="CE471" s="268"/>
      <c r="CF471" s="411"/>
      <c r="CG471" s="419"/>
      <c r="CH471" s="411"/>
      <c r="CI471" s="411"/>
      <c r="CJ471" s="411"/>
      <c r="CK471" s="419"/>
      <c r="CL471" s="411"/>
      <c r="CM471" s="411"/>
      <c r="CN471" s="411"/>
      <c r="CO471" s="419"/>
      <c r="CP471" s="411"/>
      <c r="CQ471" s="411"/>
      <c r="CR471" s="411"/>
      <c r="CS471" s="411"/>
      <c r="CT471" s="411"/>
      <c r="CU471" s="411"/>
      <c r="CV471" s="411"/>
      <c r="CW471" s="411"/>
      <c r="CX471" s="411"/>
      <c r="CY471" s="419"/>
      <c r="CZ471" s="411"/>
      <c r="DA471" s="411"/>
      <c r="DB471" s="411"/>
      <c r="DC471" s="419"/>
      <c r="DD471" s="411"/>
      <c r="DE471" s="411"/>
      <c r="DF471" s="411"/>
      <c r="DG471" s="419"/>
      <c r="DH471" s="411"/>
      <c r="DI471" s="411"/>
      <c r="DJ471" s="411"/>
      <c r="DK471" s="411"/>
      <c r="DL471" s="411"/>
      <c r="DM471" s="411"/>
      <c r="DN471" s="411"/>
      <c r="DO471" s="411"/>
      <c r="DP471" s="411"/>
      <c r="DQ471" s="411"/>
      <c r="DR471" s="411"/>
      <c r="DS471" s="411"/>
      <c r="DT471" s="411"/>
      <c r="DU471" s="419"/>
      <c r="DV471" s="411"/>
      <c r="DW471" s="411"/>
      <c r="DX471" s="415"/>
      <c r="DY471" s="268"/>
      <c r="DZ471" s="268"/>
      <c r="EA471" s="268"/>
      <c r="EB471" s="268"/>
      <c r="EC471" s="268"/>
      <c r="ED471" s="268"/>
      <c r="EE471" s="268"/>
      <c r="EF471" s="268"/>
      <c r="EG471" s="268"/>
      <c r="EH471" s="268"/>
      <c r="EI471" s="268"/>
      <c r="EJ471" s="268"/>
    </row>
    <row r="472" spans="1:140" s="269" customFormat="1" x14ac:dyDescent="0.2">
      <c r="A472" s="288"/>
      <c r="B472" s="267"/>
      <c r="D472" s="264"/>
      <c r="E472" s="467"/>
      <c r="F472" s="264"/>
      <c r="G472" s="400"/>
      <c r="H472" s="264"/>
      <c r="I472" s="467"/>
      <c r="J472" s="264"/>
      <c r="K472" s="264"/>
      <c r="L472" s="264"/>
      <c r="M472" s="264"/>
      <c r="N472" s="264"/>
      <c r="O472" s="264"/>
      <c r="P472" s="264"/>
      <c r="Q472" s="264"/>
      <c r="R472" s="264"/>
      <c r="S472" s="264"/>
      <c r="T472" s="264"/>
      <c r="U472" s="264"/>
      <c r="V472" s="264"/>
      <c r="W472" s="283"/>
      <c r="X472" s="288"/>
      <c r="Z472" s="1002"/>
      <c r="AS472" s="1355"/>
      <c r="BK472" s="256"/>
      <c r="BO472" s="1363"/>
      <c r="BX472" s="257"/>
      <c r="BY472" s="256"/>
      <c r="BZ472" s="258"/>
      <c r="CA472" s="258"/>
      <c r="CB472" s="256"/>
      <c r="CC472" s="1013"/>
      <c r="CD472" s="1012"/>
      <c r="CE472" s="268"/>
      <c r="CF472" s="411"/>
      <c r="CG472" s="419"/>
      <c r="CH472" s="411"/>
      <c r="CI472" s="411"/>
      <c r="CJ472" s="411"/>
      <c r="CK472" s="419"/>
      <c r="CL472" s="411"/>
      <c r="CM472" s="411"/>
      <c r="CN472" s="411"/>
      <c r="CO472" s="419"/>
      <c r="CP472" s="411"/>
      <c r="CQ472" s="411"/>
      <c r="CR472" s="411"/>
      <c r="CS472" s="411"/>
      <c r="CT472" s="411"/>
      <c r="CU472" s="411"/>
      <c r="CV472" s="411"/>
      <c r="CW472" s="411"/>
      <c r="CX472" s="411"/>
      <c r="CY472" s="419"/>
      <c r="CZ472" s="411"/>
      <c r="DA472" s="411"/>
      <c r="DB472" s="411"/>
      <c r="DC472" s="419"/>
      <c r="DD472" s="411"/>
      <c r="DE472" s="411"/>
      <c r="DF472" s="411"/>
      <c r="DG472" s="419"/>
      <c r="DH472" s="411"/>
      <c r="DI472" s="411"/>
      <c r="DJ472" s="411"/>
      <c r="DK472" s="411"/>
      <c r="DL472" s="411"/>
      <c r="DM472" s="411"/>
      <c r="DN472" s="411"/>
      <c r="DO472" s="411"/>
      <c r="DP472" s="411"/>
      <c r="DQ472" s="411"/>
      <c r="DR472" s="411"/>
      <c r="DS472" s="411"/>
      <c r="DT472" s="411"/>
      <c r="DU472" s="419"/>
      <c r="DV472" s="411"/>
      <c r="DW472" s="411"/>
      <c r="DX472" s="415"/>
      <c r="DY472" s="268"/>
      <c r="DZ472" s="268"/>
      <c r="EA472" s="268"/>
      <c r="EB472" s="268"/>
      <c r="EC472" s="268"/>
      <c r="ED472" s="268"/>
      <c r="EE472" s="268"/>
      <c r="EF472" s="268"/>
      <c r="EG472" s="268"/>
      <c r="EH472" s="268"/>
      <c r="EI472" s="268"/>
      <c r="EJ472" s="268"/>
    </row>
    <row r="473" spans="1:140" s="269" customFormat="1" x14ac:dyDescent="0.2">
      <c r="A473" s="288"/>
      <c r="B473" s="267"/>
      <c r="D473" s="264"/>
      <c r="E473" s="467"/>
      <c r="F473" s="264"/>
      <c r="G473" s="400"/>
      <c r="H473" s="264"/>
      <c r="I473" s="467"/>
      <c r="J473" s="264"/>
      <c r="K473" s="264"/>
      <c r="L473" s="264"/>
      <c r="M473" s="264"/>
      <c r="N473" s="264"/>
      <c r="O473" s="264"/>
      <c r="P473" s="264"/>
      <c r="Q473" s="264"/>
      <c r="R473" s="264"/>
      <c r="S473" s="264"/>
      <c r="T473" s="264"/>
      <c r="U473" s="264"/>
      <c r="V473" s="264"/>
      <c r="W473" s="283"/>
      <c r="X473" s="288"/>
      <c r="Z473" s="1002"/>
      <c r="AS473" s="1355"/>
      <c r="BK473" s="256"/>
      <c r="BO473" s="1363"/>
      <c r="BX473" s="257"/>
      <c r="BY473" s="256"/>
      <c r="BZ473" s="258"/>
      <c r="CA473" s="258"/>
      <c r="CB473" s="256"/>
      <c r="CC473" s="1013"/>
      <c r="CD473" s="1012"/>
      <c r="CE473" s="268"/>
      <c r="CF473" s="411"/>
      <c r="CG473" s="419"/>
      <c r="CH473" s="411"/>
      <c r="CI473" s="411"/>
      <c r="CJ473" s="411"/>
      <c r="CK473" s="419"/>
      <c r="CL473" s="411"/>
      <c r="CM473" s="411"/>
      <c r="CN473" s="411"/>
      <c r="CO473" s="419"/>
      <c r="CP473" s="411"/>
      <c r="CQ473" s="411"/>
      <c r="CR473" s="411"/>
      <c r="CS473" s="411"/>
      <c r="CT473" s="411"/>
      <c r="CU473" s="411"/>
      <c r="CV473" s="411"/>
      <c r="CW473" s="411"/>
      <c r="CX473" s="411"/>
      <c r="CY473" s="419"/>
      <c r="CZ473" s="411"/>
      <c r="DA473" s="411"/>
      <c r="DB473" s="411"/>
      <c r="DC473" s="419"/>
      <c r="DD473" s="411"/>
      <c r="DE473" s="411"/>
      <c r="DF473" s="411"/>
      <c r="DG473" s="419"/>
      <c r="DH473" s="411"/>
      <c r="DI473" s="411"/>
      <c r="DJ473" s="411"/>
      <c r="DK473" s="411"/>
      <c r="DL473" s="411"/>
      <c r="DM473" s="411"/>
      <c r="DN473" s="411"/>
      <c r="DO473" s="411"/>
      <c r="DP473" s="411"/>
      <c r="DQ473" s="411"/>
      <c r="DR473" s="411"/>
      <c r="DS473" s="411"/>
      <c r="DT473" s="411"/>
      <c r="DU473" s="419"/>
      <c r="DV473" s="411"/>
      <c r="DW473" s="411"/>
      <c r="DX473" s="415"/>
      <c r="DY473" s="268"/>
      <c r="DZ473" s="268"/>
      <c r="EA473" s="268"/>
      <c r="EB473" s="268"/>
      <c r="EC473" s="268"/>
      <c r="ED473" s="268"/>
      <c r="EE473" s="268"/>
      <c r="EF473" s="268"/>
      <c r="EG473" s="268"/>
      <c r="EH473" s="268"/>
      <c r="EI473" s="268"/>
      <c r="EJ473" s="268"/>
    </row>
    <row r="474" spans="1:140" s="269" customFormat="1" x14ac:dyDescent="0.2">
      <c r="A474" s="288"/>
      <c r="B474" s="267"/>
      <c r="D474" s="264"/>
      <c r="E474" s="467"/>
      <c r="F474" s="264"/>
      <c r="G474" s="400"/>
      <c r="H474" s="264"/>
      <c r="I474" s="467"/>
      <c r="J474" s="264"/>
      <c r="K474" s="264"/>
      <c r="L474" s="264"/>
      <c r="M474" s="264"/>
      <c r="N474" s="264"/>
      <c r="O474" s="264"/>
      <c r="P474" s="264"/>
      <c r="Q474" s="264"/>
      <c r="R474" s="264"/>
      <c r="S474" s="264"/>
      <c r="T474" s="264"/>
      <c r="U474" s="264"/>
      <c r="V474" s="264"/>
      <c r="W474" s="283"/>
      <c r="X474" s="288"/>
      <c r="Z474" s="1002"/>
      <c r="AS474" s="1355"/>
      <c r="BK474" s="256"/>
      <c r="BO474" s="1363"/>
      <c r="BX474" s="257"/>
      <c r="BY474" s="256"/>
      <c r="BZ474" s="258"/>
      <c r="CA474" s="258"/>
      <c r="CB474" s="256"/>
      <c r="CC474" s="1013"/>
      <c r="CD474" s="1012"/>
      <c r="CE474" s="268"/>
      <c r="CF474" s="411"/>
      <c r="CG474" s="419"/>
      <c r="CH474" s="411"/>
      <c r="CI474" s="411"/>
      <c r="CJ474" s="411"/>
      <c r="CK474" s="419"/>
      <c r="CL474" s="411"/>
      <c r="CM474" s="411"/>
      <c r="CN474" s="411"/>
      <c r="CO474" s="419"/>
      <c r="CP474" s="411"/>
      <c r="CQ474" s="411"/>
      <c r="CR474" s="411"/>
      <c r="CS474" s="411"/>
      <c r="CT474" s="411"/>
      <c r="CU474" s="411"/>
      <c r="CV474" s="411"/>
      <c r="CW474" s="411"/>
      <c r="CX474" s="411"/>
      <c r="CY474" s="419"/>
      <c r="CZ474" s="411"/>
      <c r="DA474" s="411"/>
      <c r="DB474" s="411"/>
      <c r="DC474" s="419"/>
      <c r="DD474" s="411"/>
      <c r="DE474" s="411"/>
      <c r="DF474" s="411"/>
      <c r="DG474" s="419"/>
      <c r="DH474" s="411"/>
      <c r="DI474" s="411"/>
      <c r="DJ474" s="411"/>
      <c r="DK474" s="411"/>
      <c r="DL474" s="411"/>
      <c r="DM474" s="411"/>
      <c r="DN474" s="411"/>
      <c r="DO474" s="411"/>
      <c r="DP474" s="411"/>
      <c r="DQ474" s="411"/>
      <c r="DR474" s="411"/>
      <c r="DS474" s="411"/>
      <c r="DT474" s="411"/>
      <c r="DU474" s="419"/>
      <c r="DV474" s="411"/>
      <c r="DW474" s="411"/>
      <c r="DX474" s="415"/>
      <c r="DY474" s="268"/>
      <c r="DZ474" s="268"/>
      <c r="EA474" s="268"/>
      <c r="EB474" s="268"/>
      <c r="EC474" s="268"/>
      <c r="ED474" s="268"/>
      <c r="EE474" s="268"/>
      <c r="EF474" s="268"/>
      <c r="EG474" s="268"/>
      <c r="EH474" s="268"/>
      <c r="EI474" s="268"/>
      <c r="EJ474" s="268"/>
    </row>
    <row r="475" spans="1:140" s="269" customFormat="1" x14ac:dyDescent="0.2">
      <c r="A475" s="288"/>
      <c r="B475" s="267"/>
      <c r="D475" s="264"/>
      <c r="E475" s="467"/>
      <c r="F475" s="264"/>
      <c r="G475" s="400"/>
      <c r="H475" s="264"/>
      <c r="I475" s="467"/>
      <c r="J475" s="264"/>
      <c r="K475" s="264"/>
      <c r="L475" s="264"/>
      <c r="M475" s="264"/>
      <c r="N475" s="264"/>
      <c r="O475" s="264"/>
      <c r="P475" s="264"/>
      <c r="Q475" s="264"/>
      <c r="R475" s="264"/>
      <c r="S475" s="264"/>
      <c r="T475" s="264"/>
      <c r="U475" s="264"/>
      <c r="V475" s="264"/>
      <c r="W475" s="283"/>
      <c r="X475" s="288"/>
      <c r="Z475" s="1002"/>
      <c r="AS475" s="1355"/>
      <c r="BK475" s="256"/>
      <c r="BO475" s="1363"/>
      <c r="BX475" s="257"/>
      <c r="BY475" s="256"/>
      <c r="BZ475" s="258"/>
      <c r="CA475" s="258"/>
      <c r="CB475" s="256"/>
      <c r="CC475" s="1013"/>
      <c r="CD475" s="1012"/>
      <c r="CE475" s="268"/>
      <c r="CF475" s="411"/>
      <c r="CG475" s="419"/>
      <c r="CH475" s="411"/>
      <c r="CI475" s="411"/>
      <c r="CJ475" s="411"/>
      <c r="CK475" s="419"/>
      <c r="CL475" s="411"/>
      <c r="CM475" s="411"/>
      <c r="CN475" s="411"/>
      <c r="CO475" s="419"/>
      <c r="CP475" s="411"/>
      <c r="CQ475" s="411"/>
      <c r="CR475" s="411"/>
      <c r="CS475" s="411"/>
      <c r="CT475" s="411"/>
      <c r="CU475" s="411"/>
      <c r="CV475" s="411"/>
      <c r="CW475" s="411"/>
      <c r="CX475" s="411"/>
      <c r="CY475" s="419"/>
      <c r="CZ475" s="411"/>
      <c r="DA475" s="411"/>
      <c r="DB475" s="411"/>
      <c r="DC475" s="419"/>
      <c r="DD475" s="411"/>
      <c r="DE475" s="411"/>
      <c r="DF475" s="411"/>
      <c r="DG475" s="419"/>
      <c r="DH475" s="411"/>
      <c r="DI475" s="411"/>
      <c r="DJ475" s="411"/>
      <c r="DK475" s="411"/>
      <c r="DL475" s="411"/>
      <c r="DM475" s="411"/>
      <c r="DN475" s="411"/>
      <c r="DO475" s="411"/>
      <c r="DP475" s="411"/>
      <c r="DQ475" s="411"/>
      <c r="DR475" s="411"/>
      <c r="DS475" s="411"/>
      <c r="DT475" s="411"/>
      <c r="DU475" s="419"/>
      <c r="DV475" s="411"/>
      <c r="DW475" s="411"/>
      <c r="DX475" s="415"/>
      <c r="DY475" s="268"/>
      <c r="DZ475" s="268"/>
      <c r="EA475" s="268"/>
      <c r="EB475" s="268"/>
      <c r="EC475" s="268"/>
      <c r="ED475" s="268"/>
      <c r="EE475" s="268"/>
      <c r="EF475" s="268"/>
      <c r="EG475" s="268"/>
      <c r="EH475" s="268"/>
      <c r="EI475" s="268"/>
      <c r="EJ475" s="268"/>
    </row>
    <row r="476" spans="1:140" s="269" customFormat="1" x14ac:dyDescent="0.2">
      <c r="A476" s="288"/>
      <c r="B476" s="267"/>
      <c r="D476" s="264"/>
      <c r="E476" s="467"/>
      <c r="F476" s="264"/>
      <c r="G476" s="400"/>
      <c r="H476" s="264"/>
      <c r="I476" s="467"/>
      <c r="J476" s="264"/>
      <c r="K476" s="264"/>
      <c r="L476" s="264"/>
      <c r="M476" s="264"/>
      <c r="N476" s="264"/>
      <c r="O476" s="264"/>
      <c r="P476" s="264"/>
      <c r="Q476" s="264"/>
      <c r="R476" s="264"/>
      <c r="S476" s="264"/>
      <c r="T476" s="264"/>
      <c r="U476" s="264"/>
      <c r="V476" s="264"/>
      <c r="W476" s="283"/>
      <c r="X476" s="288"/>
      <c r="Z476" s="1002"/>
      <c r="AS476" s="1355"/>
      <c r="BK476" s="256"/>
      <c r="BO476" s="1363"/>
      <c r="BX476" s="257"/>
      <c r="BY476" s="256"/>
      <c r="BZ476" s="258"/>
      <c r="CA476" s="258"/>
      <c r="CB476" s="256"/>
      <c r="CC476" s="1013"/>
      <c r="CD476" s="1012"/>
      <c r="CE476" s="268"/>
      <c r="CF476" s="411"/>
      <c r="CG476" s="419"/>
      <c r="CH476" s="411"/>
      <c r="CI476" s="411"/>
      <c r="CJ476" s="411"/>
      <c r="CK476" s="419"/>
      <c r="CL476" s="411"/>
      <c r="CM476" s="411"/>
      <c r="CN476" s="411"/>
      <c r="CO476" s="419"/>
      <c r="CP476" s="411"/>
      <c r="CQ476" s="411"/>
      <c r="CR476" s="411"/>
      <c r="CS476" s="411"/>
      <c r="CT476" s="411"/>
      <c r="CU476" s="411"/>
      <c r="CV476" s="411"/>
      <c r="CW476" s="411"/>
      <c r="CX476" s="411"/>
      <c r="CY476" s="419"/>
      <c r="CZ476" s="411"/>
      <c r="DA476" s="411"/>
      <c r="DB476" s="411"/>
      <c r="DC476" s="419"/>
      <c r="DD476" s="411"/>
      <c r="DE476" s="411"/>
      <c r="DF476" s="411"/>
      <c r="DG476" s="419"/>
      <c r="DH476" s="411"/>
      <c r="DI476" s="411"/>
      <c r="DJ476" s="411"/>
      <c r="DK476" s="411"/>
      <c r="DL476" s="411"/>
      <c r="DM476" s="411"/>
      <c r="DN476" s="411"/>
      <c r="DO476" s="411"/>
      <c r="DP476" s="411"/>
      <c r="DQ476" s="411"/>
      <c r="DR476" s="411"/>
      <c r="DS476" s="411"/>
      <c r="DT476" s="411"/>
      <c r="DU476" s="419"/>
      <c r="DV476" s="411"/>
      <c r="DW476" s="411"/>
      <c r="DX476" s="415"/>
      <c r="DY476" s="268"/>
      <c r="DZ476" s="268"/>
      <c r="EA476" s="268"/>
      <c r="EB476" s="268"/>
      <c r="EC476" s="268"/>
      <c r="ED476" s="268"/>
      <c r="EE476" s="268"/>
      <c r="EF476" s="268"/>
      <c r="EG476" s="268"/>
      <c r="EH476" s="268"/>
      <c r="EI476" s="268"/>
      <c r="EJ476" s="268"/>
    </row>
    <row r="477" spans="1:140" s="269" customFormat="1" x14ac:dyDescent="0.2">
      <c r="A477" s="288"/>
      <c r="B477" s="267"/>
      <c r="D477" s="264"/>
      <c r="E477" s="467"/>
      <c r="F477" s="264"/>
      <c r="G477" s="400"/>
      <c r="H477" s="264"/>
      <c r="I477" s="467"/>
      <c r="J477" s="264"/>
      <c r="K477" s="264"/>
      <c r="L477" s="264"/>
      <c r="M477" s="264"/>
      <c r="N477" s="264"/>
      <c r="O477" s="264"/>
      <c r="P477" s="264"/>
      <c r="Q477" s="264"/>
      <c r="R477" s="264"/>
      <c r="S477" s="264"/>
      <c r="T477" s="264"/>
      <c r="U477" s="264"/>
      <c r="V477" s="264"/>
      <c r="W477" s="283"/>
      <c r="X477" s="288"/>
      <c r="Z477" s="1002"/>
      <c r="AS477" s="1355"/>
      <c r="BK477" s="256"/>
      <c r="BO477" s="1363"/>
      <c r="BX477" s="257"/>
      <c r="BY477" s="256"/>
      <c r="BZ477" s="258"/>
      <c r="CA477" s="258"/>
      <c r="CB477" s="256"/>
      <c r="CC477" s="1013"/>
      <c r="CD477" s="1012"/>
      <c r="CE477" s="268"/>
      <c r="CF477" s="411"/>
      <c r="CG477" s="419"/>
      <c r="CH477" s="411"/>
      <c r="CI477" s="411"/>
      <c r="CJ477" s="411"/>
      <c r="CK477" s="419"/>
      <c r="CL477" s="411"/>
      <c r="CM477" s="411"/>
      <c r="CN477" s="411"/>
      <c r="CO477" s="419"/>
      <c r="CP477" s="411"/>
      <c r="CQ477" s="411"/>
      <c r="CR477" s="411"/>
      <c r="CS477" s="411"/>
      <c r="CT477" s="411"/>
      <c r="CU477" s="411"/>
      <c r="CV477" s="411"/>
      <c r="CW477" s="411"/>
      <c r="CX477" s="411"/>
      <c r="CY477" s="419"/>
      <c r="CZ477" s="411"/>
      <c r="DA477" s="411"/>
      <c r="DB477" s="411"/>
      <c r="DC477" s="419"/>
      <c r="DD477" s="411"/>
      <c r="DE477" s="411"/>
      <c r="DF477" s="411"/>
      <c r="DG477" s="419"/>
      <c r="DH477" s="411"/>
      <c r="DI477" s="411"/>
      <c r="DJ477" s="411"/>
      <c r="DK477" s="411"/>
      <c r="DL477" s="411"/>
      <c r="DM477" s="411"/>
      <c r="DN477" s="411"/>
      <c r="DO477" s="411"/>
      <c r="DP477" s="411"/>
      <c r="DQ477" s="411"/>
      <c r="DR477" s="411"/>
      <c r="DS477" s="411"/>
      <c r="DT477" s="411"/>
      <c r="DU477" s="419"/>
      <c r="DV477" s="411"/>
      <c r="DW477" s="411"/>
      <c r="DX477" s="415"/>
      <c r="DY477" s="268"/>
      <c r="DZ477" s="268"/>
      <c r="EA477" s="268"/>
      <c r="EB477" s="268"/>
      <c r="EC477" s="268"/>
      <c r="ED477" s="268"/>
      <c r="EE477" s="268"/>
      <c r="EF477" s="268"/>
      <c r="EG477" s="268"/>
      <c r="EH477" s="268"/>
      <c r="EI477" s="268"/>
      <c r="EJ477" s="268"/>
    </row>
    <row r="478" spans="1:140" s="269" customFormat="1" x14ac:dyDescent="0.2">
      <c r="A478" s="288"/>
      <c r="B478" s="267"/>
      <c r="D478" s="264"/>
      <c r="E478" s="467"/>
      <c r="F478" s="264"/>
      <c r="G478" s="400"/>
      <c r="H478" s="264"/>
      <c r="I478" s="467"/>
      <c r="J478" s="264"/>
      <c r="K478" s="264"/>
      <c r="L478" s="264"/>
      <c r="M478" s="264"/>
      <c r="N478" s="264"/>
      <c r="O478" s="264"/>
      <c r="P478" s="264"/>
      <c r="Q478" s="264"/>
      <c r="R478" s="264"/>
      <c r="S478" s="264"/>
      <c r="T478" s="264"/>
      <c r="U478" s="264"/>
      <c r="V478" s="264"/>
      <c r="W478" s="283"/>
      <c r="X478" s="288"/>
      <c r="Z478" s="1002"/>
      <c r="AS478" s="1355"/>
      <c r="BK478" s="256"/>
      <c r="BO478" s="1363"/>
      <c r="BX478" s="257"/>
      <c r="BY478" s="256"/>
      <c r="BZ478" s="258"/>
      <c r="CA478" s="258"/>
      <c r="CB478" s="256"/>
      <c r="CC478" s="1013"/>
      <c r="CD478" s="1012"/>
      <c r="CE478" s="268"/>
      <c r="CF478" s="411"/>
      <c r="CG478" s="419"/>
      <c r="CH478" s="411"/>
      <c r="CI478" s="411"/>
      <c r="CJ478" s="411"/>
      <c r="CK478" s="419"/>
      <c r="CL478" s="411"/>
      <c r="CM478" s="411"/>
      <c r="CN478" s="411"/>
      <c r="CO478" s="419"/>
      <c r="CP478" s="411"/>
      <c r="CQ478" s="411"/>
      <c r="CR478" s="411"/>
      <c r="CS478" s="411"/>
      <c r="CT478" s="411"/>
      <c r="CU478" s="411"/>
      <c r="CV478" s="411"/>
      <c r="CW478" s="411"/>
      <c r="CX478" s="411"/>
      <c r="CY478" s="419"/>
      <c r="CZ478" s="411"/>
      <c r="DA478" s="411"/>
      <c r="DB478" s="411"/>
      <c r="DC478" s="419"/>
      <c r="DD478" s="411"/>
      <c r="DE478" s="411"/>
      <c r="DF478" s="411"/>
      <c r="DG478" s="419"/>
      <c r="DH478" s="411"/>
      <c r="DI478" s="411"/>
      <c r="DJ478" s="411"/>
      <c r="DK478" s="411"/>
      <c r="DL478" s="411"/>
      <c r="DM478" s="411"/>
      <c r="DN478" s="411"/>
      <c r="DO478" s="411"/>
      <c r="DP478" s="411"/>
      <c r="DQ478" s="411"/>
      <c r="DR478" s="411"/>
      <c r="DS478" s="411"/>
      <c r="DT478" s="411"/>
      <c r="DU478" s="419"/>
      <c r="DV478" s="411"/>
      <c r="DW478" s="411"/>
      <c r="DX478" s="415"/>
      <c r="DY478" s="268"/>
      <c r="DZ478" s="268"/>
      <c r="EA478" s="268"/>
      <c r="EB478" s="268"/>
      <c r="EC478" s="268"/>
      <c r="ED478" s="268"/>
      <c r="EE478" s="268"/>
      <c r="EF478" s="268"/>
      <c r="EG478" s="268"/>
      <c r="EH478" s="268"/>
      <c r="EI478" s="268"/>
      <c r="EJ478" s="268"/>
    </row>
    <row r="479" spans="1:140" s="269" customFormat="1" x14ac:dyDescent="0.2">
      <c r="A479" s="288"/>
      <c r="B479" s="267"/>
      <c r="D479" s="264"/>
      <c r="E479" s="467"/>
      <c r="F479" s="264"/>
      <c r="G479" s="400"/>
      <c r="H479" s="264"/>
      <c r="I479" s="467"/>
      <c r="J479" s="264"/>
      <c r="K479" s="264"/>
      <c r="L479" s="264"/>
      <c r="M479" s="264"/>
      <c r="N479" s="264"/>
      <c r="O479" s="264"/>
      <c r="P479" s="264"/>
      <c r="Q479" s="264"/>
      <c r="R479" s="264"/>
      <c r="S479" s="264"/>
      <c r="T479" s="264"/>
      <c r="U479" s="264"/>
      <c r="V479" s="264"/>
      <c r="W479" s="283"/>
      <c r="X479" s="288"/>
      <c r="Z479" s="1002"/>
      <c r="AS479" s="1355"/>
      <c r="BK479" s="256"/>
      <c r="BO479" s="1363"/>
      <c r="BX479" s="257"/>
      <c r="BY479" s="256"/>
      <c r="BZ479" s="258"/>
      <c r="CA479" s="258"/>
      <c r="CB479" s="256"/>
      <c r="CC479" s="1013"/>
      <c r="CD479" s="1012"/>
      <c r="CE479" s="268"/>
      <c r="CF479" s="411"/>
      <c r="CG479" s="419"/>
      <c r="CH479" s="411"/>
      <c r="CI479" s="411"/>
      <c r="CJ479" s="411"/>
      <c r="CK479" s="419"/>
      <c r="CL479" s="411"/>
      <c r="CM479" s="411"/>
      <c r="CN479" s="411"/>
      <c r="CO479" s="419"/>
      <c r="CP479" s="411"/>
      <c r="CQ479" s="411"/>
      <c r="CR479" s="411"/>
      <c r="CS479" s="411"/>
      <c r="CT479" s="411"/>
      <c r="CU479" s="411"/>
      <c r="CV479" s="411"/>
      <c r="CW479" s="411"/>
      <c r="CX479" s="411"/>
      <c r="CY479" s="419"/>
      <c r="CZ479" s="411"/>
      <c r="DA479" s="411"/>
      <c r="DB479" s="411"/>
      <c r="DC479" s="419"/>
      <c r="DD479" s="411"/>
      <c r="DE479" s="411"/>
      <c r="DF479" s="411"/>
      <c r="DG479" s="419"/>
      <c r="DH479" s="411"/>
      <c r="DI479" s="411"/>
      <c r="DJ479" s="411"/>
      <c r="DK479" s="411"/>
      <c r="DL479" s="411"/>
      <c r="DM479" s="411"/>
      <c r="DN479" s="411"/>
      <c r="DO479" s="411"/>
      <c r="DP479" s="411"/>
      <c r="DQ479" s="411"/>
      <c r="DR479" s="411"/>
      <c r="DS479" s="411"/>
      <c r="DT479" s="411"/>
      <c r="DU479" s="419"/>
      <c r="DV479" s="411"/>
      <c r="DW479" s="411"/>
      <c r="DX479" s="415"/>
      <c r="DY479" s="268"/>
      <c r="DZ479" s="268"/>
      <c r="EA479" s="268"/>
      <c r="EB479" s="268"/>
      <c r="EC479" s="268"/>
      <c r="ED479" s="268"/>
      <c r="EE479" s="268"/>
      <c r="EF479" s="268"/>
      <c r="EG479" s="268"/>
      <c r="EH479" s="268"/>
      <c r="EI479" s="268"/>
      <c r="EJ479" s="268"/>
    </row>
    <row r="480" spans="1:140" s="269" customFormat="1" x14ac:dyDescent="0.2">
      <c r="A480" s="288"/>
      <c r="B480" s="267"/>
      <c r="D480" s="264"/>
      <c r="E480" s="467"/>
      <c r="F480" s="264"/>
      <c r="G480" s="400"/>
      <c r="H480" s="264"/>
      <c r="I480" s="467"/>
      <c r="J480" s="264"/>
      <c r="K480" s="264"/>
      <c r="L480" s="264"/>
      <c r="M480" s="264"/>
      <c r="N480" s="264"/>
      <c r="O480" s="264"/>
      <c r="P480" s="264"/>
      <c r="Q480" s="264"/>
      <c r="R480" s="264"/>
      <c r="S480" s="264"/>
      <c r="T480" s="264"/>
      <c r="U480" s="264"/>
      <c r="V480" s="264"/>
      <c r="W480" s="283"/>
      <c r="X480" s="288"/>
      <c r="Z480" s="1002"/>
      <c r="AS480" s="1355"/>
      <c r="BK480" s="256"/>
      <c r="BO480" s="1363"/>
      <c r="BX480" s="257"/>
      <c r="BY480" s="256"/>
      <c r="BZ480" s="258"/>
      <c r="CA480" s="258"/>
      <c r="CB480" s="256"/>
      <c r="CC480" s="1013"/>
      <c r="CD480" s="1012"/>
      <c r="CE480" s="268"/>
      <c r="CF480" s="411"/>
      <c r="CG480" s="419"/>
      <c r="CH480" s="411"/>
      <c r="CI480" s="411"/>
      <c r="CJ480" s="411"/>
      <c r="CK480" s="419"/>
      <c r="CL480" s="411"/>
      <c r="CM480" s="411"/>
      <c r="CN480" s="411"/>
      <c r="CO480" s="419"/>
      <c r="CP480" s="411"/>
      <c r="CQ480" s="411"/>
      <c r="CR480" s="411"/>
      <c r="CS480" s="411"/>
      <c r="CT480" s="411"/>
      <c r="CU480" s="411"/>
      <c r="CV480" s="411"/>
      <c r="CW480" s="411"/>
      <c r="CX480" s="411"/>
      <c r="CY480" s="419"/>
      <c r="CZ480" s="411"/>
      <c r="DA480" s="411"/>
      <c r="DB480" s="411"/>
      <c r="DC480" s="419"/>
      <c r="DD480" s="411"/>
      <c r="DE480" s="411"/>
      <c r="DF480" s="411"/>
      <c r="DG480" s="419"/>
      <c r="DH480" s="411"/>
      <c r="DI480" s="411"/>
      <c r="DJ480" s="411"/>
      <c r="DK480" s="411"/>
      <c r="DL480" s="411"/>
      <c r="DM480" s="411"/>
      <c r="DN480" s="411"/>
      <c r="DO480" s="411"/>
      <c r="DP480" s="411"/>
      <c r="DQ480" s="411"/>
      <c r="DR480" s="411"/>
      <c r="DS480" s="411"/>
      <c r="DT480" s="411"/>
      <c r="DU480" s="419"/>
      <c r="DV480" s="411"/>
      <c r="DW480" s="411"/>
      <c r="DX480" s="415"/>
      <c r="DY480" s="268"/>
      <c r="DZ480" s="268"/>
      <c r="EA480" s="268"/>
      <c r="EB480" s="268"/>
      <c r="EC480" s="268"/>
      <c r="ED480" s="268"/>
      <c r="EE480" s="268"/>
      <c r="EF480" s="268"/>
      <c r="EG480" s="268"/>
      <c r="EH480" s="268"/>
      <c r="EI480" s="268"/>
      <c r="EJ480" s="268"/>
    </row>
    <row r="481" spans="1:140" s="269" customFormat="1" x14ac:dyDescent="0.2">
      <c r="A481" s="288"/>
      <c r="B481" s="267"/>
      <c r="D481" s="264"/>
      <c r="E481" s="467"/>
      <c r="F481" s="264"/>
      <c r="G481" s="400"/>
      <c r="H481" s="264"/>
      <c r="I481" s="467"/>
      <c r="J481" s="264"/>
      <c r="K481" s="264"/>
      <c r="L481" s="264"/>
      <c r="M481" s="264"/>
      <c r="N481" s="264"/>
      <c r="O481" s="264"/>
      <c r="P481" s="264"/>
      <c r="Q481" s="264"/>
      <c r="R481" s="264"/>
      <c r="S481" s="264"/>
      <c r="T481" s="264"/>
      <c r="U481" s="264"/>
      <c r="V481" s="264"/>
      <c r="W481" s="283"/>
      <c r="X481" s="288"/>
      <c r="Z481" s="1002"/>
      <c r="AS481" s="1355"/>
      <c r="BK481" s="256"/>
      <c r="BO481" s="1363"/>
      <c r="BX481" s="257"/>
      <c r="BY481" s="256"/>
      <c r="BZ481" s="258"/>
      <c r="CA481" s="258"/>
      <c r="CB481" s="256"/>
      <c r="CC481" s="1013"/>
      <c r="CD481" s="1012"/>
      <c r="CE481" s="268"/>
      <c r="CF481" s="411"/>
      <c r="CG481" s="419"/>
      <c r="CH481" s="411"/>
      <c r="CI481" s="411"/>
      <c r="CJ481" s="411"/>
      <c r="CK481" s="419"/>
      <c r="CL481" s="411"/>
      <c r="CM481" s="411"/>
      <c r="CN481" s="411"/>
      <c r="CO481" s="419"/>
      <c r="CP481" s="411"/>
      <c r="CQ481" s="411"/>
      <c r="CR481" s="411"/>
      <c r="CS481" s="411"/>
      <c r="CT481" s="411"/>
      <c r="CU481" s="411"/>
      <c r="CV481" s="411"/>
      <c r="CW481" s="411"/>
      <c r="CX481" s="411"/>
      <c r="CY481" s="419"/>
      <c r="CZ481" s="411"/>
      <c r="DA481" s="411"/>
      <c r="DB481" s="411"/>
      <c r="DC481" s="419"/>
      <c r="DD481" s="411"/>
      <c r="DE481" s="411"/>
      <c r="DF481" s="411"/>
      <c r="DG481" s="419"/>
      <c r="DH481" s="411"/>
      <c r="DI481" s="411"/>
      <c r="DJ481" s="411"/>
      <c r="DK481" s="411"/>
      <c r="DL481" s="411"/>
      <c r="DM481" s="411"/>
      <c r="DN481" s="411"/>
      <c r="DO481" s="411"/>
      <c r="DP481" s="411"/>
      <c r="DQ481" s="411"/>
      <c r="DR481" s="411"/>
      <c r="DS481" s="411"/>
      <c r="DT481" s="411"/>
      <c r="DU481" s="419"/>
      <c r="DV481" s="411"/>
      <c r="DW481" s="411"/>
      <c r="DX481" s="415"/>
      <c r="DY481" s="268"/>
      <c r="DZ481" s="268"/>
      <c r="EA481" s="268"/>
      <c r="EB481" s="268"/>
      <c r="EC481" s="268"/>
      <c r="ED481" s="268"/>
      <c r="EE481" s="268"/>
      <c r="EF481" s="268"/>
      <c r="EG481" s="268"/>
      <c r="EH481" s="268"/>
      <c r="EI481" s="268"/>
      <c r="EJ481" s="268"/>
    </row>
    <row r="482" spans="1:140" s="269" customFormat="1" x14ac:dyDescent="0.2">
      <c r="A482" s="288"/>
      <c r="B482" s="267"/>
      <c r="D482" s="264"/>
      <c r="E482" s="467"/>
      <c r="F482" s="264"/>
      <c r="G482" s="400"/>
      <c r="H482" s="264"/>
      <c r="I482" s="467"/>
      <c r="J482" s="264"/>
      <c r="K482" s="264"/>
      <c r="L482" s="264"/>
      <c r="M482" s="264"/>
      <c r="N482" s="264"/>
      <c r="O482" s="264"/>
      <c r="P482" s="264"/>
      <c r="Q482" s="264"/>
      <c r="R482" s="264"/>
      <c r="S482" s="264"/>
      <c r="T482" s="264"/>
      <c r="U482" s="264"/>
      <c r="V482" s="264"/>
      <c r="W482" s="283"/>
      <c r="X482" s="288"/>
      <c r="Z482" s="1002"/>
      <c r="AS482" s="1355"/>
      <c r="BK482" s="256"/>
      <c r="BO482" s="1363"/>
      <c r="BX482" s="257"/>
      <c r="BY482" s="256"/>
      <c r="BZ482" s="258"/>
      <c r="CA482" s="258"/>
      <c r="CB482" s="256"/>
      <c r="CC482" s="1013"/>
      <c r="CD482" s="1012"/>
      <c r="CE482" s="268"/>
      <c r="CF482" s="411"/>
      <c r="CG482" s="419"/>
      <c r="CH482" s="411"/>
      <c r="CI482" s="411"/>
      <c r="CJ482" s="411"/>
      <c r="CK482" s="419"/>
      <c r="CL482" s="411"/>
      <c r="CM482" s="411"/>
      <c r="CN482" s="411"/>
      <c r="CO482" s="419"/>
      <c r="CP482" s="411"/>
      <c r="CQ482" s="411"/>
      <c r="CR482" s="411"/>
      <c r="CS482" s="411"/>
      <c r="CT482" s="411"/>
      <c r="CU482" s="411"/>
      <c r="CV482" s="411"/>
      <c r="CW482" s="411"/>
      <c r="CX482" s="411"/>
      <c r="CY482" s="419"/>
      <c r="CZ482" s="411"/>
      <c r="DA482" s="411"/>
      <c r="DB482" s="411"/>
      <c r="DC482" s="419"/>
      <c r="DD482" s="411"/>
      <c r="DE482" s="411"/>
      <c r="DF482" s="411"/>
      <c r="DG482" s="419"/>
      <c r="DH482" s="411"/>
      <c r="DI482" s="411"/>
      <c r="DJ482" s="411"/>
      <c r="DK482" s="411"/>
      <c r="DL482" s="411"/>
      <c r="DM482" s="411"/>
      <c r="DN482" s="411"/>
      <c r="DO482" s="411"/>
      <c r="DP482" s="411"/>
      <c r="DQ482" s="411"/>
      <c r="DR482" s="411"/>
      <c r="DS482" s="411"/>
      <c r="DT482" s="411"/>
      <c r="DU482" s="419"/>
      <c r="DV482" s="411"/>
      <c r="DW482" s="411"/>
      <c r="DX482" s="415"/>
      <c r="DY482" s="268"/>
      <c r="DZ482" s="268"/>
      <c r="EA482" s="268"/>
      <c r="EB482" s="268"/>
      <c r="EC482" s="268"/>
      <c r="ED482" s="268"/>
      <c r="EE482" s="268"/>
      <c r="EF482" s="268"/>
      <c r="EG482" s="268"/>
      <c r="EH482" s="268"/>
      <c r="EI482" s="268"/>
      <c r="EJ482" s="268"/>
    </row>
    <row r="483" spans="1:140" s="269" customFormat="1" x14ac:dyDescent="0.2">
      <c r="A483" s="288"/>
      <c r="B483" s="267"/>
      <c r="D483" s="264"/>
      <c r="E483" s="467"/>
      <c r="F483" s="264"/>
      <c r="G483" s="400"/>
      <c r="H483" s="264"/>
      <c r="I483" s="467"/>
      <c r="J483" s="264"/>
      <c r="K483" s="264"/>
      <c r="L483" s="264"/>
      <c r="M483" s="264"/>
      <c r="N483" s="264"/>
      <c r="O483" s="264"/>
      <c r="P483" s="264"/>
      <c r="Q483" s="264"/>
      <c r="R483" s="264"/>
      <c r="S483" s="264"/>
      <c r="T483" s="264"/>
      <c r="U483" s="264"/>
      <c r="V483" s="264"/>
      <c r="W483" s="283"/>
      <c r="X483" s="288"/>
      <c r="Z483" s="1002"/>
      <c r="AS483" s="1355"/>
      <c r="BK483" s="256"/>
      <c r="BO483" s="1363"/>
      <c r="BX483" s="257"/>
      <c r="BY483" s="256"/>
      <c r="BZ483" s="258"/>
      <c r="CA483" s="258"/>
      <c r="CB483" s="256"/>
      <c r="CC483" s="1013"/>
      <c r="CD483" s="1012"/>
      <c r="CE483" s="268"/>
      <c r="CF483" s="411"/>
      <c r="CG483" s="419"/>
      <c r="CH483" s="411"/>
      <c r="CI483" s="411"/>
      <c r="CJ483" s="411"/>
      <c r="CK483" s="419"/>
      <c r="CL483" s="411"/>
      <c r="CM483" s="411"/>
      <c r="CN483" s="411"/>
      <c r="CO483" s="419"/>
      <c r="CP483" s="411"/>
      <c r="CQ483" s="411"/>
      <c r="CR483" s="411"/>
      <c r="CS483" s="411"/>
      <c r="CT483" s="411"/>
      <c r="CU483" s="411"/>
      <c r="CV483" s="411"/>
      <c r="CW483" s="411"/>
      <c r="CX483" s="411"/>
      <c r="CY483" s="419"/>
      <c r="CZ483" s="411"/>
      <c r="DA483" s="411"/>
      <c r="DB483" s="411"/>
      <c r="DC483" s="419"/>
      <c r="DD483" s="411"/>
      <c r="DE483" s="411"/>
      <c r="DF483" s="411"/>
      <c r="DG483" s="419"/>
      <c r="DH483" s="411"/>
      <c r="DI483" s="411"/>
      <c r="DJ483" s="411"/>
      <c r="DK483" s="411"/>
      <c r="DL483" s="411"/>
      <c r="DM483" s="411"/>
      <c r="DN483" s="411"/>
      <c r="DO483" s="411"/>
      <c r="DP483" s="411"/>
      <c r="DQ483" s="411"/>
      <c r="DR483" s="411"/>
      <c r="DS483" s="411"/>
      <c r="DT483" s="411"/>
      <c r="DU483" s="419"/>
      <c r="DV483" s="411"/>
      <c r="DW483" s="411"/>
      <c r="DX483" s="415"/>
      <c r="DY483" s="268"/>
      <c r="DZ483" s="268"/>
      <c r="EA483" s="268"/>
      <c r="EB483" s="268"/>
      <c r="EC483" s="268"/>
      <c r="ED483" s="268"/>
      <c r="EE483" s="268"/>
      <c r="EF483" s="268"/>
      <c r="EG483" s="268"/>
      <c r="EH483" s="268"/>
      <c r="EI483" s="268"/>
      <c r="EJ483" s="268"/>
    </row>
    <row r="484" spans="1:140" s="269" customFormat="1" x14ac:dyDescent="0.2">
      <c r="A484" s="288"/>
      <c r="B484" s="267"/>
      <c r="D484" s="264"/>
      <c r="E484" s="467"/>
      <c r="F484" s="264"/>
      <c r="G484" s="400"/>
      <c r="H484" s="264"/>
      <c r="I484" s="467"/>
      <c r="J484" s="264"/>
      <c r="K484" s="264"/>
      <c r="L484" s="264"/>
      <c r="M484" s="264"/>
      <c r="N484" s="264"/>
      <c r="O484" s="264"/>
      <c r="P484" s="264"/>
      <c r="Q484" s="264"/>
      <c r="R484" s="264"/>
      <c r="S484" s="264"/>
      <c r="T484" s="264"/>
      <c r="U484" s="264"/>
      <c r="V484" s="264"/>
      <c r="W484" s="283"/>
      <c r="X484" s="288"/>
      <c r="Z484" s="1002"/>
      <c r="AS484" s="1355"/>
      <c r="BK484" s="256"/>
      <c r="BO484" s="1363"/>
      <c r="BX484" s="257"/>
      <c r="BY484" s="256"/>
      <c r="BZ484" s="258"/>
      <c r="CA484" s="258"/>
      <c r="CB484" s="256"/>
      <c r="CC484" s="1013"/>
      <c r="CD484" s="1012"/>
      <c r="CE484" s="268"/>
      <c r="CF484" s="411"/>
      <c r="CG484" s="419"/>
      <c r="CH484" s="411"/>
      <c r="CI484" s="411"/>
      <c r="CJ484" s="411"/>
      <c r="CK484" s="419"/>
      <c r="CL484" s="411"/>
      <c r="CM484" s="411"/>
      <c r="CN484" s="411"/>
      <c r="CO484" s="419"/>
      <c r="CP484" s="411"/>
      <c r="CQ484" s="411"/>
      <c r="CR484" s="411"/>
      <c r="CS484" s="411"/>
      <c r="CT484" s="411"/>
      <c r="CU484" s="411"/>
      <c r="CV484" s="411"/>
      <c r="CW484" s="411"/>
      <c r="CX484" s="411"/>
      <c r="CY484" s="419"/>
      <c r="CZ484" s="411"/>
      <c r="DA484" s="411"/>
      <c r="DB484" s="411"/>
      <c r="DC484" s="419"/>
      <c r="DD484" s="411"/>
      <c r="DE484" s="411"/>
      <c r="DF484" s="411"/>
      <c r="DG484" s="419"/>
      <c r="DH484" s="411"/>
      <c r="DI484" s="411"/>
      <c r="DJ484" s="411"/>
      <c r="DK484" s="411"/>
      <c r="DL484" s="411"/>
      <c r="DM484" s="411"/>
      <c r="DN484" s="411"/>
      <c r="DO484" s="411"/>
      <c r="DP484" s="411"/>
      <c r="DQ484" s="411"/>
      <c r="DR484" s="411"/>
      <c r="DS484" s="411"/>
      <c r="DT484" s="411"/>
      <c r="DU484" s="419"/>
      <c r="DV484" s="411"/>
      <c r="DW484" s="411"/>
      <c r="DX484" s="415"/>
      <c r="DY484" s="268"/>
      <c r="DZ484" s="268"/>
      <c r="EA484" s="268"/>
      <c r="EB484" s="268"/>
      <c r="EC484" s="268"/>
      <c r="ED484" s="268"/>
      <c r="EE484" s="268"/>
      <c r="EF484" s="268"/>
      <c r="EG484" s="268"/>
      <c r="EH484" s="268"/>
      <c r="EI484" s="268"/>
      <c r="EJ484" s="268"/>
    </row>
    <row r="485" spans="1:140" s="269" customFormat="1" x14ac:dyDescent="0.2">
      <c r="A485" s="288"/>
      <c r="B485" s="267"/>
      <c r="D485" s="264"/>
      <c r="E485" s="467"/>
      <c r="F485" s="264"/>
      <c r="G485" s="400"/>
      <c r="H485" s="264"/>
      <c r="I485" s="467"/>
      <c r="J485" s="264"/>
      <c r="K485" s="264"/>
      <c r="L485" s="264"/>
      <c r="M485" s="264"/>
      <c r="N485" s="264"/>
      <c r="O485" s="264"/>
      <c r="P485" s="264"/>
      <c r="Q485" s="264"/>
      <c r="R485" s="264"/>
      <c r="S485" s="264"/>
      <c r="T485" s="264"/>
      <c r="U485" s="264"/>
      <c r="V485" s="264"/>
      <c r="W485" s="283"/>
      <c r="X485" s="288"/>
      <c r="Z485" s="1002"/>
      <c r="AS485" s="1355"/>
      <c r="BK485" s="256"/>
      <c r="BO485" s="1363"/>
      <c r="BX485" s="257"/>
      <c r="BY485" s="256"/>
      <c r="BZ485" s="258"/>
      <c r="CA485" s="258"/>
      <c r="CB485" s="256"/>
      <c r="CC485" s="1013"/>
      <c r="CD485" s="1012"/>
      <c r="CE485" s="268"/>
      <c r="CF485" s="411"/>
      <c r="CG485" s="419"/>
      <c r="CH485" s="411"/>
      <c r="CI485" s="411"/>
      <c r="CJ485" s="411"/>
      <c r="CK485" s="419"/>
      <c r="CL485" s="411"/>
      <c r="CM485" s="411"/>
      <c r="CN485" s="411"/>
      <c r="CO485" s="419"/>
      <c r="CP485" s="411"/>
      <c r="CQ485" s="411"/>
      <c r="CR485" s="411"/>
      <c r="CS485" s="411"/>
      <c r="CT485" s="411"/>
      <c r="CU485" s="411"/>
      <c r="CV485" s="411"/>
      <c r="CW485" s="411"/>
      <c r="CX485" s="411"/>
      <c r="CY485" s="419"/>
      <c r="CZ485" s="411"/>
      <c r="DA485" s="411"/>
      <c r="DB485" s="411"/>
      <c r="DC485" s="419"/>
      <c r="DD485" s="411"/>
      <c r="DE485" s="411"/>
      <c r="DF485" s="411"/>
      <c r="DG485" s="419"/>
      <c r="DH485" s="411"/>
      <c r="DI485" s="411"/>
      <c r="DJ485" s="411"/>
      <c r="DK485" s="411"/>
      <c r="DL485" s="411"/>
      <c r="DM485" s="411"/>
      <c r="DN485" s="411"/>
      <c r="DO485" s="411"/>
      <c r="DP485" s="411"/>
      <c r="DQ485" s="411"/>
      <c r="DR485" s="411"/>
      <c r="DS485" s="411"/>
      <c r="DT485" s="411"/>
      <c r="DU485" s="419"/>
      <c r="DV485" s="411"/>
      <c r="DW485" s="411"/>
      <c r="DX485" s="415"/>
      <c r="DY485" s="268"/>
      <c r="DZ485" s="268"/>
      <c r="EA485" s="268"/>
      <c r="EB485" s="268"/>
      <c r="EC485" s="268"/>
      <c r="ED485" s="268"/>
      <c r="EE485" s="268"/>
      <c r="EF485" s="268"/>
      <c r="EG485" s="268"/>
      <c r="EH485" s="268"/>
      <c r="EI485" s="268"/>
      <c r="EJ485" s="268"/>
    </row>
    <row r="486" spans="1:140" s="269" customFormat="1" x14ac:dyDescent="0.2">
      <c r="A486" s="288"/>
      <c r="B486" s="267"/>
      <c r="D486" s="264"/>
      <c r="E486" s="467"/>
      <c r="F486" s="264"/>
      <c r="G486" s="400"/>
      <c r="H486" s="264"/>
      <c r="I486" s="467"/>
      <c r="J486" s="264"/>
      <c r="K486" s="264"/>
      <c r="L486" s="264"/>
      <c r="M486" s="264"/>
      <c r="N486" s="264"/>
      <c r="O486" s="264"/>
      <c r="P486" s="264"/>
      <c r="Q486" s="264"/>
      <c r="R486" s="264"/>
      <c r="S486" s="264"/>
      <c r="T486" s="264"/>
      <c r="U486" s="264"/>
      <c r="V486" s="264"/>
      <c r="W486" s="283"/>
      <c r="X486" s="288"/>
      <c r="Z486" s="1002"/>
      <c r="AS486" s="1355"/>
      <c r="BK486" s="256"/>
      <c r="BO486" s="1363"/>
      <c r="BX486" s="257"/>
      <c r="BY486" s="256"/>
      <c r="BZ486" s="258"/>
      <c r="CA486" s="258"/>
      <c r="CB486" s="256"/>
      <c r="CC486" s="1013"/>
      <c r="CD486" s="1012"/>
      <c r="CE486" s="268"/>
      <c r="CF486" s="411"/>
      <c r="CG486" s="419"/>
      <c r="CH486" s="411"/>
      <c r="CI486" s="411"/>
      <c r="CJ486" s="411"/>
      <c r="CK486" s="419"/>
      <c r="CL486" s="411"/>
      <c r="CM486" s="411"/>
      <c r="CN486" s="411"/>
      <c r="CO486" s="419"/>
      <c r="CP486" s="411"/>
      <c r="CQ486" s="411"/>
      <c r="CR486" s="411"/>
      <c r="CS486" s="411"/>
      <c r="CT486" s="411"/>
      <c r="CU486" s="411"/>
      <c r="CV486" s="411"/>
      <c r="CW486" s="411"/>
      <c r="CX486" s="411"/>
      <c r="CY486" s="419"/>
      <c r="CZ486" s="411"/>
      <c r="DA486" s="411"/>
      <c r="DB486" s="411"/>
      <c r="DC486" s="419"/>
      <c r="DD486" s="411"/>
      <c r="DE486" s="411"/>
      <c r="DF486" s="411"/>
      <c r="DG486" s="419"/>
      <c r="DH486" s="411"/>
      <c r="DI486" s="411"/>
      <c r="DJ486" s="411"/>
      <c r="DK486" s="411"/>
      <c r="DL486" s="411"/>
      <c r="DM486" s="411"/>
      <c r="DN486" s="411"/>
      <c r="DO486" s="411"/>
      <c r="DP486" s="411"/>
      <c r="DQ486" s="411"/>
      <c r="DR486" s="411"/>
      <c r="DS486" s="411"/>
      <c r="DT486" s="411"/>
      <c r="DU486" s="419"/>
      <c r="DV486" s="411"/>
      <c r="DW486" s="411"/>
      <c r="DX486" s="415"/>
      <c r="DY486" s="268"/>
      <c r="DZ486" s="268"/>
      <c r="EA486" s="268"/>
      <c r="EB486" s="268"/>
      <c r="EC486" s="268"/>
      <c r="ED486" s="268"/>
      <c r="EE486" s="268"/>
      <c r="EF486" s="268"/>
      <c r="EG486" s="268"/>
      <c r="EH486" s="268"/>
      <c r="EI486" s="268"/>
      <c r="EJ486" s="268"/>
    </row>
    <row r="487" spans="1:140" s="269" customFormat="1" x14ac:dyDescent="0.2">
      <c r="A487" s="288"/>
      <c r="B487" s="267"/>
      <c r="D487" s="264"/>
      <c r="E487" s="467"/>
      <c r="F487" s="264"/>
      <c r="G487" s="400"/>
      <c r="H487" s="264"/>
      <c r="I487" s="467"/>
      <c r="J487" s="264"/>
      <c r="K487" s="264"/>
      <c r="L487" s="264"/>
      <c r="M487" s="264"/>
      <c r="N487" s="264"/>
      <c r="O487" s="264"/>
      <c r="P487" s="264"/>
      <c r="Q487" s="264"/>
      <c r="R487" s="264"/>
      <c r="S487" s="264"/>
      <c r="T487" s="264"/>
      <c r="U487" s="264"/>
      <c r="V487" s="264"/>
      <c r="W487" s="283"/>
      <c r="X487" s="288"/>
      <c r="Z487" s="1002"/>
      <c r="AS487" s="1355"/>
      <c r="BK487" s="256"/>
      <c r="BO487" s="1363"/>
      <c r="BX487" s="257"/>
      <c r="BY487" s="256"/>
      <c r="BZ487" s="258"/>
      <c r="CA487" s="258"/>
      <c r="CB487" s="256"/>
      <c r="CC487" s="1013"/>
      <c r="CD487" s="1012"/>
      <c r="CE487" s="268"/>
      <c r="CF487" s="411"/>
      <c r="CG487" s="419"/>
      <c r="CH487" s="411"/>
      <c r="CI487" s="411"/>
      <c r="CJ487" s="411"/>
      <c r="CK487" s="419"/>
      <c r="CL487" s="411"/>
      <c r="CM487" s="411"/>
      <c r="CN487" s="411"/>
      <c r="CO487" s="419"/>
      <c r="CP487" s="411"/>
      <c r="CQ487" s="411"/>
      <c r="CR487" s="411"/>
      <c r="CS487" s="411"/>
      <c r="CT487" s="411"/>
      <c r="CU487" s="411"/>
      <c r="CV487" s="411"/>
      <c r="CW487" s="411"/>
      <c r="CX487" s="411"/>
      <c r="CY487" s="419"/>
      <c r="CZ487" s="411"/>
      <c r="DA487" s="411"/>
      <c r="DB487" s="411"/>
      <c r="DC487" s="419"/>
      <c r="DD487" s="411"/>
      <c r="DE487" s="411"/>
      <c r="DF487" s="411"/>
      <c r="DG487" s="419"/>
      <c r="DH487" s="411"/>
      <c r="DI487" s="411"/>
      <c r="DJ487" s="411"/>
      <c r="DK487" s="411"/>
      <c r="DL487" s="411"/>
      <c r="DM487" s="411"/>
      <c r="DN487" s="411"/>
      <c r="DO487" s="411"/>
      <c r="DP487" s="411"/>
      <c r="DQ487" s="411"/>
      <c r="DR487" s="411"/>
      <c r="DS487" s="411"/>
      <c r="DT487" s="411"/>
      <c r="DU487" s="419"/>
      <c r="DV487" s="411"/>
      <c r="DW487" s="411"/>
      <c r="DX487" s="415"/>
      <c r="DY487" s="268"/>
      <c r="DZ487" s="268"/>
      <c r="EA487" s="268"/>
      <c r="EB487" s="268"/>
      <c r="EC487" s="268"/>
      <c r="ED487" s="268"/>
      <c r="EE487" s="268"/>
      <c r="EF487" s="268"/>
      <c r="EG487" s="268"/>
      <c r="EH487" s="268"/>
      <c r="EI487" s="268"/>
      <c r="EJ487" s="268"/>
    </row>
    <row r="488" spans="1:140" s="269" customFormat="1" x14ac:dyDescent="0.2">
      <c r="A488" s="288"/>
      <c r="B488" s="267"/>
      <c r="D488" s="264"/>
      <c r="E488" s="467"/>
      <c r="F488" s="264"/>
      <c r="G488" s="400"/>
      <c r="H488" s="264"/>
      <c r="I488" s="467"/>
      <c r="J488" s="264"/>
      <c r="K488" s="264"/>
      <c r="L488" s="264"/>
      <c r="M488" s="264"/>
      <c r="N488" s="264"/>
      <c r="O488" s="264"/>
      <c r="P488" s="264"/>
      <c r="Q488" s="264"/>
      <c r="R488" s="264"/>
      <c r="S488" s="264"/>
      <c r="T488" s="264"/>
      <c r="U488" s="264"/>
      <c r="V488" s="264"/>
      <c r="W488" s="283"/>
      <c r="X488" s="288"/>
      <c r="Z488" s="1002"/>
      <c r="AS488" s="1355"/>
      <c r="BK488" s="256"/>
      <c r="BO488" s="1363"/>
      <c r="BX488" s="257"/>
      <c r="BY488" s="256"/>
      <c r="BZ488" s="258"/>
      <c r="CA488" s="258"/>
      <c r="CB488" s="256"/>
      <c r="CC488" s="1013"/>
      <c r="CD488" s="1012"/>
      <c r="CE488" s="268"/>
      <c r="CF488" s="411"/>
      <c r="CG488" s="419"/>
      <c r="CH488" s="411"/>
      <c r="CI488" s="411"/>
      <c r="CJ488" s="411"/>
      <c r="CK488" s="419"/>
      <c r="CL488" s="411"/>
      <c r="CM488" s="411"/>
      <c r="CN488" s="411"/>
      <c r="CO488" s="419"/>
      <c r="CP488" s="411"/>
      <c r="CQ488" s="411"/>
      <c r="CR488" s="411"/>
      <c r="CS488" s="411"/>
      <c r="CT488" s="411"/>
      <c r="CU488" s="411"/>
      <c r="CV488" s="411"/>
      <c r="CW488" s="411"/>
      <c r="CX488" s="411"/>
      <c r="CY488" s="419"/>
      <c r="CZ488" s="411"/>
      <c r="DA488" s="411"/>
      <c r="DB488" s="411"/>
      <c r="DC488" s="419"/>
      <c r="DD488" s="411"/>
      <c r="DE488" s="411"/>
      <c r="DF488" s="411"/>
      <c r="DG488" s="419"/>
      <c r="DH488" s="411"/>
      <c r="DI488" s="411"/>
      <c r="DJ488" s="411"/>
      <c r="DK488" s="411"/>
      <c r="DL488" s="411"/>
      <c r="DM488" s="411"/>
      <c r="DN488" s="411"/>
      <c r="DO488" s="411"/>
      <c r="DP488" s="411"/>
      <c r="DQ488" s="411"/>
      <c r="DR488" s="411"/>
      <c r="DS488" s="411"/>
      <c r="DT488" s="411"/>
      <c r="DU488" s="419"/>
      <c r="DV488" s="411"/>
      <c r="DW488" s="411"/>
      <c r="DX488" s="415"/>
      <c r="DY488" s="268"/>
      <c r="DZ488" s="268"/>
      <c r="EA488" s="268"/>
      <c r="EB488" s="268"/>
      <c r="EC488" s="268"/>
      <c r="ED488" s="268"/>
      <c r="EE488" s="268"/>
      <c r="EF488" s="268"/>
      <c r="EG488" s="268"/>
      <c r="EH488" s="268"/>
      <c r="EI488" s="268"/>
      <c r="EJ488" s="268"/>
    </row>
    <row r="489" spans="1:140" s="269" customFormat="1" x14ac:dyDescent="0.2">
      <c r="A489" s="288"/>
      <c r="B489" s="267"/>
      <c r="D489" s="264"/>
      <c r="E489" s="467"/>
      <c r="F489" s="264"/>
      <c r="G489" s="400"/>
      <c r="H489" s="264"/>
      <c r="I489" s="467"/>
      <c r="J489" s="264"/>
      <c r="K489" s="264"/>
      <c r="L489" s="264"/>
      <c r="M489" s="264"/>
      <c r="N489" s="264"/>
      <c r="O489" s="264"/>
      <c r="P489" s="264"/>
      <c r="Q489" s="264"/>
      <c r="R489" s="264"/>
      <c r="S489" s="264"/>
      <c r="T489" s="264"/>
      <c r="U489" s="264"/>
      <c r="V489" s="264"/>
      <c r="W489" s="283"/>
      <c r="X489" s="288"/>
      <c r="Z489" s="1002"/>
      <c r="AS489" s="1355"/>
      <c r="BK489" s="256"/>
      <c r="BO489" s="1363"/>
      <c r="BX489" s="257"/>
      <c r="BY489" s="256"/>
      <c r="BZ489" s="258"/>
      <c r="CA489" s="258"/>
      <c r="CB489" s="256"/>
      <c r="CC489" s="1013"/>
      <c r="CD489" s="1012"/>
      <c r="CE489" s="268"/>
      <c r="CF489" s="411"/>
      <c r="CG489" s="419"/>
      <c r="CH489" s="411"/>
      <c r="CI489" s="411"/>
      <c r="CJ489" s="411"/>
      <c r="CK489" s="419"/>
      <c r="CL489" s="411"/>
      <c r="CM489" s="411"/>
      <c r="CN489" s="411"/>
      <c r="CO489" s="419"/>
      <c r="CP489" s="411"/>
      <c r="CQ489" s="411"/>
      <c r="CR489" s="411"/>
      <c r="CS489" s="411"/>
      <c r="CT489" s="411"/>
      <c r="CU489" s="411"/>
      <c r="CV489" s="411"/>
      <c r="CW489" s="411"/>
      <c r="CX489" s="411"/>
      <c r="CY489" s="419"/>
      <c r="CZ489" s="411"/>
      <c r="DA489" s="411"/>
      <c r="DB489" s="411"/>
      <c r="DC489" s="419"/>
      <c r="DD489" s="411"/>
      <c r="DE489" s="411"/>
      <c r="DF489" s="411"/>
      <c r="DG489" s="419"/>
      <c r="DH489" s="411"/>
      <c r="DI489" s="411"/>
      <c r="DJ489" s="411"/>
      <c r="DK489" s="411"/>
      <c r="DL489" s="411"/>
      <c r="DM489" s="411"/>
      <c r="DN489" s="411"/>
      <c r="DO489" s="411"/>
      <c r="DP489" s="411"/>
      <c r="DQ489" s="411"/>
      <c r="DR489" s="411"/>
      <c r="DS489" s="411"/>
      <c r="DT489" s="411"/>
      <c r="DU489" s="419"/>
      <c r="DV489" s="411"/>
      <c r="DW489" s="411"/>
      <c r="DX489" s="415"/>
      <c r="DY489" s="268"/>
      <c r="DZ489" s="268"/>
      <c r="EA489" s="268"/>
      <c r="EB489" s="268"/>
      <c r="EC489" s="268"/>
      <c r="ED489" s="268"/>
      <c r="EE489" s="268"/>
      <c r="EF489" s="268"/>
      <c r="EG489" s="268"/>
      <c r="EH489" s="268"/>
      <c r="EI489" s="268"/>
      <c r="EJ489" s="268"/>
    </row>
    <row r="490" spans="1:140" s="269" customFormat="1" x14ac:dyDescent="0.2">
      <c r="A490" s="288"/>
      <c r="B490" s="267"/>
      <c r="D490" s="264"/>
      <c r="E490" s="467"/>
      <c r="F490" s="264"/>
      <c r="G490" s="400"/>
      <c r="H490" s="264"/>
      <c r="I490" s="467"/>
      <c r="J490" s="264"/>
      <c r="K490" s="264"/>
      <c r="L490" s="264"/>
      <c r="M490" s="264"/>
      <c r="N490" s="264"/>
      <c r="O490" s="264"/>
      <c r="P490" s="264"/>
      <c r="Q490" s="264"/>
      <c r="R490" s="264"/>
      <c r="S490" s="264"/>
      <c r="T490" s="264"/>
      <c r="U490" s="264"/>
      <c r="V490" s="264"/>
      <c r="W490" s="283"/>
      <c r="X490" s="288"/>
      <c r="Z490" s="1002"/>
      <c r="AS490" s="1355"/>
      <c r="BK490" s="256"/>
      <c r="BO490" s="1363"/>
      <c r="BX490" s="257"/>
      <c r="BY490" s="256"/>
      <c r="BZ490" s="258"/>
      <c r="CA490" s="258"/>
      <c r="CB490" s="256"/>
      <c r="CC490" s="1013"/>
      <c r="CD490" s="1012"/>
      <c r="CE490" s="268"/>
      <c r="CF490" s="411"/>
      <c r="CG490" s="419"/>
      <c r="CH490" s="411"/>
      <c r="CI490" s="411"/>
      <c r="CJ490" s="411"/>
      <c r="CK490" s="419"/>
      <c r="CL490" s="411"/>
      <c r="CM490" s="411"/>
      <c r="CN490" s="411"/>
      <c r="CO490" s="419"/>
      <c r="CP490" s="411"/>
      <c r="CQ490" s="411"/>
      <c r="CR490" s="411"/>
      <c r="CS490" s="411"/>
      <c r="CT490" s="411"/>
      <c r="CU490" s="411"/>
      <c r="CV490" s="411"/>
      <c r="CW490" s="411"/>
      <c r="CX490" s="411"/>
      <c r="CY490" s="419"/>
      <c r="CZ490" s="411"/>
      <c r="DA490" s="411"/>
      <c r="DB490" s="411"/>
      <c r="DC490" s="419"/>
      <c r="DD490" s="411"/>
      <c r="DE490" s="411"/>
      <c r="DF490" s="411"/>
      <c r="DG490" s="419"/>
      <c r="DH490" s="411"/>
      <c r="DI490" s="411"/>
      <c r="DJ490" s="411"/>
      <c r="DK490" s="411"/>
      <c r="DL490" s="411"/>
      <c r="DM490" s="411"/>
      <c r="DN490" s="411"/>
      <c r="DO490" s="411"/>
      <c r="DP490" s="411"/>
      <c r="DQ490" s="411"/>
      <c r="DR490" s="411"/>
      <c r="DS490" s="411"/>
      <c r="DT490" s="411"/>
      <c r="DU490" s="419"/>
      <c r="DV490" s="411"/>
      <c r="DW490" s="411"/>
      <c r="DX490" s="415"/>
      <c r="DY490" s="268"/>
      <c r="DZ490" s="268"/>
      <c r="EA490" s="268"/>
      <c r="EB490" s="268"/>
      <c r="EC490" s="268"/>
      <c r="ED490" s="268"/>
      <c r="EE490" s="268"/>
      <c r="EF490" s="268"/>
      <c r="EG490" s="268"/>
      <c r="EH490" s="268"/>
      <c r="EI490" s="268"/>
      <c r="EJ490" s="268"/>
    </row>
    <row r="491" spans="1:140" s="269" customFormat="1" x14ac:dyDescent="0.2">
      <c r="A491" s="288"/>
      <c r="B491" s="267"/>
      <c r="D491" s="264"/>
      <c r="E491" s="467"/>
      <c r="F491" s="264"/>
      <c r="G491" s="400"/>
      <c r="H491" s="264"/>
      <c r="I491" s="467"/>
      <c r="J491" s="264"/>
      <c r="K491" s="264"/>
      <c r="L491" s="264"/>
      <c r="M491" s="264"/>
      <c r="N491" s="264"/>
      <c r="O491" s="264"/>
      <c r="P491" s="264"/>
      <c r="Q491" s="264"/>
      <c r="R491" s="264"/>
      <c r="S491" s="264"/>
      <c r="T491" s="264"/>
      <c r="U491" s="264"/>
      <c r="V491" s="264"/>
      <c r="W491" s="283"/>
      <c r="X491" s="288"/>
      <c r="Z491" s="1002"/>
      <c r="AS491" s="1355"/>
      <c r="BK491" s="256"/>
      <c r="BO491" s="1363"/>
      <c r="BX491" s="257"/>
      <c r="BY491" s="256"/>
      <c r="BZ491" s="258"/>
      <c r="CA491" s="258"/>
      <c r="CB491" s="256"/>
      <c r="CC491" s="1013"/>
      <c r="CD491" s="1012"/>
      <c r="CE491" s="268"/>
      <c r="CF491" s="411"/>
      <c r="CG491" s="419"/>
      <c r="CH491" s="411"/>
      <c r="CI491" s="411"/>
      <c r="CJ491" s="411"/>
      <c r="CK491" s="419"/>
      <c r="CL491" s="411"/>
      <c r="CM491" s="411"/>
      <c r="CN491" s="411"/>
      <c r="CO491" s="419"/>
      <c r="CP491" s="411"/>
      <c r="CQ491" s="411"/>
      <c r="CR491" s="411"/>
      <c r="CS491" s="411"/>
      <c r="CT491" s="411"/>
      <c r="CU491" s="411"/>
      <c r="CV491" s="411"/>
      <c r="CW491" s="411"/>
      <c r="CX491" s="411"/>
      <c r="CY491" s="419"/>
      <c r="CZ491" s="411"/>
      <c r="DA491" s="411"/>
      <c r="DB491" s="411"/>
      <c r="DC491" s="419"/>
      <c r="DD491" s="411"/>
      <c r="DE491" s="411"/>
      <c r="DF491" s="411"/>
      <c r="DG491" s="419"/>
      <c r="DH491" s="411"/>
      <c r="DI491" s="411"/>
      <c r="DJ491" s="411"/>
      <c r="DK491" s="411"/>
      <c r="DL491" s="411"/>
      <c r="DM491" s="411"/>
      <c r="DN491" s="411"/>
      <c r="DO491" s="411"/>
      <c r="DP491" s="411"/>
      <c r="DQ491" s="411"/>
      <c r="DR491" s="411"/>
      <c r="DS491" s="411"/>
      <c r="DT491" s="411"/>
      <c r="DU491" s="419"/>
      <c r="DV491" s="411"/>
      <c r="DW491" s="411"/>
      <c r="DX491" s="415"/>
      <c r="DY491" s="268"/>
      <c r="DZ491" s="268"/>
      <c r="EA491" s="268"/>
      <c r="EB491" s="268"/>
      <c r="EC491" s="268"/>
      <c r="ED491" s="268"/>
      <c r="EE491" s="268"/>
      <c r="EF491" s="268"/>
      <c r="EG491" s="268"/>
      <c r="EH491" s="268"/>
      <c r="EI491" s="268"/>
      <c r="EJ491" s="268"/>
    </row>
    <row r="492" spans="1:140" s="269" customFormat="1" x14ac:dyDescent="0.2">
      <c r="A492" s="288"/>
      <c r="B492" s="267"/>
      <c r="D492" s="264"/>
      <c r="E492" s="467"/>
      <c r="F492" s="264"/>
      <c r="G492" s="400"/>
      <c r="H492" s="264"/>
      <c r="I492" s="467"/>
      <c r="J492" s="264"/>
      <c r="K492" s="264"/>
      <c r="L492" s="264"/>
      <c r="M492" s="264"/>
      <c r="N492" s="264"/>
      <c r="O492" s="264"/>
      <c r="P492" s="264"/>
      <c r="Q492" s="264"/>
      <c r="R492" s="264"/>
      <c r="S492" s="264"/>
      <c r="T492" s="264"/>
      <c r="U492" s="264"/>
      <c r="V492" s="264"/>
      <c r="W492" s="283"/>
      <c r="X492" s="288"/>
      <c r="Z492" s="1002"/>
      <c r="AS492" s="1355"/>
      <c r="BK492" s="256"/>
      <c r="BO492" s="1363"/>
      <c r="BX492" s="257"/>
      <c r="BY492" s="256"/>
      <c r="BZ492" s="258"/>
      <c r="CA492" s="258"/>
      <c r="CB492" s="256"/>
      <c r="CC492" s="1013"/>
      <c r="CD492" s="1012"/>
      <c r="CE492" s="268"/>
      <c r="CF492" s="411"/>
      <c r="CG492" s="419"/>
      <c r="CH492" s="411"/>
      <c r="CI492" s="411"/>
      <c r="CJ492" s="411"/>
      <c r="CK492" s="419"/>
      <c r="CL492" s="411"/>
      <c r="CM492" s="411"/>
      <c r="CN492" s="411"/>
      <c r="CO492" s="419"/>
      <c r="CP492" s="411"/>
      <c r="CQ492" s="411"/>
      <c r="CR492" s="411"/>
      <c r="CS492" s="411"/>
      <c r="CT492" s="411"/>
      <c r="CU492" s="411"/>
      <c r="CV492" s="411"/>
      <c r="CW492" s="411"/>
      <c r="CX492" s="411"/>
      <c r="CY492" s="419"/>
      <c r="CZ492" s="411"/>
      <c r="DA492" s="411"/>
      <c r="DB492" s="411"/>
      <c r="DC492" s="419"/>
      <c r="DD492" s="411"/>
      <c r="DE492" s="411"/>
      <c r="DF492" s="411"/>
      <c r="DG492" s="419"/>
      <c r="DH492" s="411"/>
      <c r="DI492" s="411"/>
      <c r="DJ492" s="411"/>
      <c r="DK492" s="411"/>
      <c r="DL492" s="411"/>
      <c r="DM492" s="411"/>
      <c r="DN492" s="411"/>
      <c r="DO492" s="411"/>
      <c r="DP492" s="411"/>
      <c r="DQ492" s="411"/>
      <c r="DR492" s="411"/>
      <c r="DS492" s="411"/>
      <c r="DT492" s="411"/>
      <c r="DU492" s="419"/>
      <c r="DV492" s="411"/>
      <c r="DW492" s="411"/>
      <c r="DX492" s="415"/>
      <c r="DY492" s="268"/>
      <c r="DZ492" s="268"/>
      <c r="EA492" s="268"/>
      <c r="EB492" s="268"/>
      <c r="EC492" s="268"/>
      <c r="ED492" s="268"/>
      <c r="EE492" s="268"/>
      <c r="EF492" s="268"/>
      <c r="EG492" s="268"/>
      <c r="EH492" s="268"/>
      <c r="EI492" s="268"/>
      <c r="EJ492" s="268"/>
    </row>
    <row r="493" spans="1:140" s="269" customFormat="1" x14ac:dyDescent="0.2">
      <c r="A493" s="288"/>
      <c r="B493" s="267"/>
      <c r="D493" s="264"/>
      <c r="E493" s="467"/>
      <c r="F493" s="264"/>
      <c r="G493" s="400"/>
      <c r="H493" s="264"/>
      <c r="I493" s="467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283"/>
      <c r="X493" s="288"/>
      <c r="Z493" s="1002"/>
      <c r="AS493" s="1355"/>
      <c r="BK493" s="256"/>
      <c r="BO493" s="1363"/>
      <c r="BX493" s="257"/>
      <c r="BY493" s="256"/>
      <c r="BZ493" s="258"/>
      <c r="CA493" s="258"/>
      <c r="CB493" s="256"/>
      <c r="CC493" s="1013"/>
      <c r="CD493" s="1012"/>
      <c r="CE493" s="268"/>
      <c r="CF493" s="411"/>
      <c r="CG493" s="419"/>
      <c r="CH493" s="411"/>
      <c r="CI493" s="411"/>
      <c r="CJ493" s="411"/>
      <c r="CK493" s="419"/>
      <c r="CL493" s="411"/>
      <c r="CM493" s="411"/>
      <c r="CN493" s="411"/>
      <c r="CO493" s="419"/>
      <c r="CP493" s="411"/>
      <c r="CQ493" s="411"/>
      <c r="CR493" s="411"/>
      <c r="CS493" s="411"/>
      <c r="CT493" s="411"/>
      <c r="CU493" s="411"/>
      <c r="CV493" s="411"/>
      <c r="CW493" s="411"/>
      <c r="CX493" s="411"/>
      <c r="CY493" s="419"/>
      <c r="CZ493" s="411"/>
      <c r="DA493" s="411"/>
      <c r="DB493" s="411"/>
      <c r="DC493" s="419"/>
      <c r="DD493" s="411"/>
      <c r="DE493" s="411"/>
      <c r="DF493" s="411"/>
      <c r="DG493" s="419"/>
      <c r="DH493" s="411"/>
      <c r="DI493" s="411"/>
      <c r="DJ493" s="411"/>
      <c r="DK493" s="411"/>
      <c r="DL493" s="411"/>
      <c r="DM493" s="411"/>
      <c r="DN493" s="411"/>
      <c r="DO493" s="411"/>
      <c r="DP493" s="411"/>
      <c r="DQ493" s="411"/>
      <c r="DR493" s="411"/>
      <c r="DS493" s="411"/>
      <c r="DT493" s="411"/>
      <c r="DU493" s="419"/>
      <c r="DV493" s="411"/>
      <c r="DW493" s="411"/>
      <c r="DX493" s="415"/>
      <c r="DY493" s="268"/>
      <c r="DZ493" s="268"/>
      <c r="EA493" s="268"/>
      <c r="EB493" s="268"/>
      <c r="EC493" s="268"/>
      <c r="ED493" s="268"/>
      <c r="EE493" s="268"/>
      <c r="EF493" s="268"/>
      <c r="EG493" s="268"/>
      <c r="EH493" s="268"/>
      <c r="EI493" s="268"/>
      <c r="EJ493" s="268"/>
    </row>
    <row r="494" spans="1:140" s="269" customFormat="1" x14ac:dyDescent="0.2">
      <c r="A494" s="288"/>
      <c r="B494" s="267"/>
      <c r="D494" s="264"/>
      <c r="E494" s="467"/>
      <c r="F494" s="264"/>
      <c r="G494" s="400"/>
      <c r="H494" s="264"/>
      <c r="I494" s="467"/>
      <c r="J494" s="264"/>
      <c r="K494" s="264"/>
      <c r="L494" s="264"/>
      <c r="M494" s="264"/>
      <c r="N494" s="264"/>
      <c r="O494" s="264"/>
      <c r="P494" s="264"/>
      <c r="Q494" s="264"/>
      <c r="R494" s="264"/>
      <c r="S494" s="264"/>
      <c r="T494" s="264"/>
      <c r="U494" s="264"/>
      <c r="V494" s="264"/>
      <c r="W494" s="283"/>
      <c r="X494" s="288"/>
      <c r="Z494" s="1002"/>
      <c r="AS494" s="1355"/>
      <c r="BK494" s="256"/>
      <c r="BO494" s="1363"/>
      <c r="BX494" s="257"/>
      <c r="BY494" s="256"/>
      <c r="BZ494" s="258"/>
      <c r="CA494" s="258"/>
      <c r="CB494" s="256"/>
      <c r="CC494" s="1013"/>
      <c r="CD494" s="1012"/>
      <c r="CE494" s="268"/>
      <c r="CF494" s="411"/>
      <c r="CG494" s="419"/>
      <c r="CH494" s="411"/>
      <c r="CI494" s="411"/>
      <c r="CJ494" s="411"/>
      <c r="CK494" s="419"/>
      <c r="CL494" s="411"/>
      <c r="CM494" s="411"/>
      <c r="CN494" s="411"/>
      <c r="CO494" s="419"/>
      <c r="CP494" s="411"/>
      <c r="CQ494" s="411"/>
      <c r="CR494" s="411"/>
      <c r="CS494" s="411"/>
      <c r="CT494" s="411"/>
      <c r="CU494" s="411"/>
      <c r="CV494" s="411"/>
      <c r="CW494" s="411"/>
      <c r="CX494" s="411"/>
      <c r="CY494" s="419"/>
      <c r="CZ494" s="411"/>
      <c r="DA494" s="411"/>
      <c r="DB494" s="411"/>
      <c r="DC494" s="419"/>
      <c r="DD494" s="411"/>
      <c r="DE494" s="411"/>
      <c r="DF494" s="411"/>
      <c r="DG494" s="419"/>
      <c r="DH494" s="411"/>
      <c r="DI494" s="411"/>
      <c r="DJ494" s="411"/>
      <c r="DK494" s="411"/>
      <c r="DL494" s="411"/>
      <c r="DM494" s="411"/>
      <c r="DN494" s="411"/>
      <c r="DO494" s="411"/>
      <c r="DP494" s="411"/>
      <c r="DQ494" s="411"/>
      <c r="DR494" s="411"/>
      <c r="DS494" s="411"/>
      <c r="DT494" s="411"/>
      <c r="DU494" s="419"/>
      <c r="DV494" s="411"/>
      <c r="DW494" s="411"/>
      <c r="DX494" s="415"/>
      <c r="DY494" s="268"/>
      <c r="DZ494" s="268"/>
      <c r="EA494" s="268"/>
      <c r="EB494" s="268"/>
      <c r="EC494" s="268"/>
      <c r="ED494" s="268"/>
      <c r="EE494" s="268"/>
      <c r="EF494" s="268"/>
      <c r="EG494" s="268"/>
      <c r="EH494" s="268"/>
      <c r="EI494" s="268"/>
      <c r="EJ494" s="268"/>
    </row>
    <row r="495" spans="1:140" s="269" customFormat="1" x14ac:dyDescent="0.2">
      <c r="A495" s="288"/>
      <c r="B495" s="267"/>
      <c r="D495" s="264"/>
      <c r="E495" s="467"/>
      <c r="F495" s="264"/>
      <c r="G495" s="400"/>
      <c r="H495" s="264"/>
      <c r="I495" s="467"/>
      <c r="J495" s="264"/>
      <c r="K495" s="264"/>
      <c r="L495" s="264"/>
      <c r="M495" s="264"/>
      <c r="N495" s="264"/>
      <c r="O495" s="264"/>
      <c r="P495" s="264"/>
      <c r="Q495" s="264"/>
      <c r="R495" s="264"/>
      <c r="S495" s="264"/>
      <c r="T495" s="264"/>
      <c r="U495" s="264"/>
      <c r="V495" s="264"/>
      <c r="W495" s="283"/>
      <c r="X495" s="288"/>
      <c r="Z495" s="1002"/>
      <c r="AS495" s="1355"/>
      <c r="BK495" s="256"/>
      <c r="BO495" s="1363"/>
      <c r="BX495" s="257"/>
      <c r="BY495" s="256"/>
      <c r="BZ495" s="258"/>
      <c r="CA495" s="258"/>
      <c r="CB495" s="256"/>
      <c r="CC495" s="1013"/>
      <c r="CD495" s="1012"/>
      <c r="CE495" s="268"/>
      <c r="CF495" s="411"/>
      <c r="CG495" s="419"/>
      <c r="CH495" s="411"/>
      <c r="CI495" s="411"/>
      <c r="CJ495" s="411"/>
      <c r="CK495" s="419"/>
      <c r="CL495" s="411"/>
      <c r="CM495" s="411"/>
      <c r="CN495" s="411"/>
      <c r="CO495" s="419"/>
      <c r="CP495" s="411"/>
      <c r="CQ495" s="411"/>
      <c r="CR495" s="411"/>
      <c r="CS495" s="411"/>
      <c r="CT495" s="411"/>
      <c r="CU495" s="411"/>
      <c r="CV495" s="411"/>
      <c r="CW495" s="411"/>
      <c r="CX495" s="411"/>
      <c r="CY495" s="419"/>
      <c r="CZ495" s="411"/>
      <c r="DA495" s="411"/>
      <c r="DB495" s="411"/>
      <c r="DC495" s="419"/>
      <c r="DD495" s="411"/>
      <c r="DE495" s="411"/>
      <c r="DF495" s="411"/>
      <c r="DG495" s="419"/>
      <c r="DH495" s="411"/>
      <c r="DI495" s="411"/>
      <c r="DJ495" s="411"/>
      <c r="DK495" s="411"/>
      <c r="DL495" s="411"/>
      <c r="DM495" s="411"/>
      <c r="DN495" s="411"/>
      <c r="DO495" s="411"/>
      <c r="DP495" s="411"/>
      <c r="DQ495" s="411"/>
      <c r="DR495" s="411"/>
      <c r="DS495" s="411"/>
      <c r="DT495" s="411"/>
      <c r="DU495" s="419"/>
      <c r="DV495" s="411"/>
      <c r="DW495" s="411"/>
      <c r="DX495" s="415"/>
      <c r="DY495" s="268"/>
      <c r="DZ495" s="268"/>
      <c r="EA495" s="268"/>
      <c r="EB495" s="268"/>
      <c r="EC495" s="268"/>
      <c r="ED495" s="268"/>
      <c r="EE495" s="268"/>
      <c r="EF495" s="268"/>
      <c r="EG495" s="268"/>
      <c r="EH495" s="268"/>
      <c r="EI495" s="268"/>
      <c r="EJ495" s="268"/>
    </row>
    <row r="496" spans="1:140" s="269" customFormat="1" x14ac:dyDescent="0.2">
      <c r="A496" s="288"/>
      <c r="B496" s="267"/>
      <c r="D496" s="264"/>
      <c r="E496" s="467"/>
      <c r="F496" s="264"/>
      <c r="G496" s="400"/>
      <c r="H496" s="264"/>
      <c r="I496" s="467"/>
      <c r="J496" s="264"/>
      <c r="K496" s="264"/>
      <c r="L496" s="264"/>
      <c r="M496" s="264"/>
      <c r="N496" s="264"/>
      <c r="O496" s="264"/>
      <c r="P496" s="264"/>
      <c r="Q496" s="264"/>
      <c r="R496" s="264"/>
      <c r="S496" s="264"/>
      <c r="T496" s="264"/>
      <c r="U496" s="264"/>
      <c r="V496" s="264"/>
      <c r="W496" s="283"/>
      <c r="X496" s="288"/>
      <c r="Z496" s="1002"/>
      <c r="AS496" s="1355"/>
      <c r="BK496" s="256"/>
      <c r="BO496" s="1363"/>
      <c r="BX496" s="257"/>
      <c r="BY496" s="256"/>
      <c r="BZ496" s="258"/>
      <c r="CA496" s="258"/>
      <c r="CB496" s="256"/>
      <c r="CC496" s="1013"/>
      <c r="CD496" s="1012"/>
      <c r="CE496" s="268"/>
      <c r="CF496" s="411"/>
      <c r="CG496" s="419"/>
      <c r="CH496" s="411"/>
      <c r="CI496" s="411"/>
      <c r="CJ496" s="411"/>
      <c r="CK496" s="419"/>
      <c r="CL496" s="411"/>
      <c r="CM496" s="411"/>
      <c r="CN496" s="411"/>
      <c r="CO496" s="419"/>
      <c r="CP496" s="411"/>
      <c r="CQ496" s="411"/>
      <c r="CR496" s="411"/>
      <c r="CS496" s="411"/>
      <c r="CT496" s="411"/>
      <c r="CU496" s="411"/>
      <c r="CV496" s="411"/>
      <c r="CW496" s="411"/>
      <c r="CX496" s="411"/>
      <c r="CY496" s="419"/>
      <c r="CZ496" s="411"/>
      <c r="DA496" s="411"/>
      <c r="DB496" s="411"/>
      <c r="DC496" s="419"/>
      <c r="DD496" s="411"/>
      <c r="DE496" s="411"/>
      <c r="DF496" s="411"/>
      <c r="DG496" s="419"/>
      <c r="DH496" s="411"/>
      <c r="DI496" s="411"/>
      <c r="DJ496" s="411"/>
      <c r="DK496" s="411"/>
      <c r="DL496" s="411"/>
      <c r="DM496" s="411"/>
      <c r="DN496" s="411"/>
      <c r="DO496" s="411"/>
      <c r="DP496" s="411"/>
      <c r="DQ496" s="411"/>
      <c r="DR496" s="411"/>
      <c r="DS496" s="411"/>
      <c r="DT496" s="411"/>
      <c r="DU496" s="419"/>
      <c r="DV496" s="411"/>
      <c r="DW496" s="411"/>
      <c r="DX496" s="415"/>
      <c r="DY496" s="268"/>
      <c r="DZ496" s="268"/>
      <c r="EA496" s="268"/>
      <c r="EB496" s="268"/>
      <c r="EC496" s="268"/>
      <c r="ED496" s="268"/>
      <c r="EE496" s="268"/>
      <c r="EF496" s="268"/>
      <c r="EG496" s="268"/>
      <c r="EH496" s="268"/>
      <c r="EI496" s="268"/>
      <c r="EJ496" s="268"/>
    </row>
    <row r="497" spans="1:140" s="269" customFormat="1" x14ac:dyDescent="0.2">
      <c r="A497" s="288"/>
      <c r="B497" s="267"/>
      <c r="D497" s="264"/>
      <c r="E497" s="467"/>
      <c r="F497" s="264"/>
      <c r="G497" s="400"/>
      <c r="H497" s="264"/>
      <c r="I497" s="467"/>
      <c r="J497" s="264"/>
      <c r="K497" s="264"/>
      <c r="L497" s="264"/>
      <c r="M497" s="264"/>
      <c r="N497" s="264"/>
      <c r="O497" s="264"/>
      <c r="P497" s="264"/>
      <c r="Q497" s="264"/>
      <c r="R497" s="264"/>
      <c r="S497" s="264"/>
      <c r="T497" s="264"/>
      <c r="U497" s="264"/>
      <c r="V497" s="264"/>
      <c r="W497" s="283"/>
      <c r="X497" s="288"/>
      <c r="Z497" s="1002"/>
      <c r="AS497" s="1355"/>
      <c r="BK497" s="256"/>
      <c r="BO497" s="1363"/>
      <c r="BX497" s="257"/>
      <c r="BY497" s="256"/>
      <c r="BZ497" s="258"/>
      <c r="CA497" s="258"/>
      <c r="CB497" s="256"/>
      <c r="CC497" s="1013"/>
      <c r="CD497" s="1012"/>
      <c r="CE497" s="268"/>
      <c r="CF497" s="411"/>
      <c r="CG497" s="419"/>
      <c r="CH497" s="411"/>
      <c r="CI497" s="411"/>
      <c r="CJ497" s="411"/>
      <c r="CK497" s="419"/>
      <c r="CL497" s="411"/>
      <c r="CM497" s="411"/>
      <c r="CN497" s="411"/>
      <c r="CO497" s="419"/>
      <c r="CP497" s="411"/>
      <c r="CQ497" s="411"/>
      <c r="CR497" s="411"/>
      <c r="CS497" s="411"/>
      <c r="CT497" s="411"/>
      <c r="CU497" s="411"/>
      <c r="CV497" s="411"/>
      <c r="CW497" s="411"/>
      <c r="CX497" s="411"/>
      <c r="CY497" s="419"/>
      <c r="CZ497" s="411"/>
      <c r="DA497" s="411"/>
      <c r="DB497" s="411"/>
      <c r="DC497" s="419"/>
      <c r="DD497" s="411"/>
      <c r="DE497" s="411"/>
      <c r="DF497" s="411"/>
      <c r="DG497" s="419"/>
      <c r="DH497" s="411"/>
      <c r="DI497" s="411"/>
      <c r="DJ497" s="411"/>
      <c r="DK497" s="411"/>
      <c r="DL497" s="411"/>
      <c r="DM497" s="411"/>
      <c r="DN497" s="411"/>
      <c r="DO497" s="411"/>
      <c r="DP497" s="411"/>
      <c r="DQ497" s="411"/>
      <c r="DR497" s="411"/>
      <c r="DS497" s="411"/>
      <c r="DT497" s="411"/>
      <c r="DU497" s="419"/>
      <c r="DV497" s="411"/>
      <c r="DW497" s="411"/>
      <c r="DX497" s="415"/>
      <c r="DY497" s="268"/>
      <c r="DZ497" s="268"/>
      <c r="EA497" s="268"/>
      <c r="EB497" s="268"/>
      <c r="EC497" s="268"/>
      <c r="ED497" s="268"/>
      <c r="EE497" s="268"/>
      <c r="EF497" s="268"/>
      <c r="EG497" s="268"/>
      <c r="EH497" s="268"/>
      <c r="EI497" s="268"/>
      <c r="EJ497" s="268"/>
    </row>
    <row r="498" spans="1:140" s="269" customFormat="1" x14ac:dyDescent="0.2">
      <c r="A498" s="288"/>
      <c r="B498" s="267"/>
      <c r="D498" s="264"/>
      <c r="E498" s="467"/>
      <c r="F498" s="264"/>
      <c r="G498" s="400"/>
      <c r="H498" s="264"/>
      <c r="I498" s="467"/>
      <c r="J498" s="264"/>
      <c r="K498" s="264"/>
      <c r="L498" s="264"/>
      <c r="M498" s="264"/>
      <c r="N498" s="264"/>
      <c r="O498" s="264"/>
      <c r="P498" s="264"/>
      <c r="Q498" s="264"/>
      <c r="R498" s="264"/>
      <c r="S498" s="264"/>
      <c r="T498" s="264"/>
      <c r="U498" s="264"/>
      <c r="V498" s="264"/>
      <c r="W498" s="283"/>
      <c r="X498" s="288"/>
      <c r="Z498" s="1002"/>
      <c r="AS498" s="1355"/>
      <c r="BK498" s="256"/>
      <c r="BO498" s="1363"/>
      <c r="BX498" s="257"/>
      <c r="BY498" s="256"/>
      <c r="BZ498" s="258"/>
      <c r="CA498" s="258"/>
      <c r="CB498" s="256"/>
      <c r="CC498" s="1013"/>
      <c r="CD498" s="1012"/>
      <c r="CE498" s="268"/>
      <c r="CF498" s="411"/>
      <c r="CG498" s="419"/>
      <c r="CH498" s="411"/>
      <c r="CI498" s="411"/>
      <c r="CJ498" s="411"/>
      <c r="CK498" s="419"/>
      <c r="CL498" s="411"/>
      <c r="CM498" s="411"/>
      <c r="CN498" s="411"/>
      <c r="CO498" s="419"/>
      <c r="CP498" s="411"/>
      <c r="CQ498" s="411"/>
      <c r="CR498" s="411"/>
      <c r="CS498" s="411"/>
      <c r="CT498" s="411"/>
      <c r="CU498" s="411"/>
      <c r="CV498" s="411"/>
      <c r="CW498" s="411"/>
      <c r="CX498" s="411"/>
      <c r="CY498" s="419"/>
      <c r="CZ498" s="411"/>
      <c r="DA498" s="411"/>
      <c r="DB498" s="411"/>
      <c r="DC498" s="419"/>
      <c r="DD498" s="411"/>
      <c r="DE498" s="411"/>
      <c r="DF498" s="411"/>
      <c r="DG498" s="419"/>
      <c r="DH498" s="411"/>
      <c r="DI498" s="411"/>
      <c r="DJ498" s="411"/>
      <c r="DK498" s="411"/>
      <c r="DL498" s="411"/>
      <c r="DM498" s="411"/>
      <c r="DN498" s="411"/>
      <c r="DO498" s="411"/>
      <c r="DP498" s="411"/>
      <c r="DQ498" s="411"/>
      <c r="DR498" s="411"/>
      <c r="DS498" s="411"/>
      <c r="DT498" s="411"/>
      <c r="DU498" s="419"/>
      <c r="DV498" s="411"/>
      <c r="DW498" s="411"/>
      <c r="DX498" s="415"/>
      <c r="DY498" s="268"/>
      <c r="DZ498" s="268"/>
      <c r="EA498" s="268"/>
      <c r="EB498" s="268"/>
      <c r="EC498" s="268"/>
      <c r="ED498" s="268"/>
      <c r="EE498" s="268"/>
      <c r="EF498" s="268"/>
      <c r="EG498" s="268"/>
      <c r="EH498" s="268"/>
      <c r="EI498" s="268"/>
      <c r="EJ498" s="268"/>
    </row>
    <row r="499" spans="1:140" s="269" customFormat="1" x14ac:dyDescent="0.2">
      <c r="A499" s="288"/>
      <c r="B499" s="267"/>
      <c r="D499" s="264"/>
      <c r="E499" s="467"/>
      <c r="F499" s="264"/>
      <c r="G499" s="400"/>
      <c r="H499" s="264"/>
      <c r="I499" s="467"/>
      <c r="J499" s="264"/>
      <c r="K499" s="264"/>
      <c r="L499" s="264"/>
      <c r="M499" s="264"/>
      <c r="N499" s="264"/>
      <c r="O499" s="264"/>
      <c r="P499" s="264"/>
      <c r="Q499" s="264"/>
      <c r="R499" s="264"/>
      <c r="S499" s="264"/>
      <c r="T499" s="264"/>
      <c r="U499" s="264"/>
      <c r="V499" s="264"/>
      <c r="W499" s="283"/>
      <c r="X499" s="288"/>
      <c r="Z499" s="1002"/>
      <c r="AS499" s="1355"/>
      <c r="BK499" s="256"/>
      <c r="BO499" s="1363"/>
      <c r="BX499" s="257"/>
      <c r="BY499" s="256"/>
      <c r="BZ499" s="258"/>
      <c r="CA499" s="258"/>
      <c r="CB499" s="256"/>
      <c r="CC499" s="1013"/>
      <c r="CD499" s="1012"/>
      <c r="CE499" s="268"/>
      <c r="CF499" s="411"/>
      <c r="CG499" s="419"/>
      <c r="CH499" s="411"/>
      <c r="CI499" s="411"/>
      <c r="CJ499" s="411"/>
      <c r="CK499" s="419"/>
      <c r="CL499" s="411"/>
      <c r="CM499" s="411"/>
      <c r="CN499" s="411"/>
      <c r="CO499" s="419"/>
      <c r="CP499" s="411"/>
      <c r="CQ499" s="411"/>
      <c r="CR499" s="411"/>
      <c r="CS499" s="411"/>
      <c r="CT499" s="411"/>
      <c r="CU499" s="411"/>
      <c r="CV499" s="411"/>
      <c r="CW499" s="411"/>
      <c r="CX499" s="411"/>
      <c r="CY499" s="419"/>
      <c r="CZ499" s="411"/>
      <c r="DA499" s="411"/>
      <c r="DB499" s="411"/>
      <c r="DC499" s="419"/>
      <c r="DD499" s="411"/>
      <c r="DE499" s="411"/>
      <c r="DF499" s="411"/>
      <c r="DG499" s="419"/>
      <c r="DH499" s="411"/>
      <c r="DI499" s="411"/>
      <c r="DJ499" s="411"/>
      <c r="DK499" s="411"/>
      <c r="DL499" s="411"/>
      <c r="DM499" s="411"/>
      <c r="DN499" s="411"/>
      <c r="DO499" s="411"/>
      <c r="DP499" s="411"/>
      <c r="DQ499" s="411"/>
      <c r="DR499" s="411"/>
      <c r="DS499" s="411"/>
      <c r="DT499" s="411"/>
      <c r="DU499" s="419"/>
      <c r="DV499" s="411"/>
      <c r="DW499" s="411"/>
      <c r="DX499" s="415"/>
      <c r="DY499" s="268"/>
      <c r="DZ499" s="268"/>
      <c r="EA499" s="268"/>
      <c r="EB499" s="268"/>
      <c r="EC499" s="268"/>
      <c r="ED499" s="268"/>
      <c r="EE499" s="268"/>
      <c r="EF499" s="268"/>
      <c r="EG499" s="268"/>
      <c r="EH499" s="268"/>
      <c r="EI499" s="268"/>
      <c r="EJ499" s="268"/>
    </row>
    <row r="500" spans="1:140" s="269" customFormat="1" x14ac:dyDescent="0.2">
      <c r="A500" s="288"/>
      <c r="B500" s="267"/>
      <c r="D500" s="264"/>
      <c r="E500" s="467"/>
      <c r="F500" s="264"/>
      <c r="G500" s="400"/>
      <c r="H500" s="264"/>
      <c r="I500" s="467"/>
      <c r="J500" s="264"/>
      <c r="K500" s="264"/>
      <c r="L500" s="264"/>
      <c r="M500" s="264"/>
      <c r="N500" s="264"/>
      <c r="O500" s="264"/>
      <c r="P500" s="264"/>
      <c r="Q500" s="264"/>
      <c r="R500" s="264"/>
      <c r="S500" s="264"/>
      <c r="T500" s="264"/>
      <c r="U500" s="264"/>
      <c r="V500" s="264"/>
      <c r="W500" s="283"/>
      <c r="X500" s="288"/>
      <c r="Z500" s="1002"/>
      <c r="AS500" s="1355"/>
      <c r="BK500" s="256"/>
      <c r="BO500" s="1363"/>
      <c r="BX500" s="257"/>
      <c r="BY500" s="256"/>
      <c r="BZ500" s="258"/>
      <c r="CA500" s="258"/>
      <c r="CB500" s="256"/>
      <c r="CC500" s="1013"/>
      <c r="CD500" s="1012"/>
      <c r="CE500" s="268"/>
      <c r="CF500" s="411"/>
      <c r="CG500" s="419"/>
      <c r="CH500" s="411"/>
      <c r="CI500" s="411"/>
      <c r="CJ500" s="411"/>
      <c r="CK500" s="419"/>
      <c r="CL500" s="411"/>
      <c r="CM500" s="411"/>
      <c r="CN500" s="411"/>
      <c r="CO500" s="419"/>
      <c r="CP500" s="411"/>
      <c r="CQ500" s="411"/>
      <c r="CR500" s="411"/>
      <c r="CS500" s="411"/>
      <c r="CT500" s="411"/>
      <c r="CU500" s="411"/>
      <c r="CV500" s="411"/>
      <c r="CW500" s="411"/>
      <c r="CX500" s="411"/>
      <c r="CY500" s="419"/>
      <c r="CZ500" s="411"/>
      <c r="DA500" s="411"/>
      <c r="DB500" s="411"/>
      <c r="DC500" s="419"/>
      <c r="DD500" s="411"/>
      <c r="DE500" s="411"/>
      <c r="DF500" s="411"/>
      <c r="DG500" s="419"/>
      <c r="DH500" s="411"/>
      <c r="DI500" s="411"/>
      <c r="DJ500" s="411"/>
      <c r="DK500" s="411"/>
      <c r="DL500" s="411"/>
      <c r="DM500" s="411"/>
      <c r="DN500" s="411"/>
      <c r="DO500" s="411"/>
      <c r="DP500" s="411"/>
      <c r="DQ500" s="411"/>
      <c r="DR500" s="411"/>
      <c r="DS500" s="411"/>
      <c r="DT500" s="411"/>
      <c r="DU500" s="419"/>
      <c r="DV500" s="411"/>
      <c r="DW500" s="411"/>
      <c r="DX500" s="415"/>
      <c r="DY500" s="268"/>
      <c r="DZ500" s="268"/>
      <c r="EA500" s="268"/>
      <c r="EB500" s="268"/>
      <c r="EC500" s="268"/>
      <c r="ED500" s="268"/>
      <c r="EE500" s="268"/>
      <c r="EF500" s="268"/>
      <c r="EG500" s="268"/>
      <c r="EH500" s="268"/>
      <c r="EI500" s="268"/>
      <c r="EJ500" s="268"/>
    </row>
    <row r="501" spans="1:140" s="269" customFormat="1" x14ac:dyDescent="0.2">
      <c r="A501" s="288"/>
      <c r="B501" s="267"/>
      <c r="D501" s="264"/>
      <c r="E501" s="467"/>
      <c r="F501" s="264"/>
      <c r="G501" s="400"/>
      <c r="H501" s="264"/>
      <c r="I501" s="467"/>
      <c r="J501" s="264"/>
      <c r="K501" s="264"/>
      <c r="L501" s="264"/>
      <c r="M501" s="264"/>
      <c r="N501" s="264"/>
      <c r="O501" s="264"/>
      <c r="P501" s="264"/>
      <c r="Q501" s="264"/>
      <c r="R501" s="264"/>
      <c r="S501" s="264"/>
      <c r="T501" s="264"/>
      <c r="U501" s="264"/>
      <c r="V501" s="264"/>
      <c r="W501" s="283"/>
      <c r="X501" s="288"/>
      <c r="Z501" s="1002"/>
      <c r="AS501" s="1355"/>
      <c r="BK501" s="256"/>
      <c r="BO501" s="1363"/>
      <c r="BX501" s="257"/>
      <c r="BY501" s="256"/>
      <c r="BZ501" s="258"/>
      <c r="CA501" s="258"/>
      <c r="CB501" s="256"/>
      <c r="CC501" s="1013"/>
      <c r="CD501" s="1012"/>
      <c r="CE501" s="268"/>
      <c r="CF501" s="411"/>
      <c r="CG501" s="419"/>
      <c r="CH501" s="411"/>
      <c r="CI501" s="411"/>
      <c r="CJ501" s="411"/>
      <c r="CK501" s="419"/>
      <c r="CL501" s="411"/>
      <c r="CM501" s="411"/>
      <c r="CN501" s="411"/>
      <c r="CO501" s="419"/>
      <c r="CP501" s="411"/>
      <c r="CQ501" s="411"/>
      <c r="CR501" s="411"/>
      <c r="CS501" s="411"/>
      <c r="CT501" s="411"/>
      <c r="CU501" s="411"/>
      <c r="CV501" s="411"/>
      <c r="CW501" s="411"/>
      <c r="CX501" s="411"/>
      <c r="CY501" s="419"/>
      <c r="CZ501" s="411"/>
      <c r="DA501" s="411"/>
      <c r="DB501" s="411"/>
      <c r="DC501" s="419"/>
      <c r="DD501" s="411"/>
      <c r="DE501" s="411"/>
      <c r="DF501" s="411"/>
      <c r="DG501" s="419"/>
      <c r="DH501" s="411"/>
      <c r="DI501" s="411"/>
      <c r="DJ501" s="411"/>
      <c r="DK501" s="411"/>
      <c r="DL501" s="411"/>
      <c r="DM501" s="411"/>
      <c r="DN501" s="411"/>
      <c r="DO501" s="411"/>
      <c r="DP501" s="411"/>
      <c r="DQ501" s="411"/>
      <c r="DR501" s="411"/>
      <c r="DS501" s="411"/>
      <c r="DT501" s="411"/>
      <c r="DU501" s="419"/>
      <c r="DV501" s="411"/>
      <c r="DW501" s="411"/>
      <c r="DX501" s="415"/>
      <c r="DY501" s="268"/>
      <c r="DZ501" s="268"/>
      <c r="EA501" s="268"/>
      <c r="EB501" s="268"/>
      <c r="EC501" s="268"/>
      <c r="ED501" s="268"/>
      <c r="EE501" s="268"/>
      <c r="EF501" s="268"/>
      <c r="EG501" s="268"/>
      <c r="EH501" s="268"/>
      <c r="EI501" s="268"/>
      <c r="EJ501" s="268"/>
    </row>
    <row r="502" spans="1:140" s="269" customFormat="1" x14ac:dyDescent="0.2">
      <c r="A502" s="288"/>
      <c r="B502" s="267"/>
      <c r="D502" s="264"/>
      <c r="E502" s="467"/>
      <c r="F502" s="264"/>
      <c r="G502" s="400"/>
      <c r="H502" s="264"/>
      <c r="I502" s="467"/>
      <c r="J502" s="264"/>
      <c r="K502" s="264"/>
      <c r="L502" s="264"/>
      <c r="M502" s="264"/>
      <c r="N502" s="264"/>
      <c r="O502" s="264"/>
      <c r="P502" s="264"/>
      <c r="Q502" s="264"/>
      <c r="R502" s="264"/>
      <c r="S502" s="264"/>
      <c r="T502" s="264"/>
      <c r="U502" s="264"/>
      <c r="V502" s="264"/>
      <c r="W502" s="283"/>
      <c r="X502" s="288"/>
      <c r="Z502" s="1002"/>
      <c r="AS502" s="1355"/>
      <c r="BK502" s="256"/>
      <c r="BO502" s="1363"/>
      <c r="BX502" s="257"/>
      <c r="BY502" s="256"/>
      <c r="BZ502" s="258"/>
      <c r="CA502" s="258"/>
      <c r="CB502" s="256"/>
      <c r="CC502" s="1013"/>
      <c r="CD502" s="1012"/>
      <c r="CE502" s="268"/>
      <c r="CF502" s="411"/>
      <c r="CG502" s="419"/>
      <c r="CH502" s="411"/>
      <c r="CI502" s="411"/>
      <c r="CJ502" s="411"/>
      <c r="CK502" s="419"/>
      <c r="CL502" s="411"/>
      <c r="CM502" s="411"/>
      <c r="CN502" s="411"/>
      <c r="CO502" s="419"/>
      <c r="CP502" s="411"/>
      <c r="CQ502" s="411"/>
      <c r="CR502" s="411"/>
      <c r="CS502" s="411"/>
      <c r="CT502" s="411"/>
      <c r="CU502" s="411"/>
      <c r="CV502" s="411"/>
      <c r="CW502" s="411"/>
      <c r="CX502" s="411"/>
      <c r="CY502" s="419"/>
      <c r="CZ502" s="411"/>
      <c r="DA502" s="411"/>
      <c r="DB502" s="411"/>
      <c r="DC502" s="419"/>
      <c r="DD502" s="411"/>
      <c r="DE502" s="411"/>
      <c r="DF502" s="411"/>
      <c r="DG502" s="419"/>
      <c r="DH502" s="411"/>
      <c r="DI502" s="411"/>
      <c r="DJ502" s="411"/>
      <c r="DK502" s="411"/>
      <c r="DL502" s="411"/>
      <c r="DM502" s="411"/>
      <c r="DN502" s="411"/>
      <c r="DO502" s="411"/>
      <c r="DP502" s="411"/>
      <c r="DQ502" s="411"/>
      <c r="DR502" s="411"/>
      <c r="DS502" s="411"/>
      <c r="DT502" s="411"/>
      <c r="DU502" s="419"/>
      <c r="DV502" s="411"/>
      <c r="DW502" s="411"/>
      <c r="DX502" s="415"/>
      <c r="DY502" s="268"/>
      <c r="DZ502" s="268"/>
      <c r="EA502" s="268"/>
      <c r="EB502" s="268"/>
      <c r="EC502" s="268"/>
      <c r="ED502" s="268"/>
      <c r="EE502" s="268"/>
      <c r="EF502" s="268"/>
      <c r="EG502" s="268"/>
      <c r="EH502" s="268"/>
      <c r="EI502" s="268"/>
      <c r="EJ502" s="268"/>
    </row>
    <row r="503" spans="1:140" s="269" customFormat="1" x14ac:dyDescent="0.2">
      <c r="A503" s="288"/>
      <c r="B503" s="267"/>
      <c r="D503" s="264"/>
      <c r="E503" s="467"/>
      <c r="F503" s="264"/>
      <c r="G503" s="400"/>
      <c r="H503" s="264"/>
      <c r="I503" s="467"/>
      <c r="J503" s="264"/>
      <c r="K503" s="264"/>
      <c r="L503" s="264"/>
      <c r="M503" s="264"/>
      <c r="N503" s="264"/>
      <c r="O503" s="264"/>
      <c r="P503" s="264"/>
      <c r="Q503" s="264"/>
      <c r="R503" s="264"/>
      <c r="S503" s="264"/>
      <c r="T503" s="264"/>
      <c r="U503" s="264"/>
      <c r="V503" s="264"/>
      <c r="W503" s="283"/>
      <c r="X503" s="288"/>
      <c r="Z503" s="1002"/>
      <c r="AS503" s="1355"/>
      <c r="BK503" s="256"/>
      <c r="BO503" s="1363"/>
      <c r="BX503" s="257"/>
      <c r="BY503" s="256"/>
      <c r="BZ503" s="258"/>
      <c r="CA503" s="258"/>
      <c r="CB503" s="256"/>
      <c r="CC503" s="1013"/>
      <c r="CD503" s="1012"/>
      <c r="CE503" s="268"/>
      <c r="CF503" s="411"/>
      <c r="CG503" s="419"/>
      <c r="CH503" s="411"/>
      <c r="CI503" s="411"/>
      <c r="CJ503" s="411"/>
      <c r="CK503" s="419"/>
      <c r="CL503" s="411"/>
      <c r="CM503" s="411"/>
      <c r="CN503" s="411"/>
      <c r="CO503" s="419"/>
      <c r="CP503" s="411"/>
      <c r="CQ503" s="411"/>
      <c r="CR503" s="411"/>
      <c r="CS503" s="411"/>
      <c r="CT503" s="411"/>
      <c r="CU503" s="411"/>
      <c r="CV503" s="411"/>
      <c r="CW503" s="411"/>
      <c r="CX503" s="411"/>
      <c r="CY503" s="419"/>
      <c r="CZ503" s="411"/>
      <c r="DA503" s="411"/>
      <c r="DB503" s="411"/>
      <c r="DC503" s="419"/>
      <c r="DD503" s="411"/>
      <c r="DE503" s="411"/>
      <c r="DF503" s="411"/>
      <c r="DG503" s="419"/>
      <c r="DH503" s="411"/>
      <c r="DI503" s="411"/>
      <c r="DJ503" s="411"/>
      <c r="DK503" s="411"/>
      <c r="DL503" s="411"/>
      <c r="DM503" s="411"/>
      <c r="DN503" s="411"/>
      <c r="DO503" s="411"/>
      <c r="DP503" s="411"/>
      <c r="DQ503" s="411"/>
      <c r="DR503" s="411"/>
      <c r="DS503" s="411"/>
      <c r="DT503" s="411"/>
      <c r="DU503" s="419"/>
      <c r="DV503" s="411"/>
      <c r="DW503" s="411"/>
      <c r="DX503" s="415"/>
      <c r="DY503" s="268"/>
      <c r="DZ503" s="268"/>
      <c r="EA503" s="268"/>
      <c r="EB503" s="268"/>
      <c r="EC503" s="268"/>
      <c r="ED503" s="268"/>
      <c r="EE503" s="268"/>
      <c r="EF503" s="268"/>
      <c r="EG503" s="268"/>
      <c r="EH503" s="268"/>
      <c r="EI503" s="268"/>
      <c r="EJ503" s="268"/>
    </row>
    <row r="504" spans="1:140" s="269" customFormat="1" x14ac:dyDescent="0.2">
      <c r="A504" s="288"/>
      <c r="B504" s="267"/>
      <c r="D504" s="264"/>
      <c r="E504" s="467"/>
      <c r="F504" s="264"/>
      <c r="G504" s="400"/>
      <c r="H504" s="264"/>
      <c r="I504" s="467"/>
      <c r="J504" s="264"/>
      <c r="K504" s="264"/>
      <c r="L504" s="264"/>
      <c r="M504" s="264"/>
      <c r="N504" s="264"/>
      <c r="O504" s="264"/>
      <c r="P504" s="264"/>
      <c r="Q504" s="264"/>
      <c r="R504" s="264"/>
      <c r="S504" s="264"/>
      <c r="T504" s="264"/>
      <c r="U504" s="264"/>
      <c r="V504" s="264"/>
      <c r="W504" s="283"/>
      <c r="X504" s="288"/>
      <c r="Z504" s="1002"/>
      <c r="AS504" s="1355"/>
      <c r="BK504" s="256"/>
      <c r="BO504" s="1363"/>
      <c r="BX504" s="257"/>
      <c r="BY504" s="256"/>
      <c r="BZ504" s="258"/>
      <c r="CA504" s="258"/>
      <c r="CB504" s="256"/>
      <c r="CC504" s="1013"/>
      <c r="CD504" s="1012"/>
      <c r="CE504" s="268"/>
      <c r="CF504" s="411"/>
      <c r="CG504" s="419"/>
      <c r="CH504" s="411"/>
      <c r="CI504" s="411"/>
      <c r="CJ504" s="411"/>
      <c r="CK504" s="419"/>
      <c r="CL504" s="411"/>
      <c r="CM504" s="411"/>
      <c r="CN504" s="411"/>
      <c r="CO504" s="419"/>
      <c r="CP504" s="411"/>
      <c r="CQ504" s="411"/>
      <c r="CR504" s="411"/>
      <c r="CS504" s="411"/>
      <c r="CT504" s="411"/>
      <c r="CU504" s="411"/>
      <c r="CV504" s="411"/>
      <c r="CW504" s="411"/>
      <c r="CX504" s="411"/>
      <c r="CY504" s="419"/>
      <c r="CZ504" s="411"/>
      <c r="DA504" s="411"/>
      <c r="DB504" s="411"/>
      <c r="DC504" s="419"/>
      <c r="DD504" s="411"/>
      <c r="DE504" s="411"/>
      <c r="DF504" s="411"/>
      <c r="DG504" s="419"/>
      <c r="DH504" s="411"/>
      <c r="DI504" s="411"/>
      <c r="DJ504" s="411"/>
      <c r="DK504" s="411"/>
      <c r="DL504" s="411"/>
      <c r="DM504" s="411"/>
      <c r="DN504" s="411"/>
      <c r="DO504" s="411"/>
      <c r="DP504" s="411"/>
      <c r="DQ504" s="411"/>
      <c r="DR504" s="411"/>
      <c r="DS504" s="411"/>
      <c r="DT504" s="411"/>
      <c r="DU504" s="419"/>
      <c r="DV504" s="411"/>
      <c r="DW504" s="411"/>
      <c r="DX504" s="415"/>
      <c r="DY504" s="268"/>
      <c r="DZ504" s="268"/>
      <c r="EA504" s="268"/>
      <c r="EB504" s="268"/>
      <c r="EC504" s="268"/>
      <c r="ED504" s="268"/>
      <c r="EE504" s="268"/>
      <c r="EF504" s="268"/>
      <c r="EG504" s="268"/>
      <c r="EH504" s="268"/>
      <c r="EI504" s="268"/>
      <c r="EJ504" s="268"/>
    </row>
    <row r="505" spans="1:140" s="269" customFormat="1" x14ac:dyDescent="0.2">
      <c r="A505" s="288"/>
      <c r="B505" s="267"/>
      <c r="D505" s="264"/>
      <c r="E505" s="467"/>
      <c r="F505" s="264"/>
      <c r="G505" s="400"/>
      <c r="H505" s="264"/>
      <c r="I505" s="467"/>
      <c r="J505" s="264"/>
      <c r="K505" s="264"/>
      <c r="L505" s="264"/>
      <c r="M505" s="264"/>
      <c r="N505" s="264"/>
      <c r="O505" s="264"/>
      <c r="P505" s="264"/>
      <c r="Q505" s="264"/>
      <c r="R505" s="264"/>
      <c r="S505" s="264"/>
      <c r="T505" s="264"/>
      <c r="U505" s="264"/>
      <c r="V505" s="264"/>
      <c r="W505" s="283"/>
      <c r="X505" s="288"/>
      <c r="Z505" s="1002"/>
      <c r="AS505" s="1355"/>
      <c r="BK505" s="256"/>
      <c r="BO505" s="1363"/>
      <c r="BX505" s="257"/>
      <c r="BY505" s="256"/>
      <c r="BZ505" s="258"/>
      <c r="CA505" s="258"/>
      <c r="CB505" s="256"/>
      <c r="CC505" s="1013"/>
      <c r="CD505" s="1012"/>
      <c r="CE505" s="268"/>
      <c r="CF505" s="411"/>
      <c r="CG505" s="419"/>
      <c r="CH505" s="411"/>
      <c r="CI505" s="411"/>
      <c r="CJ505" s="411"/>
      <c r="CK505" s="419"/>
      <c r="CL505" s="411"/>
      <c r="CM505" s="411"/>
      <c r="CN505" s="411"/>
      <c r="CO505" s="419"/>
      <c r="CP505" s="411"/>
      <c r="CQ505" s="411"/>
      <c r="CR505" s="411"/>
      <c r="CS505" s="411"/>
      <c r="CT505" s="411"/>
      <c r="CU505" s="411"/>
      <c r="CV505" s="411"/>
      <c r="CW505" s="411"/>
      <c r="CX505" s="411"/>
      <c r="CY505" s="419"/>
      <c r="CZ505" s="411"/>
      <c r="DA505" s="411"/>
      <c r="DB505" s="411"/>
      <c r="DC505" s="419"/>
      <c r="DD505" s="411"/>
      <c r="DE505" s="411"/>
      <c r="DF505" s="411"/>
      <c r="DG505" s="419"/>
      <c r="DH505" s="411"/>
      <c r="DI505" s="411"/>
      <c r="DJ505" s="411"/>
      <c r="DK505" s="411"/>
      <c r="DL505" s="411"/>
      <c r="DM505" s="411"/>
      <c r="DN505" s="411"/>
      <c r="DO505" s="411"/>
      <c r="DP505" s="411"/>
      <c r="DQ505" s="411"/>
      <c r="DR505" s="411"/>
      <c r="DS505" s="411"/>
      <c r="DT505" s="411"/>
      <c r="DU505" s="419"/>
      <c r="DV505" s="411"/>
      <c r="DW505" s="411"/>
      <c r="DX505" s="415"/>
      <c r="DY505" s="268"/>
      <c r="DZ505" s="268"/>
      <c r="EA505" s="268"/>
      <c r="EB505" s="268"/>
      <c r="EC505" s="268"/>
      <c r="ED505" s="268"/>
      <c r="EE505" s="268"/>
      <c r="EF505" s="268"/>
      <c r="EG505" s="268"/>
      <c r="EH505" s="268"/>
      <c r="EI505" s="268"/>
      <c r="EJ505" s="268"/>
    </row>
    <row r="506" spans="1:140" s="269" customFormat="1" x14ac:dyDescent="0.2">
      <c r="A506" s="288"/>
      <c r="B506" s="267"/>
      <c r="D506" s="264"/>
      <c r="E506" s="467"/>
      <c r="F506" s="264"/>
      <c r="G506" s="400"/>
      <c r="H506" s="264"/>
      <c r="I506" s="467"/>
      <c r="J506" s="264"/>
      <c r="K506" s="264"/>
      <c r="L506" s="264"/>
      <c r="M506" s="264"/>
      <c r="N506" s="264"/>
      <c r="O506" s="264"/>
      <c r="P506" s="264"/>
      <c r="Q506" s="264"/>
      <c r="R506" s="264"/>
      <c r="S506" s="264"/>
      <c r="T506" s="264"/>
      <c r="U506" s="264"/>
      <c r="V506" s="264"/>
      <c r="W506" s="283"/>
      <c r="X506" s="288"/>
      <c r="Z506" s="1002"/>
      <c r="AS506" s="1355"/>
      <c r="BK506" s="256"/>
      <c r="BO506" s="1363"/>
      <c r="BX506" s="257"/>
      <c r="BY506" s="256"/>
      <c r="BZ506" s="258"/>
      <c r="CA506" s="258"/>
      <c r="CB506" s="256"/>
      <c r="CC506" s="1013"/>
      <c r="CD506" s="1012"/>
      <c r="CE506" s="268"/>
      <c r="CF506" s="411"/>
      <c r="CG506" s="419"/>
      <c r="CH506" s="411"/>
      <c r="CI506" s="411"/>
      <c r="CJ506" s="411"/>
      <c r="CK506" s="419"/>
      <c r="CL506" s="411"/>
      <c r="CM506" s="411"/>
      <c r="CN506" s="411"/>
      <c r="CO506" s="419"/>
      <c r="CP506" s="411"/>
      <c r="CQ506" s="411"/>
      <c r="CR506" s="411"/>
      <c r="CS506" s="411"/>
      <c r="CT506" s="411"/>
      <c r="CU506" s="411"/>
      <c r="CV506" s="411"/>
      <c r="CW506" s="411"/>
      <c r="CX506" s="411"/>
      <c r="CY506" s="419"/>
      <c r="CZ506" s="411"/>
      <c r="DA506" s="411"/>
      <c r="DB506" s="411"/>
      <c r="DC506" s="419"/>
      <c r="DD506" s="411"/>
      <c r="DE506" s="411"/>
      <c r="DF506" s="411"/>
      <c r="DG506" s="419"/>
      <c r="DH506" s="411"/>
      <c r="DI506" s="411"/>
      <c r="DJ506" s="411"/>
      <c r="DK506" s="411"/>
      <c r="DL506" s="411"/>
      <c r="DM506" s="411"/>
      <c r="DN506" s="411"/>
      <c r="DO506" s="411"/>
      <c r="DP506" s="411"/>
      <c r="DQ506" s="411"/>
      <c r="DR506" s="411"/>
      <c r="DS506" s="411"/>
      <c r="DT506" s="411"/>
      <c r="DU506" s="419"/>
      <c r="DV506" s="411"/>
      <c r="DW506" s="411"/>
      <c r="DX506" s="415"/>
      <c r="DY506" s="268"/>
      <c r="DZ506" s="268"/>
      <c r="EA506" s="268"/>
      <c r="EB506" s="268"/>
      <c r="EC506" s="268"/>
      <c r="ED506" s="268"/>
      <c r="EE506" s="268"/>
      <c r="EF506" s="268"/>
      <c r="EG506" s="268"/>
      <c r="EH506" s="268"/>
      <c r="EI506" s="268"/>
      <c r="EJ506" s="268"/>
    </row>
    <row r="507" spans="1:140" s="269" customFormat="1" x14ac:dyDescent="0.2">
      <c r="A507" s="288"/>
      <c r="B507" s="267"/>
      <c r="D507" s="264"/>
      <c r="E507" s="467"/>
      <c r="F507" s="264"/>
      <c r="G507" s="400"/>
      <c r="H507" s="264"/>
      <c r="I507" s="467"/>
      <c r="J507" s="264"/>
      <c r="K507" s="264"/>
      <c r="L507" s="264"/>
      <c r="M507" s="264"/>
      <c r="N507" s="264"/>
      <c r="O507" s="264"/>
      <c r="P507" s="264"/>
      <c r="Q507" s="264"/>
      <c r="R507" s="264"/>
      <c r="S507" s="264"/>
      <c r="T507" s="264"/>
      <c r="U507" s="264"/>
      <c r="V507" s="264"/>
      <c r="W507" s="283"/>
      <c r="X507" s="288"/>
      <c r="Z507" s="1002"/>
      <c r="AS507" s="1355"/>
      <c r="BK507" s="256"/>
      <c r="BO507" s="1363"/>
      <c r="BX507" s="257"/>
      <c r="BY507" s="256"/>
      <c r="BZ507" s="258"/>
      <c r="CA507" s="258"/>
      <c r="CB507" s="256"/>
      <c r="CC507" s="1013"/>
      <c r="CD507" s="1012"/>
      <c r="CE507" s="268"/>
      <c r="CF507" s="411"/>
      <c r="CG507" s="419"/>
      <c r="CH507" s="411"/>
      <c r="CI507" s="411"/>
      <c r="CJ507" s="411"/>
      <c r="CK507" s="419"/>
      <c r="CL507" s="411"/>
      <c r="CM507" s="411"/>
      <c r="CN507" s="411"/>
      <c r="CO507" s="419"/>
      <c r="CP507" s="411"/>
      <c r="CQ507" s="411"/>
      <c r="CR507" s="411"/>
      <c r="CS507" s="411"/>
      <c r="CT507" s="411"/>
      <c r="CU507" s="411"/>
      <c r="CV507" s="411"/>
      <c r="CW507" s="411"/>
      <c r="CX507" s="411"/>
      <c r="CY507" s="419"/>
      <c r="CZ507" s="411"/>
      <c r="DA507" s="411"/>
      <c r="DB507" s="411"/>
      <c r="DC507" s="419"/>
      <c r="DD507" s="411"/>
      <c r="DE507" s="411"/>
      <c r="DF507" s="411"/>
      <c r="DG507" s="419"/>
      <c r="DH507" s="411"/>
      <c r="DI507" s="411"/>
      <c r="DJ507" s="411"/>
      <c r="DK507" s="411"/>
      <c r="DL507" s="411"/>
      <c r="DM507" s="411"/>
      <c r="DN507" s="411"/>
      <c r="DO507" s="411"/>
      <c r="DP507" s="411"/>
      <c r="DQ507" s="411"/>
      <c r="DR507" s="411"/>
      <c r="DS507" s="411"/>
      <c r="DT507" s="411"/>
      <c r="DU507" s="419"/>
      <c r="DV507" s="411"/>
      <c r="DW507" s="411"/>
      <c r="DX507" s="415"/>
      <c r="DY507" s="268"/>
      <c r="DZ507" s="268"/>
      <c r="EA507" s="268"/>
      <c r="EB507" s="268"/>
      <c r="EC507" s="268"/>
      <c r="ED507" s="268"/>
      <c r="EE507" s="268"/>
      <c r="EF507" s="268"/>
      <c r="EG507" s="268"/>
      <c r="EH507" s="268"/>
      <c r="EI507" s="268"/>
      <c r="EJ507" s="268"/>
    </row>
    <row r="508" spans="1:140" s="269" customFormat="1" x14ac:dyDescent="0.2">
      <c r="A508" s="288"/>
      <c r="B508" s="267"/>
      <c r="D508" s="264"/>
      <c r="E508" s="467"/>
      <c r="F508" s="264"/>
      <c r="G508" s="400"/>
      <c r="H508" s="264"/>
      <c r="I508" s="467"/>
      <c r="J508" s="264"/>
      <c r="K508" s="264"/>
      <c r="L508" s="264"/>
      <c r="M508" s="264"/>
      <c r="N508" s="264"/>
      <c r="O508" s="264"/>
      <c r="P508" s="264"/>
      <c r="Q508" s="264"/>
      <c r="R508" s="264"/>
      <c r="S508" s="264"/>
      <c r="T508" s="264"/>
      <c r="U508" s="264"/>
      <c r="V508" s="264"/>
      <c r="W508" s="283"/>
      <c r="X508" s="288"/>
      <c r="Z508" s="1002"/>
      <c r="AS508" s="1355"/>
      <c r="BK508" s="256"/>
      <c r="BO508" s="1363"/>
      <c r="BX508" s="257"/>
      <c r="BY508" s="256"/>
      <c r="BZ508" s="258"/>
      <c r="CA508" s="258"/>
      <c r="CB508" s="256"/>
      <c r="CC508" s="1013"/>
      <c r="CD508" s="1012"/>
      <c r="CE508" s="268"/>
      <c r="CF508" s="411"/>
      <c r="CG508" s="419"/>
      <c r="CH508" s="411"/>
      <c r="CI508" s="411"/>
      <c r="CJ508" s="411"/>
      <c r="CK508" s="419"/>
      <c r="CL508" s="411"/>
      <c r="CM508" s="411"/>
      <c r="CN508" s="411"/>
      <c r="CO508" s="419"/>
      <c r="CP508" s="411"/>
      <c r="CQ508" s="411"/>
      <c r="CR508" s="411"/>
      <c r="CS508" s="411"/>
      <c r="CT508" s="411"/>
      <c r="CU508" s="411"/>
      <c r="CV508" s="411"/>
      <c r="CW508" s="411"/>
      <c r="CX508" s="411"/>
      <c r="CY508" s="419"/>
      <c r="CZ508" s="411"/>
      <c r="DA508" s="411"/>
      <c r="DB508" s="411"/>
      <c r="DC508" s="419"/>
      <c r="DD508" s="411"/>
      <c r="DE508" s="411"/>
      <c r="DF508" s="411"/>
      <c r="DG508" s="419"/>
      <c r="DH508" s="411"/>
      <c r="DI508" s="411"/>
      <c r="DJ508" s="411"/>
      <c r="DK508" s="411"/>
      <c r="DL508" s="411"/>
      <c r="DM508" s="411"/>
      <c r="DN508" s="411"/>
      <c r="DO508" s="411"/>
      <c r="DP508" s="411"/>
      <c r="DQ508" s="411"/>
      <c r="DR508" s="411"/>
      <c r="DS508" s="411"/>
      <c r="DT508" s="411"/>
      <c r="DU508" s="419"/>
      <c r="DV508" s="411"/>
      <c r="DW508" s="411"/>
      <c r="DX508" s="415"/>
      <c r="DY508" s="268"/>
      <c r="DZ508" s="268"/>
      <c r="EA508" s="268"/>
      <c r="EB508" s="268"/>
      <c r="EC508" s="268"/>
      <c r="ED508" s="268"/>
      <c r="EE508" s="268"/>
      <c r="EF508" s="268"/>
      <c r="EG508" s="268"/>
      <c r="EH508" s="268"/>
      <c r="EI508" s="268"/>
      <c r="EJ508" s="268"/>
    </row>
    <row r="509" spans="1:140" s="269" customFormat="1" x14ac:dyDescent="0.2">
      <c r="A509" s="288"/>
      <c r="B509" s="267"/>
      <c r="D509" s="264"/>
      <c r="E509" s="467"/>
      <c r="F509" s="264"/>
      <c r="G509" s="400"/>
      <c r="H509" s="264"/>
      <c r="I509" s="467"/>
      <c r="J509" s="264"/>
      <c r="K509" s="264"/>
      <c r="L509" s="264"/>
      <c r="M509" s="264"/>
      <c r="N509" s="264"/>
      <c r="O509" s="264"/>
      <c r="P509" s="264"/>
      <c r="Q509" s="264"/>
      <c r="R509" s="264"/>
      <c r="S509" s="264"/>
      <c r="T509" s="264"/>
      <c r="U509" s="264"/>
      <c r="V509" s="264"/>
      <c r="W509" s="283"/>
      <c r="X509" s="288"/>
      <c r="Z509" s="1002"/>
      <c r="AS509" s="1355"/>
      <c r="BK509" s="256"/>
      <c r="BO509" s="1363"/>
      <c r="BX509" s="257"/>
      <c r="BY509" s="256"/>
      <c r="BZ509" s="258"/>
      <c r="CA509" s="258"/>
      <c r="CB509" s="256"/>
      <c r="CC509" s="1013"/>
      <c r="CD509" s="1012"/>
      <c r="CE509" s="268"/>
      <c r="CF509" s="411"/>
      <c r="CG509" s="419"/>
      <c r="CH509" s="411"/>
      <c r="CI509" s="411"/>
      <c r="CJ509" s="411"/>
      <c r="CK509" s="419"/>
      <c r="CL509" s="411"/>
      <c r="CM509" s="411"/>
      <c r="CN509" s="411"/>
      <c r="CO509" s="419"/>
      <c r="CP509" s="411"/>
      <c r="CQ509" s="411"/>
      <c r="CR509" s="411"/>
      <c r="CS509" s="411"/>
      <c r="CT509" s="411"/>
      <c r="CU509" s="411"/>
      <c r="CV509" s="411"/>
      <c r="CW509" s="411"/>
      <c r="CX509" s="411"/>
      <c r="CY509" s="419"/>
      <c r="CZ509" s="411"/>
      <c r="DA509" s="411"/>
      <c r="DB509" s="411"/>
      <c r="DC509" s="419"/>
      <c r="DD509" s="411"/>
      <c r="DE509" s="411"/>
      <c r="DF509" s="411"/>
      <c r="DG509" s="419"/>
      <c r="DH509" s="411"/>
      <c r="DI509" s="411"/>
      <c r="DJ509" s="411"/>
      <c r="DK509" s="411"/>
      <c r="DL509" s="411"/>
      <c r="DM509" s="411"/>
      <c r="DN509" s="411"/>
      <c r="DO509" s="411"/>
      <c r="DP509" s="411"/>
      <c r="DQ509" s="411"/>
      <c r="DR509" s="411"/>
      <c r="DS509" s="411"/>
      <c r="DT509" s="411"/>
      <c r="DU509" s="419"/>
      <c r="DV509" s="411"/>
      <c r="DW509" s="411"/>
      <c r="DX509" s="415"/>
      <c r="DY509" s="268"/>
      <c r="DZ509" s="268"/>
      <c r="EA509" s="268"/>
      <c r="EB509" s="268"/>
      <c r="EC509" s="268"/>
      <c r="ED509" s="268"/>
      <c r="EE509" s="268"/>
      <c r="EF509" s="268"/>
      <c r="EG509" s="268"/>
      <c r="EH509" s="268"/>
      <c r="EI509" s="268"/>
      <c r="EJ509" s="268"/>
    </row>
    <row r="510" spans="1:140" s="269" customFormat="1" x14ac:dyDescent="0.2">
      <c r="A510" s="288"/>
      <c r="B510" s="267"/>
      <c r="D510" s="264"/>
      <c r="E510" s="467"/>
      <c r="F510" s="264"/>
      <c r="G510" s="400"/>
      <c r="H510" s="264"/>
      <c r="I510" s="467"/>
      <c r="J510" s="264"/>
      <c r="K510" s="264"/>
      <c r="L510" s="264"/>
      <c r="M510" s="264"/>
      <c r="N510" s="264"/>
      <c r="O510" s="264"/>
      <c r="P510" s="264"/>
      <c r="Q510" s="264"/>
      <c r="R510" s="264"/>
      <c r="S510" s="264"/>
      <c r="T510" s="264"/>
      <c r="U510" s="264"/>
      <c r="V510" s="264"/>
      <c r="W510" s="283"/>
      <c r="X510" s="288"/>
      <c r="Z510" s="1002"/>
      <c r="AS510" s="1355"/>
      <c r="BK510" s="256"/>
      <c r="BO510" s="1363"/>
      <c r="BX510" s="257"/>
      <c r="BY510" s="256"/>
      <c r="BZ510" s="258"/>
      <c r="CA510" s="258"/>
      <c r="CB510" s="256"/>
      <c r="CC510" s="1013"/>
      <c r="CD510" s="1012"/>
      <c r="CE510" s="268"/>
      <c r="CF510" s="411"/>
      <c r="CG510" s="419"/>
      <c r="CH510" s="411"/>
      <c r="CI510" s="411"/>
      <c r="CJ510" s="411"/>
      <c r="CK510" s="419"/>
      <c r="CL510" s="411"/>
      <c r="CM510" s="411"/>
      <c r="CN510" s="411"/>
      <c r="CO510" s="419"/>
      <c r="CP510" s="411"/>
      <c r="CQ510" s="411"/>
      <c r="CR510" s="411"/>
      <c r="CS510" s="411"/>
      <c r="CT510" s="411"/>
      <c r="CU510" s="411"/>
      <c r="CV510" s="411"/>
      <c r="CW510" s="411"/>
      <c r="CX510" s="411"/>
      <c r="CY510" s="419"/>
      <c r="CZ510" s="411"/>
      <c r="DA510" s="411"/>
      <c r="DB510" s="411"/>
      <c r="DC510" s="419"/>
      <c r="DD510" s="411"/>
      <c r="DE510" s="411"/>
      <c r="DF510" s="411"/>
      <c r="DG510" s="419"/>
      <c r="DH510" s="411"/>
      <c r="DI510" s="411"/>
      <c r="DJ510" s="411"/>
      <c r="DK510" s="411"/>
      <c r="DL510" s="411"/>
      <c r="DM510" s="411"/>
      <c r="DN510" s="411"/>
      <c r="DO510" s="411"/>
      <c r="DP510" s="411"/>
      <c r="DQ510" s="411"/>
      <c r="DR510" s="411"/>
      <c r="DS510" s="411"/>
      <c r="DT510" s="411"/>
      <c r="DU510" s="419"/>
      <c r="DV510" s="411"/>
      <c r="DW510" s="411"/>
      <c r="DX510" s="415"/>
      <c r="DY510" s="268"/>
      <c r="DZ510" s="268"/>
      <c r="EA510" s="268"/>
      <c r="EB510" s="268"/>
      <c r="EC510" s="268"/>
      <c r="ED510" s="268"/>
      <c r="EE510" s="268"/>
      <c r="EF510" s="268"/>
      <c r="EG510" s="268"/>
      <c r="EH510" s="268"/>
      <c r="EI510" s="268"/>
      <c r="EJ510" s="268"/>
    </row>
    <row r="511" spans="1:140" s="269" customFormat="1" x14ac:dyDescent="0.2">
      <c r="A511" s="288"/>
      <c r="B511" s="267"/>
      <c r="D511" s="264"/>
      <c r="E511" s="467"/>
      <c r="F511" s="264"/>
      <c r="G511" s="400"/>
      <c r="H511" s="264"/>
      <c r="I511" s="467"/>
      <c r="J511" s="264"/>
      <c r="K511" s="264"/>
      <c r="L511" s="264"/>
      <c r="M511" s="264"/>
      <c r="N511" s="264"/>
      <c r="O511" s="264"/>
      <c r="P511" s="264"/>
      <c r="Q511" s="264"/>
      <c r="R511" s="264"/>
      <c r="S511" s="264"/>
      <c r="T511" s="264"/>
      <c r="U511" s="264"/>
      <c r="V511" s="264"/>
      <c r="W511" s="283"/>
      <c r="X511" s="288"/>
      <c r="Z511" s="1002"/>
      <c r="AS511" s="1355"/>
      <c r="BK511" s="256"/>
      <c r="BO511" s="1363"/>
      <c r="BX511" s="257"/>
      <c r="BY511" s="256"/>
      <c r="BZ511" s="258"/>
      <c r="CA511" s="258"/>
      <c r="CB511" s="256"/>
      <c r="CC511" s="1013"/>
      <c r="CD511" s="1012"/>
      <c r="CE511" s="268"/>
      <c r="CF511" s="411"/>
      <c r="CG511" s="419"/>
      <c r="CH511" s="411"/>
      <c r="CI511" s="411"/>
      <c r="CJ511" s="411"/>
      <c r="CK511" s="419"/>
      <c r="CL511" s="411"/>
      <c r="CM511" s="411"/>
      <c r="CN511" s="411"/>
      <c r="CO511" s="419"/>
      <c r="CP511" s="411"/>
      <c r="CQ511" s="411"/>
      <c r="CR511" s="411"/>
      <c r="CS511" s="411"/>
      <c r="CT511" s="411"/>
      <c r="CU511" s="411"/>
      <c r="CV511" s="411"/>
      <c r="CW511" s="411"/>
      <c r="CX511" s="411"/>
      <c r="CY511" s="419"/>
      <c r="CZ511" s="411"/>
      <c r="DA511" s="411"/>
      <c r="DB511" s="411"/>
      <c r="DC511" s="419"/>
      <c r="DD511" s="411"/>
      <c r="DE511" s="411"/>
      <c r="DF511" s="411"/>
      <c r="DG511" s="419"/>
      <c r="DH511" s="411"/>
      <c r="DI511" s="411"/>
      <c r="DJ511" s="411"/>
      <c r="DK511" s="411"/>
      <c r="DL511" s="411"/>
      <c r="DM511" s="411"/>
      <c r="DN511" s="411"/>
      <c r="DO511" s="411"/>
      <c r="DP511" s="411"/>
      <c r="DQ511" s="411"/>
      <c r="DR511" s="411"/>
      <c r="DS511" s="411"/>
      <c r="DT511" s="411"/>
      <c r="DU511" s="419"/>
      <c r="DV511" s="411"/>
      <c r="DW511" s="411"/>
      <c r="DX511" s="415"/>
      <c r="DY511" s="268"/>
      <c r="DZ511" s="268"/>
      <c r="EA511" s="268"/>
      <c r="EB511" s="268"/>
      <c r="EC511" s="268"/>
      <c r="ED511" s="268"/>
      <c r="EE511" s="268"/>
      <c r="EF511" s="268"/>
      <c r="EG511" s="268"/>
      <c r="EH511" s="268"/>
      <c r="EI511" s="268"/>
      <c r="EJ511" s="268"/>
    </row>
    <row r="512" spans="1:140" s="269" customFormat="1" x14ac:dyDescent="0.2">
      <c r="A512" s="288"/>
      <c r="B512" s="267"/>
      <c r="D512" s="264"/>
      <c r="E512" s="467"/>
      <c r="F512" s="264"/>
      <c r="G512" s="400"/>
      <c r="H512" s="264"/>
      <c r="I512" s="467"/>
      <c r="J512" s="264"/>
      <c r="K512" s="264"/>
      <c r="L512" s="264"/>
      <c r="M512" s="264"/>
      <c r="N512" s="264"/>
      <c r="O512" s="264"/>
      <c r="P512" s="264"/>
      <c r="Q512" s="264"/>
      <c r="R512" s="264"/>
      <c r="S512" s="264"/>
      <c r="T512" s="264"/>
      <c r="U512" s="264"/>
      <c r="V512" s="264"/>
      <c r="W512" s="283"/>
      <c r="X512" s="288"/>
      <c r="Z512" s="1002"/>
      <c r="AS512" s="1355"/>
      <c r="BK512" s="256"/>
      <c r="BO512" s="1363"/>
      <c r="BX512" s="257"/>
      <c r="BY512" s="256"/>
      <c r="BZ512" s="258"/>
      <c r="CA512" s="258"/>
      <c r="CB512" s="256"/>
      <c r="CC512" s="1013"/>
      <c r="CD512" s="1012"/>
      <c r="CE512" s="268"/>
      <c r="CF512" s="411"/>
      <c r="CG512" s="419"/>
      <c r="CH512" s="411"/>
      <c r="CI512" s="411"/>
      <c r="CJ512" s="411"/>
      <c r="CK512" s="419"/>
      <c r="CL512" s="411"/>
      <c r="CM512" s="411"/>
      <c r="CN512" s="411"/>
      <c r="CO512" s="419"/>
      <c r="CP512" s="411"/>
      <c r="CQ512" s="411"/>
      <c r="CR512" s="411"/>
      <c r="CS512" s="411"/>
      <c r="CT512" s="411"/>
      <c r="CU512" s="411"/>
      <c r="CV512" s="411"/>
      <c r="CW512" s="411"/>
      <c r="CX512" s="411"/>
      <c r="CY512" s="419"/>
      <c r="CZ512" s="411"/>
      <c r="DA512" s="411"/>
      <c r="DB512" s="411"/>
      <c r="DC512" s="419"/>
      <c r="DD512" s="411"/>
      <c r="DE512" s="411"/>
      <c r="DF512" s="411"/>
      <c r="DG512" s="419"/>
      <c r="DH512" s="411"/>
      <c r="DI512" s="411"/>
      <c r="DJ512" s="411"/>
      <c r="DK512" s="411"/>
      <c r="DL512" s="411"/>
      <c r="DM512" s="411"/>
      <c r="DN512" s="411"/>
      <c r="DO512" s="411"/>
      <c r="DP512" s="411"/>
      <c r="DQ512" s="411"/>
      <c r="DR512" s="411"/>
      <c r="DS512" s="411"/>
      <c r="DT512" s="411"/>
      <c r="DU512" s="419"/>
      <c r="DV512" s="411"/>
      <c r="DW512" s="411"/>
      <c r="DX512" s="415"/>
      <c r="DY512" s="268"/>
      <c r="DZ512" s="268"/>
      <c r="EA512" s="268"/>
      <c r="EB512" s="268"/>
      <c r="EC512" s="268"/>
      <c r="ED512" s="268"/>
      <c r="EE512" s="268"/>
      <c r="EF512" s="268"/>
      <c r="EG512" s="268"/>
      <c r="EH512" s="268"/>
      <c r="EI512" s="268"/>
      <c r="EJ512" s="268"/>
    </row>
    <row r="513" spans="1:140" s="269" customFormat="1" x14ac:dyDescent="0.2">
      <c r="A513" s="288"/>
      <c r="B513" s="267"/>
      <c r="D513" s="264"/>
      <c r="E513" s="467"/>
      <c r="F513" s="264"/>
      <c r="G513" s="400"/>
      <c r="H513" s="264"/>
      <c r="I513" s="467"/>
      <c r="J513" s="264"/>
      <c r="K513" s="264"/>
      <c r="L513" s="264"/>
      <c r="M513" s="264"/>
      <c r="N513" s="264"/>
      <c r="O513" s="264"/>
      <c r="P513" s="264"/>
      <c r="Q513" s="264"/>
      <c r="R513" s="264"/>
      <c r="S513" s="264"/>
      <c r="T513" s="264"/>
      <c r="U513" s="264"/>
      <c r="V513" s="264"/>
      <c r="W513" s="283"/>
      <c r="X513" s="288"/>
      <c r="Z513" s="1002"/>
      <c r="AS513" s="1355"/>
      <c r="BK513" s="256"/>
      <c r="BO513" s="1363"/>
      <c r="BX513" s="257"/>
      <c r="BY513" s="256"/>
      <c r="BZ513" s="258"/>
      <c r="CA513" s="258"/>
      <c r="CB513" s="256"/>
      <c r="CC513" s="1013"/>
      <c r="CD513" s="1012"/>
      <c r="CE513" s="268"/>
      <c r="CF513" s="411"/>
      <c r="CG513" s="419"/>
      <c r="CH513" s="411"/>
      <c r="CI513" s="411"/>
      <c r="CJ513" s="411"/>
      <c r="CK513" s="419"/>
      <c r="CL513" s="411"/>
      <c r="CM513" s="411"/>
      <c r="CN513" s="411"/>
      <c r="CO513" s="419"/>
      <c r="CP513" s="411"/>
      <c r="CQ513" s="411"/>
      <c r="CR513" s="411"/>
      <c r="CS513" s="411"/>
      <c r="CT513" s="411"/>
      <c r="CU513" s="411"/>
      <c r="CV513" s="411"/>
      <c r="CW513" s="411"/>
      <c r="CX513" s="411"/>
      <c r="CY513" s="419"/>
      <c r="CZ513" s="411"/>
      <c r="DA513" s="411"/>
      <c r="DB513" s="411"/>
      <c r="DC513" s="419"/>
      <c r="DD513" s="411"/>
      <c r="DE513" s="411"/>
      <c r="DF513" s="411"/>
      <c r="DG513" s="419"/>
      <c r="DH513" s="411"/>
      <c r="DI513" s="411"/>
      <c r="DJ513" s="411"/>
      <c r="DK513" s="411"/>
      <c r="DL513" s="411"/>
      <c r="DM513" s="411"/>
      <c r="DN513" s="411"/>
      <c r="DO513" s="411"/>
      <c r="DP513" s="411"/>
      <c r="DQ513" s="411"/>
      <c r="DR513" s="411"/>
      <c r="DS513" s="411"/>
      <c r="DT513" s="411"/>
      <c r="DU513" s="419"/>
      <c r="DV513" s="411"/>
      <c r="DW513" s="411"/>
      <c r="DX513" s="415"/>
      <c r="DY513" s="268"/>
      <c r="DZ513" s="268"/>
      <c r="EA513" s="268"/>
      <c r="EB513" s="268"/>
      <c r="EC513" s="268"/>
      <c r="ED513" s="268"/>
      <c r="EE513" s="268"/>
      <c r="EF513" s="268"/>
      <c r="EG513" s="268"/>
      <c r="EH513" s="268"/>
      <c r="EI513" s="268"/>
      <c r="EJ513" s="268"/>
    </row>
    <row r="514" spans="1:140" s="269" customFormat="1" x14ac:dyDescent="0.2">
      <c r="A514" s="288"/>
      <c r="B514" s="267"/>
      <c r="D514" s="264"/>
      <c r="E514" s="467"/>
      <c r="F514" s="264"/>
      <c r="G514" s="400"/>
      <c r="H514" s="264"/>
      <c r="I514" s="467"/>
      <c r="J514" s="264"/>
      <c r="K514" s="264"/>
      <c r="L514" s="264"/>
      <c r="M514" s="264"/>
      <c r="N514" s="264"/>
      <c r="O514" s="264"/>
      <c r="P514" s="264"/>
      <c r="Q514" s="264"/>
      <c r="R514" s="264"/>
      <c r="S514" s="264"/>
      <c r="T514" s="264"/>
      <c r="U514" s="264"/>
      <c r="V514" s="264"/>
      <c r="W514" s="283"/>
      <c r="X514" s="288"/>
      <c r="Z514" s="1002"/>
      <c r="AS514" s="1355"/>
      <c r="BK514" s="256"/>
      <c r="BO514" s="1363"/>
      <c r="BX514" s="257"/>
      <c r="BY514" s="256"/>
      <c r="BZ514" s="258"/>
      <c r="CA514" s="258"/>
      <c r="CB514" s="256"/>
      <c r="CC514" s="1013"/>
      <c r="CD514" s="1012"/>
      <c r="CE514" s="268"/>
      <c r="CF514" s="411"/>
      <c r="CG514" s="419"/>
      <c r="CH514" s="411"/>
      <c r="CI514" s="411"/>
      <c r="CJ514" s="411"/>
      <c r="CK514" s="419"/>
      <c r="CL514" s="411"/>
      <c r="CM514" s="411"/>
      <c r="CN514" s="411"/>
      <c r="CO514" s="419"/>
      <c r="CP514" s="411"/>
      <c r="CQ514" s="411"/>
      <c r="CR514" s="411"/>
      <c r="CS514" s="411"/>
      <c r="CT514" s="411"/>
      <c r="CU514" s="411"/>
      <c r="CV514" s="411"/>
      <c r="CW514" s="411"/>
      <c r="CX514" s="411"/>
      <c r="CY514" s="419"/>
      <c r="CZ514" s="411"/>
      <c r="DA514" s="411"/>
      <c r="DB514" s="411"/>
      <c r="DC514" s="419"/>
      <c r="DD514" s="411"/>
      <c r="DE514" s="411"/>
      <c r="DF514" s="411"/>
      <c r="DG514" s="419"/>
      <c r="DH514" s="411"/>
      <c r="DI514" s="411"/>
      <c r="DJ514" s="411"/>
      <c r="DK514" s="411"/>
      <c r="DL514" s="411"/>
      <c r="DM514" s="411"/>
      <c r="DN514" s="411"/>
      <c r="DO514" s="411"/>
      <c r="DP514" s="411"/>
      <c r="DQ514" s="411"/>
      <c r="DR514" s="411"/>
      <c r="DS514" s="411"/>
      <c r="DT514" s="411"/>
      <c r="DU514" s="419"/>
      <c r="DV514" s="411"/>
      <c r="DW514" s="411"/>
      <c r="DX514" s="415"/>
      <c r="DY514" s="268"/>
      <c r="DZ514" s="268"/>
      <c r="EA514" s="268"/>
      <c r="EB514" s="268"/>
      <c r="EC514" s="268"/>
      <c r="ED514" s="268"/>
      <c r="EE514" s="268"/>
      <c r="EF514" s="268"/>
      <c r="EG514" s="268"/>
      <c r="EH514" s="268"/>
      <c r="EI514" s="268"/>
      <c r="EJ514" s="268"/>
    </row>
    <row r="515" spans="1:140" s="269" customFormat="1" x14ac:dyDescent="0.2">
      <c r="A515" s="288"/>
      <c r="B515" s="267"/>
      <c r="D515" s="264"/>
      <c r="E515" s="467"/>
      <c r="F515" s="264"/>
      <c r="G515" s="400"/>
      <c r="H515" s="264"/>
      <c r="I515" s="467"/>
      <c r="J515" s="264"/>
      <c r="K515" s="264"/>
      <c r="L515" s="264"/>
      <c r="M515" s="264"/>
      <c r="N515" s="264"/>
      <c r="O515" s="264"/>
      <c r="P515" s="264"/>
      <c r="Q515" s="264"/>
      <c r="R515" s="264"/>
      <c r="S515" s="264"/>
      <c r="T515" s="264"/>
      <c r="U515" s="264"/>
      <c r="V515" s="264"/>
      <c r="W515" s="283"/>
      <c r="X515" s="288"/>
      <c r="Z515" s="1002"/>
      <c r="AS515" s="1355"/>
      <c r="BK515" s="256"/>
      <c r="BO515" s="1363"/>
      <c r="BX515" s="257"/>
      <c r="BY515" s="256"/>
      <c r="BZ515" s="258"/>
      <c r="CA515" s="258"/>
      <c r="CB515" s="256"/>
      <c r="CC515" s="1013"/>
      <c r="CD515" s="1012"/>
      <c r="CE515" s="268"/>
      <c r="CF515" s="411"/>
      <c r="CG515" s="419"/>
      <c r="CH515" s="411"/>
      <c r="CI515" s="411"/>
      <c r="CJ515" s="411"/>
      <c r="CK515" s="419"/>
      <c r="CL515" s="411"/>
      <c r="CM515" s="411"/>
      <c r="CN515" s="411"/>
      <c r="CO515" s="419"/>
      <c r="CP515" s="411"/>
      <c r="CQ515" s="411"/>
      <c r="CR515" s="411"/>
      <c r="CS515" s="411"/>
      <c r="CT515" s="411"/>
      <c r="CU515" s="411"/>
      <c r="CV515" s="411"/>
      <c r="CW515" s="411"/>
      <c r="CX515" s="411"/>
      <c r="CY515" s="419"/>
      <c r="CZ515" s="411"/>
      <c r="DA515" s="411"/>
      <c r="DB515" s="411"/>
      <c r="DC515" s="419"/>
      <c r="DD515" s="411"/>
      <c r="DE515" s="411"/>
      <c r="DF515" s="411"/>
      <c r="DG515" s="419"/>
      <c r="DH515" s="411"/>
      <c r="DI515" s="411"/>
      <c r="DJ515" s="411"/>
      <c r="DK515" s="411"/>
      <c r="DL515" s="411"/>
      <c r="DM515" s="411"/>
      <c r="DN515" s="411"/>
      <c r="DO515" s="411"/>
      <c r="DP515" s="411"/>
      <c r="DQ515" s="411"/>
      <c r="DR515" s="411"/>
      <c r="DS515" s="411"/>
      <c r="DT515" s="411"/>
      <c r="DU515" s="419"/>
      <c r="DV515" s="411"/>
      <c r="DW515" s="411"/>
      <c r="DX515" s="415"/>
      <c r="DY515" s="268"/>
      <c r="DZ515" s="268"/>
      <c r="EA515" s="268"/>
      <c r="EB515" s="268"/>
      <c r="EC515" s="268"/>
      <c r="ED515" s="268"/>
      <c r="EE515" s="268"/>
      <c r="EF515" s="268"/>
      <c r="EG515" s="268"/>
      <c r="EH515" s="268"/>
      <c r="EI515" s="268"/>
      <c r="EJ515" s="268"/>
    </row>
    <row r="516" spans="1:140" s="269" customFormat="1" x14ac:dyDescent="0.2">
      <c r="A516" s="288"/>
      <c r="B516" s="267"/>
      <c r="D516" s="264"/>
      <c r="E516" s="467"/>
      <c r="F516" s="264"/>
      <c r="G516" s="400"/>
      <c r="H516" s="264"/>
      <c r="I516" s="467"/>
      <c r="J516" s="264"/>
      <c r="K516" s="264"/>
      <c r="L516" s="264"/>
      <c r="M516" s="264"/>
      <c r="N516" s="264"/>
      <c r="O516" s="264"/>
      <c r="P516" s="264"/>
      <c r="Q516" s="264"/>
      <c r="R516" s="264"/>
      <c r="S516" s="264"/>
      <c r="T516" s="264"/>
      <c r="U516" s="264"/>
      <c r="V516" s="264"/>
      <c r="W516" s="283"/>
      <c r="X516" s="288"/>
      <c r="Z516" s="1002"/>
      <c r="AS516" s="1355"/>
      <c r="BK516" s="256"/>
      <c r="BO516" s="1363"/>
      <c r="BX516" s="257"/>
      <c r="BY516" s="256"/>
      <c r="BZ516" s="258"/>
      <c r="CA516" s="258"/>
      <c r="CB516" s="256"/>
      <c r="CC516" s="1013"/>
      <c r="CD516" s="1012"/>
      <c r="CE516" s="268"/>
      <c r="CF516" s="411"/>
      <c r="CG516" s="419"/>
      <c r="CH516" s="411"/>
      <c r="CI516" s="411"/>
      <c r="CJ516" s="411"/>
      <c r="CK516" s="419"/>
      <c r="CL516" s="411"/>
      <c r="CM516" s="411"/>
      <c r="CN516" s="411"/>
      <c r="CO516" s="419"/>
      <c r="CP516" s="411"/>
      <c r="CQ516" s="411"/>
      <c r="CR516" s="411"/>
      <c r="CS516" s="411"/>
      <c r="CT516" s="411"/>
      <c r="CU516" s="411"/>
      <c r="CV516" s="411"/>
      <c r="CW516" s="411"/>
      <c r="CX516" s="411"/>
      <c r="CY516" s="419"/>
      <c r="CZ516" s="411"/>
      <c r="DA516" s="411"/>
      <c r="DB516" s="411"/>
      <c r="DC516" s="419"/>
      <c r="DD516" s="411"/>
      <c r="DE516" s="411"/>
      <c r="DF516" s="411"/>
      <c r="DG516" s="419"/>
      <c r="DH516" s="411"/>
      <c r="DI516" s="411"/>
      <c r="DJ516" s="411"/>
      <c r="DK516" s="411"/>
      <c r="DL516" s="411"/>
      <c r="DM516" s="411"/>
      <c r="DN516" s="411"/>
      <c r="DO516" s="411"/>
      <c r="DP516" s="411"/>
      <c r="DQ516" s="411"/>
      <c r="DR516" s="411"/>
      <c r="DS516" s="411"/>
      <c r="DT516" s="411"/>
      <c r="DU516" s="419"/>
      <c r="DV516" s="411"/>
      <c r="DW516" s="411"/>
      <c r="DX516" s="415"/>
      <c r="DY516" s="268"/>
      <c r="DZ516" s="268"/>
      <c r="EA516" s="268"/>
      <c r="EB516" s="268"/>
      <c r="EC516" s="268"/>
      <c r="ED516" s="268"/>
      <c r="EE516" s="268"/>
      <c r="EF516" s="268"/>
      <c r="EG516" s="268"/>
      <c r="EH516" s="268"/>
      <c r="EI516" s="268"/>
      <c r="EJ516" s="268"/>
    </row>
    <row r="517" spans="1:140" s="269" customFormat="1" x14ac:dyDescent="0.2">
      <c r="A517" s="288"/>
      <c r="B517" s="267"/>
      <c r="D517" s="264"/>
      <c r="E517" s="467"/>
      <c r="F517" s="264"/>
      <c r="G517" s="400"/>
      <c r="H517" s="264"/>
      <c r="I517" s="467"/>
      <c r="J517" s="264"/>
      <c r="K517" s="264"/>
      <c r="L517" s="264"/>
      <c r="M517" s="264"/>
      <c r="N517" s="264"/>
      <c r="O517" s="264"/>
      <c r="P517" s="264"/>
      <c r="Q517" s="264"/>
      <c r="R517" s="264"/>
      <c r="S517" s="264"/>
      <c r="T517" s="264"/>
      <c r="U517" s="264"/>
      <c r="V517" s="264"/>
      <c r="W517" s="283"/>
      <c r="X517" s="288"/>
      <c r="Z517" s="1002"/>
      <c r="AS517" s="1355"/>
      <c r="BK517" s="256"/>
      <c r="BO517" s="1363"/>
      <c r="BX517" s="257"/>
      <c r="BY517" s="256"/>
      <c r="BZ517" s="258"/>
      <c r="CA517" s="258"/>
      <c r="CB517" s="256"/>
      <c r="CC517" s="1013"/>
      <c r="CD517" s="1012"/>
      <c r="CE517" s="268"/>
      <c r="CF517" s="411"/>
      <c r="CG517" s="419"/>
      <c r="CH517" s="411"/>
      <c r="CI517" s="411"/>
      <c r="CJ517" s="411"/>
      <c r="CK517" s="419"/>
      <c r="CL517" s="411"/>
      <c r="CM517" s="411"/>
      <c r="CN517" s="411"/>
      <c r="CO517" s="419"/>
      <c r="CP517" s="411"/>
      <c r="CQ517" s="411"/>
      <c r="CR517" s="411"/>
      <c r="CS517" s="411"/>
      <c r="CT517" s="411"/>
      <c r="CU517" s="411"/>
      <c r="CV517" s="411"/>
      <c r="CW517" s="411"/>
      <c r="CX517" s="411"/>
      <c r="CY517" s="419"/>
      <c r="CZ517" s="411"/>
      <c r="DA517" s="411"/>
      <c r="DB517" s="411"/>
      <c r="DC517" s="419"/>
      <c r="DD517" s="411"/>
      <c r="DE517" s="411"/>
      <c r="DF517" s="411"/>
      <c r="DG517" s="419"/>
      <c r="DH517" s="411"/>
      <c r="DI517" s="411"/>
      <c r="DJ517" s="411"/>
      <c r="DK517" s="411"/>
      <c r="DL517" s="411"/>
      <c r="DM517" s="411"/>
      <c r="DN517" s="411"/>
      <c r="DO517" s="411"/>
      <c r="DP517" s="411"/>
      <c r="DQ517" s="411"/>
      <c r="DR517" s="411"/>
      <c r="DS517" s="411"/>
      <c r="DT517" s="411"/>
      <c r="DU517" s="419"/>
      <c r="DV517" s="411"/>
      <c r="DW517" s="411"/>
      <c r="DX517" s="415"/>
      <c r="DY517" s="268"/>
      <c r="DZ517" s="268"/>
      <c r="EA517" s="268"/>
      <c r="EB517" s="268"/>
      <c r="EC517" s="268"/>
      <c r="ED517" s="268"/>
      <c r="EE517" s="268"/>
      <c r="EF517" s="268"/>
      <c r="EG517" s="268"/>
      <c r="EH517" s="268"/>
      <c r="EI517" s="268"/>
      <c r="EJ517" s="268"/>
    </row>
    <row r="518" spans="1:140" s="269" customFormat="1" x14ac:dyDescent="0.2">
      <c r="A518" s="288"/>
      <c r="B518" s="267"/>
      <c r="D518" s="264"/>
      <c r="E518" s="467"/>
      <c r="F518" s="264"/>
      <c r="G518" s="400"/>
      <c r="H518" s="264"/>
      <c r="I518" s="467"/>
      <c r="J518" s="264"/>
      <c r="K518" s="264"/>
      <c r="L518" s="264"/>
      <c r="M518" s="264"/>
      <c r="N518" s="264"/>
      <c r="O518" s="264"/>
      <c r="P518" s="264"/>
      <c r="Q518" s="264"/>
      <c r="R518" s="264"/>
      <c r="S518" s="264"/>
      <c r="T518" s="264"/>
      <c r="U518" s="264"/>
      <c r="V518" s="264"/>
      <c r="W518" s="283"/>
      <c r="X518" s="288"/>
      <c r="Z518" s="1002"/>
      <c r="AS518" s="1355"/>
      <c r="BK518" s="256"/>
      <c r="BO518" s="1363"/>
      <c r="BX518" s="257"/>
      <c r="BY518" s="256"/>
      <c r="BZ518" s="258"/>
      <c r="CA518" s="258"/>
      <c r="CB518" s="256"/>
      <c r="CC518" s="1013"/>
      <c r="CD518" s="1012"/>
      <c r="CE518" s="268"/>
      <c r="CF518" s="411"/>
      <c r="CG518" s="419"/>
      <c r="CH518" s="411"/>
      <c r="CI518" s="411"/>
      <c r="CJ518" s="411"/>
      <c r="CK518" s="419"/>
      <c r="CL518" s="411"/>
      <c r="CM518" s="411"/>
      <c r="CN518" s="411"/>
      <c r="CO518" s="419"/>
      <c r="CP518" s="411"/>
      <c r="CQ518" s="411"/>
      <c r="CR518" s="411"/>
      <c r="CS518" s="411"/>
      <c r="CT518" s="411"/>
      <c r="CU518" s="411"/>
      <c r="CV518" s="411"/>
      <c r="CW518" s="411"/>
      <c r="CX518" s="411"/>
      <c r="CY518" s="419"/>
      <c r="CZ518" s="411"/>
      <c r="DA518" s="411"/>
      <c r="DB518" s="411"/>
      <c r="DC518" s="419"/>
      <c r="DD518" s="411"/>
      <c r="DE518" s="411"/>
      <c r="DF518" s="411"/>
      <c r="DG518" s="419"/>
      <c r="DH518" s="411"/>
      <c r="DI518" s="411"/>
      <c r="DJ518" s="411"/>
      <c r="DK518" s="411"/>
      <c r="DL518" s="411"/>
      <c r="DM518" s="411"/>
      <c r="DN518" s="411"/>
      <c r="DO518" s="411"/>
      <c r="DP518" s="411"/>
      <c r="DQ518" s="411"/>
      <c r="DR518" s="411"/>
      <c r="DS518" s="411"/>
      <c r="DT518" s="411"/>
      <c r="DU518" s="419"/>
      <c r="DV518" s="411"/>
      <c r="DW518" s="411"/>
      <c r="DX518" s="415"/>
      <c r="DY518" s="268"/>
      <c r="DZ518" s="268"/>
      <c r="EA518" s="268"/>
      <c r="EB518" s="268"/>
      <c r="EC518" s="268"/>
      <c r="ED518" s="268"/>
      <c r="EE518" s="268"/>
      <c r="EF518" s="268"/>
      <c r="EG518" s="268"/>
      <c r="EH518" s="268"/>
      <c r="EI518" s="268"/>
      <c r="EJ518" s="268"/>
    </row>
    <row r="519" spans="1:140" s="269" customFormat="1" x14ac:dyDescent="0.2">
      <c r="A519" s="288"/>
      <c r="B519" s="267"/>
      <c r="D519" s="264"/>
      <c r="E519" s="467"/>
      <c r="F519" s="264"/>
      <c r="G519" s="400"/>
      <c r="H519" s="264"/>
      <c r="I519" s="467"/>
      <c r="J519" s="264"/>
      <c r="K519" s="264"/>
      <c r="L519" s="264"/>
      <c r="M519" s="264"/>
      <c r="N519" s="264"/>
      <c r="O519" s="264"/>
      <c r="P519" s="264"/>
      <c r="Q519" s="264"/>
      <c r="R519" s="264"/>
      <c r="S519" s="264"/>
      <c r="T519" s="264"/>
      <c r="U519" s="264"/>
      <c r="V519" s="264"/>
      <c r="W519" s="283"/>
      <c r="X519" s="288"/>
      <c r="Z519" s="1002"/>
      <c r="AS519" s="1355"/>
      <c r="BK519" s="256"/>
      <c r="BO519" s="1363"/>
      <c r="BX519" s="257"/>
      <c r="BY519" s="256"/>
      <c r="BZ519" s="258"/>
      <c r="CA519" s="258"/>
      <c r="CB519" s="256"/>
      <c r="CC519" s="1013"/>
      <c r="CD519" s="1012"/>
      <c r="CE519" s="268"/>
      <c r="CF519" s="411"/>
      <c r="CG519" s="419"/>
      <c r="CH519" s="411"/>
      <c r="CI519" s="411"/>
      <c r="CJ519" s="411"/>
      <c r="CK519" s="419"/>
      <c r="CL519" s="411"/>
      <c r="CM519" s="411"/>
      <c r="CN519" s="411"/>
      <c r="CO519" s="419"/>
      <c r="CP519" s="411"/>
      <c r="CQ519" s="411"/>
      <c r="CR519" s="411"/>
      <c r="CS519" s="411"/>
      <c r="CT519" s="411"/>
      <c r="CU519" s="411"/>
      <c r="CV519" s="411"/>
      <c r="CW519" s="411"/>
      <c r="CX519" s="411"/>
      <c r="CY519" s="419"/>
      <c r="CZ519" s="411"/>
      <c r="DA519" s="411"/>
      <c r="DB519" s="411"/>
      <c r="DC519" s="419"/>
      <c r="DD519" s="411"/>
      <c r="DE519" s="411"/>
      <c r="DF519" s="411"/>
      <c r="DG519" s="419"/>
      <c r="DH519" s="411"/>
      <c r="DI519" s="411"/>
      <c r="DJ519" s="411"/>
      <c r="DK519" s="411"/>
      <c r="DL519" s="411"/>
      <c r="DM519" s="411"/>
      <c r="DN519" s="411"/>
      <c r="DO519" s="411"/>
      <c r="DP519" s="411"/>
      <c r="DQ519" s="411"/>
      <c r="DR519" s="411"/>
      <c r="DS519" s="411"/>
      <c r="DT519" s="411"/>
      <c r="DU519" s="419"/>
      <c r="DV519" s="411"/>
      <c r="DW519" s="411"/>
      <c r="DX519" s="415"/>
      <c r="DY519" s="268"/>
      <c r="DZ519" s="268"/>
      <c r="EA519" s="268"/>
      <c r="EB519" s="268"/>
      <c r="EC519" s="268"/>
      <c r="ED519" s="268"/>
      <c r="EE519" s="268"/>
      <c r="EF519" s="268"/>
      <c r="EG519" s="268"/>
      <c r="EH519" s="268"/>
      <c r="EI519" s="268"/>
      <c r="EJ519" s="268"/>
    </row>
    <row r="520" spans="1:140" s="269" customFormat="1" x14ac:dyDescent="0.2">
      <c r="A520" s="288"/>
      <c r="B520" s="267"/>
      <c r="D520" s="264"/>
      <c r="E520" s="467"/>
      <c r="F520" s="264"/>
      <c r="G520" s="400"/>
      <c r="H520" s="264"/>
      <c r="I520" s="467"/>
      <c r="J520" s="264"/>
      <c r="K520" s="264"/>
      <c r="L520" s="264"/>
      <c r="M520" s="264"/>
      <c r="N520" s="264"/>
      <c r="O520" s="264"/>
      <c r="P520" s="264"/>
      <c r="Q520" s="264"/>
      <c r="R520" s="264"/>
      <c r="S520" s="264"/>
      <c r="T520" s="264"/>
      <c r="U520" s="264"/>
      <c r="V520" s="264"/>
      <c r="W520" s="283"/>
      <c r="X520" s="288"/>
      <c r="Z520" s="1002"/>
      <c r="AS520" s="1355"/>
      <c r="BK520" s="256"/>
      <c r="BO520" s="1363"/>
      <c r="BX520" s="257"/>
      <c r="BY520" s="256"/>
      <c r="BZ520" s="258"/>
      <c r="CA520" s="258"/>
      <c r="CB520" s="256"/>
      <c r="CC520" s="1013"/>
      <c r="CD520" s="1012"/>
      <c r="CE520" s="268"/>
      <c r="CF520" s="411"/>
      <c r="CG520" s="419"/>
      <c r="CH520" s="411"/>
      <c r="CI520" s="411"/>
      <c r="CJ520" s="411"/>
      <c r="CK520" s="419"/>
      <c r="CL520" s="411"/>
      <c r="CM520" s="411"/>
      <c r="CN520" s="411"/>
      <c r="CO520" s="419"/>
      <c r="CP520" s="411"/>
      <c r="CQ520" s="411"/>
      <c r="CR520" s="411"/>
      <c r="CS520" s="411"/>
      <c r="CT520" s="411"/>
      <c r="CU520" s="411"/>
      <c r="CV520" s="411"/>
      <c r="CW520" s="411"/>
      <c r="CX520" s="411"/>
      <c r="CY520" s="419"/>
      <c r="CZ520" s="411"/>
      <c r="DA520" s="411"/>
      <c r="DB520" s="411"/>
      <c r="DC520" s="419"/>
      <c r="DD520" s="411"/>
      <c r="DE520" s="411"/>
      <c r="DF520" s="411"/>
      <c r="DG520" s="419"/>
      <c r="DH520" s="411"/>
      <c r="DI520" s="411"/>
      <c r="DJ520" s="411"/>
      <c r="DK520" s="411"/>
      <c r="DL520" s="411"/>
      <c r="DM520" s="411"/>
      <c r="DN520" s="411"/>
      <c r="DO520" s="411"/>
      <c r="DP520" s="411"/>
      <c r="DQ520" s="411"/>
      <c r="DR520" s="411"/>
      <c r="DS520" s="411"/>
      <c r="DT520" s="411"/>
      <c r="DU520" s="419"/>
      <c r="DV520" s="411"/>
      <c r="DW520" s="411"/>
      <c r="DX520" s="415"/>
      <c r="DY520" s="268"/>
      <c r="DZ520" s="268"/>
      <c r="EA520" s="268"/>
      <c r="EB520" s="268"/>
      <c r="EC520" s="268"/>
      <c r="ED520" s="268"/>
      <c r="EE520" s="268"/>
      <c r="EF520" s="268"/>
      <c r="EG520" s="268"/>
      <c r="EH520" s="268"/>
      <c r="EI520" s="268"/>
      <c r="EJ520" s="268"/>
    </row>
    <row r="521" spans="1:140" s="269" customFormat="1" x14ac:dyDescent="0.2">
      <c r="A521" s="288"/>
      <c r="B521" s="267"/>
      <c r="D521" s="264"/>
      <c r="E521" s="467"/>
      <c r="F521" s="264"/>
      <c r="G521" s="400"/>
      <c r="H521" s="264"/>
      <c r="I521" s="467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4"/>
      <c r="V521" s="264"/>
      <c r="W521" s="283"/>
      <c r="X521" s="288"/>
      <c r="Z521" s="1002"/>
      <c r="AS521" s="1355"/>
      <c r="BK521" s="256"/>
      <c r="BO521" s="1363"/>
      <c r="BX521" s="257"/>
      <c r="BY521" s="256"/>
      <c r="BZ521" s="258"/>
      <c r="CA521" s="258"/>
      <c r="CB521" s="256"/>
      <c r="CC521" s="1013"/>
      <c r="CD521" s="1012"/>
      <c r="CE521" s="268"/>
      <c r="CF521" s="411"/>
      <c r="CG521" s="419"/>
      <c r="CH521" s="411"/>
      <c r="CI521" s="411"/>
      <c r="CJ521" s="411"/>
      <c r="CK521" s="419"/>
      <c r="CL521" s="411"/>
      <c r="CM521" s="411"/>
      <c r="CN521" s="411"/>
      <c r="CO521" s="419"/>
      <c r="CP521" s="411"/>
      <c r="CQ521" s="411"/>
      <c r="CR521" s="411"/>
      <c r="CS521" s="411"/>
      <c r="CT521" s="411"/>
      <c r="CU521" s="411"/>
      <c r="CV521" s="411"/>
      <c r="CW521" s="411"/>
      <c r="CX521" s="411"/>
      <c r="CY521" s="419"/>
      <c r="CZ521" s="411"/>
      <c r="DA521" s="411"/>
      <c r="DB521" s="411"/>
      <c r="DC521" s="419"/>
      <c r="DD521" s="411"/>
      <c r="DE521" s="411"/>
      <c r="DF521" s="411"/>
      <c r="DG521" s="419"/>
      <c r="DH521" s="411"/>
      <c r="DI521" s="411"/>
      <c r="DJ521" s="411"/>
      <c r="DK521" s="411"/>
      <c r="DL521" s="411"/>
      <c r="DM521" s="411"/>
      <c r="DN521" s="411"/>
      <c r="DO521" s="411"/>
      <c r="DP521" s="411"/>
      <c r="DQ521" s="411"/>
      <c r="DR521" s="411"/>
      <c r="DS521" s="411"/>
      <c r="DT521" s="411"/>
      <c r="DU521" s="419"/>
      <c r="DV521" s="411"/>
      <c r="DW521" s="411"/>
      <c r="DX521" s="415"/>
      <c r="DY521" s="268"/>
      <c r="DZ521" s="268"/>
      <c r="EA521" s="268"/>
      <c r="EB521" s="268"/>
      <c r="EC521" s="268"/>
      <c r="ED521" s="268"/>
      <c r="EE521" s="268"/>
      <c r="EF521" s="268"/>
      <c r="EG521" s="268"/>
      <c r="EH521" s="268"/>
      <c r="EI521" s="268"/>
      <c r="EJ521" s="268"/>
    </row>
    <row r="522" spans="1:140" s="269" customFormat="1" x14ac:dyDescent="0.2">
      <c r="A522" s="288"/>
      <c r="B522" s="267"/>
      <c r="D522" s="264"/>
      <c r="E522" s="467"/>
      <c r="F522" s="264"/>
      <c r="G522" s="400"/>
      <c r="H522" s="264"/>
      <c r="I522" s="467"/>
      <c r="J522" s="264"/>
      <c r="K522" s="264"/>
      <c r="L522" s="264"/>
      <c r="M522" s="264"/>
      <c r="N522" s="264"/>
      <c r="O522" s="264"/>
      <c r="P522" s="264"/>
      <c r="Q522" s="264"/>
      <c r="R522" s="264"/>
      <c r="S522" s="264"/>
      <c r="T522" s="264"/>
      <c r="U522" s="264"/>
      <c r="V522" s="264"/>
      <c r="W522" s="283"/>
      <c r="X522" s="288"/>
      <c r="Z522" s="1002"/>
      <c r="AS522" s="1355"/>
      <c r="BK522" s="256"/>
      <c r="BO522" s="1363"/>
      <c r="BX522" s="257"/>
      <c r="BY522" s="256"/>
      <c r="BZ522" s="258"/>
      <c r="CA522" s="258"/>
      <c r="CB522" s="256"/>
      <c r="CC522" s="1013"/>
      <c r="CD522" s="1012"/>
      <c r="CE522" s="268"/>
      <c r="CF522" s="411"/>
      <c r="CG522" s="419"/>
      <c r="CH522" s="411"/>
      <c r="CI522" s="411"/>
      <c r="CJ522" s="411"/>
      <c r="CK522" s="419"/>
      <c r="CL522" s="411"/>
      <c r="CM522" s="411"/>
      <c r="CN522" s="411"/>
      <c r="CO522" s="419"/>
      <c r="CP522" s="411"/>
      <c r="CQ522" s="411"/>
      <c r="CR522" s="411"/>
      <c r="CS522" s="411"/>
      <c r="CT522" s="411"/>
      <c r="CU522" s="411"/>
      <c r="CV522" s="411"/>
      <c r="CW522" s="411"/>
      <c r="CX522" s="411"/>
      <c r="CY522" s="419"/>
      <c r="CZ522" s="411"/>
      <c r="DA522" s="411"/>
      <c r="DB522" s="411"/>
      <c r="DC522" s="419"/>
      <c r="DD522" s="411"/>
      <c r="DE522" s="411"/>
      <c r="DF522" s="411"/>
      <c r="DG522" s="419"/>
      <c r="DH522" s="411"/>
      <c r="DI522" s="411"/>
      <c r="DJ522" s="411"/>
      <c r="DK522" s="411"/>
      <c r="DL522" s="411"/>
      <c r="DM522" s="411"/>
      <c r="DN522" s="411"/>
      <c r="DO522" s="411"/>
      <c r="DP522" s="411"/>
      <c r="DQ522" s="411"/>
      <c r="DR522" s="411"/>
      <c r="DS522" s="411"/>
      <c r="DT522" s="411"/>
      <c r="DU522" s="419"/>
      <c r="DV522" s="411"/>
      <c r="DW522" s="411"/>
      <c r="DX522" s="415"/>
      <c r="DY522" s="268"/>
      <c r="DZ522" s="268"/>
      <c r="EA522" s="268"/>
      <c r="EB522" s="268"/>
      <c r="EC522" s="268"/>
      <c r="ED522" s="268"/>
      <c r="EE522" s="268"/>
      <c r="EF522" s="268"/>
      <c r="EG522" s="268"/>
      <c r="EH522" s="268"/>
      <c r="EI522" s="268"/>
      <c r="EJ522" s="268"/>
    </row>
    <row r="523" spans="1:140" s="269" customFormat="1" x14ac:dyDescent="0.2">
      <c r="A523" s="288"/>
      <c r="B523" s="267"/>
      <c r="D523" s="264"/>
      <c r="E523" s="467"/>
      <c r="F523" s="264"/>
      <c r="G523" s="400"/>
      <c r="H523" s="264"/>
      <c r="I523" s="467"/>
      <c r="J523" s="264"/>
      <c r="K523" s="264"/>
      <c r="L523" s="264"/>
      <c r="M523" s="264"/>
      <c r="N523" s="264"/>
      <c r="O523" s="264"/>
      <c r="P523" s="264"/>
      <c r="Q523" s="264"/>
      <c r="R523" s="264"/>
      <c r="S523" s="264"/>
      <c r="T523" s="264"/>
      <c r="U523" s="264"/>
      <c r="V523" s="264"/>
      <c r="W523" s="283"/>
      <c r="X523" s="288"/>
      <c r="Z523" s="1002"/>
      <c r="AS523" s="1355"/>
      <c r="BK523" s="256"/>
      <c r="BO523" s="1363"/>
      <c r="BX523" s="257"/>
      <c r="BY523" s="256"/>
      <c r="BZ523" s="258"/>
      <c r="CA523" s="258"/>
      <c r="CB523" s="256"/>
      <c r="CC523" s="1013"/>
      <c r="CD523" s="1012"/>
      <c r="CE523" s="268"/>
      <c r="CF523" s="411"/>
      <c r="CG523" s="419"/>
      <c r="CH523" s="411"/>
      <c r="CI523" s="411"/>
      <c r="CJ523" s="411"/>
      <c r="CK523" s="419"/>
      <c r="CL523" s="411"/>
      <c r="CM523" s="411"/>
      <c r="CN523" s="411"/>
      <c r="CO523" s="419"/>
      <c r="CP523" s="411"/>
      <c r="CQ523" s="411"/>
      <c r="CR523" s="411"/>
      <c r="CS523" s="411"/>
      <c r="CT523" s="411"/>
      <c r="CU523" s="411"/>
      <c r="CV523" s="411"/>
      <c r="CW523" s="411"/>
      <c r="CX523" s="411"/>
      <c r="CY523" s="419"/>
      <c r="CZ523" s="411"/>
      <c r="DA523" s="411"/>
      <c r="DB523" s="411"/>
      <c r="DC523" s="419"/>
      <c r="DD523" s="411"/>
      <c r="DE523" s="411"/>
      <c r="DF523" s="411"/>
      <c r="DG523" s="419"/>
      <c r="DH523" s="411"/>
      <c r="DI523" s="411"/>
      <c r="DJ523" s="411"/>
      <c r="DK523" s="411"/>
      <c r="DL523" s="411"/>
      <c r="DM523" s="411"/>
      <c r="DN523" s="411"/>
      <c r="DO523" s="411"/>
      <c r="DP523" s="411"/>
      <c r="DQ523" s="411"/>
      <c r="DR523" s="411"/>
      <c r="DS523" s="411"/>
      <c r="DT523" s="411"/>
      <c r="DU523" s="419"/>
      <c r="DV523" s="411"/>
      <c r="DW523" s="411"/>
      <c r="DX523" s="415"/>
      <c r="DY523" s="268"/>
      <c r="DZ523" s="268"/>
      <c r="EA523" s="268"/>
      <c r="EB523" s="268"/>
      <c r="EC523" s="268"/>
      <c r="ED523" s="268"/>
      <c r="EE523" s="268"/>
      <c r="EF523" s="268"/>
      <c r="EG523" s="268"/>
      <c r="EH523" s="268"/>
      <c r="EI523" s="268"/>
      <c r="EJ523" s="268"/>
    </row>
    <row r="524" spans="1:140" s="269" customFormat="1" x14ac:dyDescent="0.2">
      <c r="A524" s="288"/>
      <c r="B524" s="267"/>
      <c r="D524" s="264"/>
      <c r="E524" s="467"/>
      <c r="F524" s="264"/>
      <c r="G524" s="400"/>
      <c r="H524" s="264"/>
      <c r="I524" s="467"/>
      <c r="J524" s="264"/>
      <c r="K524" s="264"/>
      <c r="L524" s="264"/>
      <c r="M524" s="264"/>
      <c r="N524" s="264"/>
      <c r="O524" s="264"/>
      <c r="P524" s="264"/>
      <c r="Q524" s="264"/>
      <c r="R524" s="264"/>
      <c r="S524" s="264"/>
      <c r="T524" s="264"/>
      <c r="U524" s="264"/>
      <c r="V524" s="264"/>
      <c r="W524" s="283"/>
      <c r="X524" s="288"/>
      <c r="Z524" s="1002"/>
      <c r="AS524" s="1355"/>
      <c r="BK524" s="256"/>
      <c r="BO524" s="1363"/>
      <c r="BX524" s="257"/>
      <c r="BY524" s="256"/>
      <c r="BZ524" s="258"/>
      <c r="CA524" s="258"/>
      <c r="CB524" s="256"/>
      <c r="CC524" s="1013"/>
      <c r="CD524" s="1012"/>
      <c r="CE524" s="268"/>
      <c r="CF524" s="411"/>
      <c r="CG524" s="419"/>
      <c r="CH524" s="411"/>
      <c r="CI524" s="411"/>
      <c r="CJ524" s="411"/>
      <c r="CK524" s="419"/>
      <c r="CL524" s="411"/>
      <c r="CM524" s="411"/>
      <c r="CN524" s="411"/>
      <c r="CO524" s="419"/>
      <c r="CP524" s="411"/>
      <c r="CQ524" s="411"/>
      <c r="CR524" s="411"/>
      <c r="CS524" s="411"/>
      <c r="CT524" s="411"/>
      <c r="CU524" s="411"/>
      <c r="CV524" s="411"/>
      <c r="CW524" s="411"/>
      <c r="CX524" s="411"/>
      <c r="CY524" s="419"/>
      <c r="CZ524" s="411"/>
      <c r="DA524" s="411"/>
      <c r="DB524" s="411"/>
      <c r="DC524" s="419"/>
      <c r="DD524" s="411"/>
      <c r="DE524" s="411"/>
      <c r="DF524" s="411"/>
      <c r="DG524" s="419"/>
      <c r="DH524" s="411"/>
      <c r="DI524" s="411"/>
      <c r="DJ524" s="411"/>
      <c r="DK524" s="411"/>
      <c r="DL524" s="411"/>
      <c r="DM524" s="411"/>
      <c r="DN524" s="411"/>
      <c r="DO524" s="411"/>
      <c r="DP524" s="411"/>
      <c r="DQ524" s="411"/>
      <c r="DR524" s="411"/>
      <c r="DS524" s="411"/>
      <c r="DT524" s="411"/>
      <c r="DU524" s="419"/>
      <c r="DV524" s="411"/>
      <c r="DW524" s="411"/>
      <c r="DX524" s="415"/>
      <c r="DY524" s="268"/>
      <c r="DZ524" s="268"/>
      <c r="EA524" s="268"/>
      <c r="EB524" s="268"/>
      <c r="EC524" s="268"/>
      <c r="ED524" s="268"/>
      <c r="EE524" s="268"/>
      <c r="EF524" s="268"/>
      <c r="EG524" s="268"/>
      <c r="EH524" s="268"/>
      <c r="EI524" s="268"/>
      <c r="EJ524" s="268"/>
    </row>
    <row r="525" spans="1:140" s="269" customFormat="1" x14ac:dyDescent="0.2">
      <c r="A525" s="288"/>
      <c r="B525" s="267"/>
      <c r="D525" s="264"/>
      <c r="E525" s="467"/>
      <c r="F525" s="264"/>
      <c r="G525" s="400"/>
      <c r="H525" s="264"/>
      <c r="I525" s="467"/>
      <c r="J525" s="264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  <c r="V525" s="264"/>
      <c r="W525" s="283"/>
      <c r="X525" s="288"/>
      <c r="Z525" s="1002"/>
      <c r="AS525" s="1355"/>
      <c r="BK525" s="256"/>
      <c r="BO525" s="1363"/>
      <c r="BX525" s="257"/>
      <c r="BY525" s="256"/>
      <c r="BZ525" s="258"/>
      <c r="CA525" s="258"/>
      <c r="CB525" s="256"/>
      <c r="CC525" s="1013"/>
      <c r="CD525" s="1012"/>
      <c r="CE525" s="268"/>
      <c r="CF525" s="411"/>
      <c r="CG525" s="419"/>
      <c r="CH525" s="411"/>
      <c r="CI525" s="411"/>
      <c r="CJ525" s="411"/>
      <c r="CK525" s="419"/>
      <c r="CL525" s="411"/>
      <c r="CM525" s="411"/>
      <c r="CN525" s="411"/>
      <c r="CO525" s="419"/>
      <c r="CP525" s="411"/>
      <c r="CQ525" s="411"/>
      <c r="CR525" s="411"/>
      <c r="CS525" s="411"/>
      <c r="CT525" s="411"/>
      <c r="CU525" s="411"/>
      <c r="CV525" s="411"/>
      <c r="CW525" s="411"/>
      <c r="CX525" s="411"/>
      <c r="CY525" s="419"/>
      <c r="CZ525" s="411"/>
      <c r="DA525" s="411"/>
      <c r="DB525" s="411"/>
      <c r="DC525" s="419"/>
      <c r="DD525" s="411"/>
      <c r="DE525" s="411"/>
      <c r="DF525" s="411"/>
      <c r="DG525" s="419"/>
      <c r="DH525" s="411"/>
      <c r="DI525" s="411"/>
      <c r="DJ525" s="411"/>
      <c r="DK525" s="411"/>
      <c r="DL525" s="411"/>
      <c r="DM525" s="411"/>
      <c r="DN525" s="411"/>
      <c r="DO525" s="411"/>
      <c r="DP525" s="411"/>
      <c r="DQ525" s="411"/>
      <c r="DR525" s="411"/>
      <c r="DS525" s="411"/>
      <c r="DT525" s="411"/>
      <c r="DU525" s="419"/>
      <c r="DV525" s="411"/>
      <c r="DW525" s="411"/>
      <c r="DX525" s="415"/>
      <c r="DY525" s="268"/>
      <c r="DZ525" s="268"/>
      <c r="EA525" s="268"/>
      <c r="EB525" s="268"/>
      <c r="EC525" s="268"/>
      <c r="ED525" s="268"/>
      <c r="EE525" s="268"/>
      <c r="EF525" s="268"/>
      <c r="EG525" s="268"/>
      <c r="EH525" s="268"/>
      <c r="EI525" s="268"/>
      <c r="EJ525" s="268"/>
    </row>
    <row r="526" spans="1:140" s="269" customFormat="1" x14ac:dyDescent="0.2">
      <c r="A526" s="288"/>
      <c r="B526" s="267"/>
      <c r="D526" s="264"/>
      <c r="E526" s="467"/>
      <c r="F526" s="264"/>
      <c r="G526" s="400"/>
      <c r="H526" s="264"/>
      <c r="I526" s="467"/>
      <c r="J526" s="264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  <c r="V526" s="264"/>
      <c r="W526" s="283"/>
      <c r="X526" s="288"/>
      <c r="Z526" s="1002"/>
      <c r="AS526" s="1355"/>
      <c r="BK526" s="256"/>
      <c r="BO526" s="1363"/>
      <c r="BX526" s="257"/>
      <c r="BY526" s="256"/>
      <c r="BZ526" s="258"/>
      <c r="CA526" s="258"/>
      <c r="CB526" s="256"/>
      <c r="CC526" s="1013"/>
      <c r="CD526" s="1012"/>
      <c r="CE526" s="268"/>
      <c r="CF526" s="411"/>
      <c r="CG526" s="419"/>
      <c r="CH526" s="411"/>
      <c r="CI526" s="411"/>
      <c r="CJ526" s="411"/>
      <c r="CK526" s="419"/>
      <c r="CL526" s="411"/>
      <c r="CM526" s="411"/>
      <c r="CN526" s="411"/>
      <c r="CO526" s="419"/>
      <c r="CP526" s="411"/>
      <c r="CQ526" s="411"/>
      <c r="CR526" s="411"/>
      <c r="CS526" s="411"/>
      <c r="CT526" s="411"/>
      <c r="CU526" s="411"/>
      <c r="CV526" s="411"/>
      <c r="CW526" s="411"/>
      <c r="CX526" s="411"/>
      <c r="CY526" s="419"/>
      <c r="CZ526" s="411"/>
      <c r="DA526" s="411"/>
      <c r="DB526" s="411"/>
      <c r="DC526" s="419"/>
      <c r="DD526" s="411"/>
      <c r="DE526" s="411"/>
      <c r="DF526" s="411"/>
      <c r="DG526" s="419"/>
      <c r="DH526" s="411"/>
      <c r="DI526" s="411"/>
      <c r="DJ526" s="411"/>
      <c r="DK526" s="411"/>
      <c r="DL526" s="411"/>
      <c r="DM526" s="411"/>
      <c r="DN526" s="411"/>
      <c r="DO526" s="411"/>
      <c r="DP526" s="411"/>
      <c r="DQ526" s="411"/>
      <c r="DR526" s="411"/>
      <c r="DS526" s="411"/>
      <c r="DT526" s="411"/>
      <c r="DU526" s="419"/>
      <c r="DV526" s="411"/>
      <c r="DW526" s="411"/>
      <c r="DX526" s="415"/>
      <c r="DY526" s="268"/>
      <c r="DZ526" s="268"/>
      <c r="EA526" s="268"/>
      <c r="EB526" s="268"/>
      <c r="EC526" s="268"/>
      <c r="ED526" s="268"/>
      <c r="EE526" s="268"/>
      <c r="EF526" s="268"/>
      <c r="EG526" s="268"/>
      <c r="EH526" s="268"/>
      <c r="EI526" s="268"/>
      <c r="EJ526" s="268"/>
    </row>
    <row r="527" spans="1:140" s="269" customFormat="1" x14ac:dyDescent="0.2">
      <c r="A527" s="288"/>
      <c r="B527" s="267"/>
      <c r="D527" s="264"/>
      <c r="E527" s="467"/>
      <c r="F527" s="264"/>
      <c r="G527" s="400"/>
      <c r="H527" s="264"/>
      <c r="I527" s="467"/>
      <c r="J527" s="264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  <c r="V527" s="264"/>
      <c r="W527" s="283"/>
      <c r="X527" s="288"/>
      <c r="Z527" s="1002"/>
      <c r="AS527" s="1355"/>
      <c r="BK527" s="256"/>
      <c r="BO527" s="1363"/>
      <c r="BX527" s="257"/>
      <c r="BY527" s="256"/>
      <c r="BZ527" s="258"/>
      <c r="CA527" s="258"/>
      <c r="CB527" s="256"/>
      <c r="CC527" s="1013"/>
      <c r="CD527" s="1012"/>
      <c r="CE527" s="268"/>
      <c r="CF527" s="411"/>
      <c r="CG527" s="419"/>
      <c r="CH527" s="411"/>
      <c r="CI527" s="411"/>
      <c r="CJ527" s="411"/>
      <c r="CK527" s="419"/>
      <c r="CL527" s="411"/>
      <c r="CM527" s="411"/>
      <c r="CN527" s="411"/>
      <c r="CO527" s="419"/>
      <c r="CP527" s="411"/>
      <c r="CQ527" s="411"/>
      <c r="CR527" s="411"/>
      <c r="CS527" s="411"/>
      <c r="CT527" s="411"/>
      <c r="CU527" s="411"/>
      <c r="CV527" s="411"/>
      <c r="CW527" s="411"/>
      <c r="CX527" s="411"/>
      <c r="CY527" s="419"/>
      <c r="CZ527" s="411"/>
      <c r="DA527" s="411"/>
      <c r="DB527" s="411"/>
      <c r="DC527" s="419"/>
      <c r="DD527" s="411"/>
      <c r="DE527" s="411"/>
      <c r="DF527" s="411"/>
      <c r="DG527" s="419"/>
      <c r="DH527" s="411"/>
      <c r="DI527" s="411"/>
      <c r="DJ527" s="411"/>
      <c r="DK527" s="411"/>
      <c r="DL527" s="411"/>
      <c r="DM527" s="411"/>
      <c r="DN527" s="411"/>
      <c r="DO527" s="411"/>
      <c r="DP527" s="411"/>
      <c r="DQ527" s="411"/>
      <c r="DR527" s="411"/>
      <c r="DS527" s="411"/>
      <c r="DT527" s="411"/>
      <c r="DU527" s="419"/>
      <c r="DV527" s="411"/>
      <c r="DW527" s="411"/>
      <c r="DX527" s="415"/>
      <c r="DY527" s="268"/>
      <c r="DZ527" s="268"/>
      <c r="EA527" s="268"/>
      <c r="EB527" s="268"/>
      <c r="EC527" s="268"/>
      <c r="ED527" s="268"/>
      <c r="EE527" s="268"/>
      <c r="EF527" s="268"/>
      <c r="EG527" s="268"/>
      <c r="EH527" s="268"/>
      <c r="EI527" s="268"/>
      <c r="EJ527" s="268"/>
    </row>
    <row r="528" spans="1:140" s="269" customFormat="1" x14ac:dyDescent="0.2">
      <c r="A528" s="288"/>
      <c r="B528" s="267"/>
      <c r="D528" s="264"/>
      <c r="E528" s="467"/>
      <c r="F528" s="264"/>
      <c r="G528" s="400"/>
      <c r="H528" s="264"/>
      <c r="I528" s="467"/>
      <c r="J528" s="264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  <c r="V528" s="264"/>
      <c r="W528" s="283"/>
      <c r="X528" s="288"/>
      <c r="Z528" s="1002"/>
      <c r="AS528" s="1355"/>
      <c r="BK528" s="256"/>
      <c r="BO528" s="1363"/>
      <c r="BX528" s="257"/>
      <c r="BY528" s="256"/>
      <c r="BZ528" s="258"/>
      <c r="CA528" s="258"/>
      <c r="CB528" s="256"/>
      <c r="CC528" s="1013"/>
      <c r="CD528" s="1012"/>
      <c r="CE528" s="268"/>
      <c r="CF528" s="411"/>
      <c r="CG528" s="419"/>
      <c r="CH528" s="411"/>
      <c r="CI528" s="411"/>
      <c r="CJ528" s="411"/>
      <c r="CK528" s="419"/>
      <c r="CL528" s="411"/>
      <c r="CM528" s="411"/>
      <c r="CN528" s="411"/>
      <c r="CO528" s="419"/>
      <c r="CP528" s="411"/>
      <c r="CQ528" s="411"/>
      <c r="CR528" s="411"/>
      <c r="CS528" s="411"/>
      <c r="CT528" s="411"/>
      <c r="CU528" s="411"/>
      <c r="CV528" s="411"/>
      <c r="CW528" s="411"/>
      <c r="CX528" s="411"/>
      <c r="CY528" s="419"/>
      <c r="CZ528" s="411"/>
      <c r="DA528" s="411"/>
      <c r="DB528" s="411"/>
      <c r="DC528" s="419"/>
      <c r="DD528" s="411"/>
      <c r="DE528" s="411"/>
      <c r="DF528" s="411"/>
      <c r="DG528" s="419"/>
      <c r="DH528" s="411"/>
      <c r="DI528" s="411"/>
      <c r="DJ528" s="411"/>
      <c r="DK528" s="411"/>
      <c r="DL528" s="411"/>
      <c r="DM528" s="411"/>
      <c r="DN528" s="411"/>
      <c r="DO528" s="411"/>
      <c r="DP528" s="411"/>
      <c r="DQ528" s="411"/>
      <c r="DR528" s="411"/>
      <c r="DS528" s="411"/>
      <c r="DT528" s="411"/>
      <c r="DU528" s="419"/>
      <c r="DV528" s="411"/>
      <c r="DW528" s="411"/>
      <c r="DX528" s="415"/>
      <c r="DY528" s="268"/>
      <c r="DZ528" s="268"/>
      <c r="EA528" s="268"/>
      <c r="EB528" s="268"/>
      <c r="EC528" s="268"/>
      <c r="ED528" s="268"/>
      <c r="EE528" s="268"/>
      <c r="EF528" s="268"/>
      <c r="EG528" s="268"/>
      <c r="EH528" s="268"/>
      <c r="EI528" s="268"/>
      <c r="EJ528" s="268"/>
    </row>
    <row r="529" spans="1:140" s="269" customFormat="1" x14ac:dyDescent="0.2">
      <c r="A529" s="288"/>
      <c r="B529" s="267"/>
      <c r="D529" s="264"/>
      <c r="E529" s="467"/>
      <c r="F529" s="264"/>
      <c r="G529" s="400"/>
      <c r="H529" s="264"/>
      <c r="I529" s="467"/>
      <c r="J529" s="264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  <c r="V529" s="264"/>
      <c r="W529" s="283"/>
      <c r="X529" s="288"/>
      <c r="Z529" s="1002"/>
      <c r="AS529" s="1355"/>
      <c r="BK529" s="256"/>
      <c r="BO529" s="1363"/>
      <c r="BX529" s="257"/>
      <c r="BY529" s="256"/>
      <c r="BZ529" s="258"/>
      <c r="CA529" s="258"/>
      <c r="CB529" s="256"/>
      <c r="CC529" s="1013"/>
      <c r="CD529" s="1012"/>
      <c r="CE529" s="268"/>
      <c r="CF529" s="411"/>
      <c r="CG529" s="419"/>
      <c r="CH529" s="411"/>
      <c r="CI529" s="411"/>
      <c r="CJ529" s="411"/>
      <c r="CK529" s="419"/>
      <c r="CL529" s="411"/>
      <c r="CM529" s="411"/>
      <c r="CN529" s="411"/>
      <c r="CO529" s="419"/>
      <c r="CP529" s="411"/>
      <c r="CQ529" s="411"/>
      <c r="CR529" s="411"/>
      <c r="CS529" s="411"/>
      <c r="CT529" s="411"/>
      <c r="CU529" s="411"/>
      <c r="CV529" s="411"/>
      <c r="CW529" s="411"/>
      <c r="CX529" s="411"/>
      <c r="CY529" s="419"/>
      <c r="CZ529" s="411"/>
      <c r="DA529" s="411"/>
      <c r="DB529" s="411"/>
      <c r="DC529" s="419"/>
      <c r="DD529" s="411"/>
      <c r="DE529" s="411"/>
      <c r="DF529" s="411"/>
      <c r="DG529" s="419"/>
      <c r="DH529" s="411"/>
      <c r="DI529" s="411"/>
      <c r="DJ529" s="411"/>
      <c r="DK529" s="411"/>
      <c r="DL529" s="411"/>
      <c r="DM529" s="411"/>
      <c r="DN529" s="411"/>
      <c r="DO529" s="411"/>
      <c r="DP529" s="411"/>
      <c r="DQ529" s="411"/>
      <c r="DR529" s="411"/>
      <c r="DS529" s="411"/>
      <c r="DT529" s="411"/>
      <c r="DU529" s="419"/>
      <c r="DV529" s="411"/>
      <c r="DW529" s="411"/>
      <c r="DX529" s="415"/>
      <c r="DY529" s="268"/>
      <c r="DZ529" s="268"/>
      <c r="EA529" s="268"/>
      <c r="EB529" s="268"/>
      <c r="EC529" s="268"/>
      <c r="ED529" s="268"/>
      <c r="EE529" s="268"/>
      <c r="EF529" s="268"/>
      <c r="EG529" s="268"/>
      <c r="EH529" s="268"/>
      <c r="EI529" s="268"/>
      <c r="EJ529" s="268"/>
    </row>
    <row r="530" spans="1:140" s="269" customFormat="1" x14ac:dyDescent="0.2">
      <c r="A530" s="288"/>
      <c r="B530" s="267"/>
      <c r="D530" s="264"/>
      <c r="E530" s="467"/>
      <c r="F530" s="264"/>
      <c r="G530" s="400"/>
      <c r="H530" s="264"/>
      <c r="I530" s="467"/>
      <c r="J530" s="264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  <c r="V530" s="264"/>
      <c r="W530" s="283"/>
      <c r="X530" s="288"/>
      <c r="Z530" s="1002"/>
      <c r="AS530" s="1355"/>
      <c r="BK530" s="256"/>
      <c r="BO530" s="1363"/>
      <c r="BX530" s="257"/>
      <c r="BY530" s="256"/>
      <c r="BZ530" s="258"/>
      <c r="CA530" s="258"/>
      <c r="CB530" s="256"/>
      <c r="CC530" s="1013"/>
      <c r="CD530" s="1012"/>
      <c r="CE530" s="268"/>
      <c r="CF530" s="411"/>
      <c r="CG530" s="419"/>
      <c r="CH530" s="411"/>
      <c r="CI530" s="411"/>
      <c r="CJ530" s="411"/>
      <c r="CK530" s="419"/>
      <c r="CL530" s="411"/>
      <c r="CM530" s="411"/>
      <c r="CN530" s="411"/>
      <c r="CO530" s="419"/>
      <c r="CP530" s="411"/>
      <c r="CQ530" s="411"/>
      <c r="CR530" s="411"/>
      <c r="CS530" s="411"/>
      <c r="CT530" s="411"/>
      <c r="CU530" s="411"/>
      <c r="CV530" s="411"/>
      <c r="CW530" s="411"/>
      <c r="CX530" s="411"/>
      <c r="CY530" s="419"/>
      <c r="CZ530" s="411"/>
      <c r="DA530" s="411"/>
      <c r="DB530" s="411"/>
      <c r="DC530" s="419"/>
      <c r="DD530" s="411"/>
      <c r="DE530" s="411"/>
      <c r="DF530" s="411"/>
      <c r="DG530" s="419"/>
      <c r="DH530" s="411"/>
      <c r="DI530" s="411"/>
      <c r="DJ530" s="411"/>
      <c r="DK530" s="411"/>
      <c r="DL530" s="411"/>
      <c r="DM530" s="411"/>
      <c r="DN530" s="411"/>
      <c r="DO530" s="411"/>
      <c r="DP530" s="411"/>
      <c r="DQ530" s="411"/>
      <c r="DR530" s="411"/>
      <c r="DS530" s="411"/>
      <c r="DT530" s="411"/>
      <c r="DU530" s="419"/>
      <c r="DV530" s="411"/>
      <c r="DW530" s="411"/>
      <c r="DX530" s="415"/>
      <c r="DY530" s="268"/>
      <c r="DZ530" s="268"/>
      <c r="EA530" s="268"/>
      <c r="EB530" s="268"/>
      <c r="EC530" s="268"/>
      <c r="ED530" s="268"/>
      <c r="EE530" s="268"/>
      <c r="EF530" s="268"/>
      <c r="EG530" s="268"/>
      <c r="EH530" s="268"/>
      <c r="EI530" s="268"/>
      <c r="EJ530" s="268"/>
    </row>
    <row r="531" spans="1:140" s="269" customFormat="1" x14ac:dyDescent="0.2">
      <c r="A531" s="288"/>
      <c r="B531" s="267"/>
      <c r="D531" s="264"/>
      <c r="E531" s="467"/>
      <c r="F531" s="264"/>
      <c r="G531" s="400"/>
      <c r="H531" s="264"/>
      <c r="I531" s="467"/>
      <c r="J531" s="264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  <c r="V531" s="264"/>
      <c r="W531" s="283"/>
      <c r="X531" s="288"/>
      <c r="Z531" s="1002"/>
      <c r="AS531" s="1355"/>
      <c r="BK531" s="256"/>
      <c r="BO531" s="1363"/>
      <c r="BX531" s="257"/>
      <c r="BY531" s="256"/>
      <c r="BZ531" s="258"/>
      <c r="CA531" s="258"/>
      <c r="CB531" s="256"/>
      <c r="CC531" s="1013"/>
      <c r="CD531" s="1012"/>
      <c r="CE531" s="268"/>
      <c r="CF531" s="411"/>
      <c r="CG531" s="419"/>
      <c r="CH531" s="411"/>
      <c r="CI531" s="411"/>
      <c r="CJ531" s="411"/>
      <c r="CK531" s="419"/>
      <c r="CL531" s="411"/>
      <c r="CM531" s="411"/>
      <c r="CN531" s="411"/>
      <c r="CO531" s="419"/>
      <c r="CP531" s="411"/>
      <c r="CQ531" s="411"/>
      <c r="CR531" s="411"/>
      <c r="CS531" s="411"/>
      <c r="CT531" s="411"/>
      <c r="CU531" s="411"/>
      <c r="CV531" s="411"/>
      <c r="CW531" s="411"/>
      <c r="CX531" s="411"/>
      <c r="CY531" s="419"/>
      <c r="CZ531" s="411"/>
      <c r="DA531" s="411"/>
      <c r="DB531" s="411"/>
      <c r="DC531" s="419"/>
      <c r="DD531" s="411"/>
      <c r="DE531" s="411"/>
      <c r="DF531" s="411"/>
      <c r="DG531" s="419"/>
      <c r="DH531" s="411"/>
      <c r="DI531" s="411"/>
      <c r="DJ531" s="411"/>
      <c r="DK531" s="411"/>
      <c r="DL531" s="411"/>
      <c r="DM531" s="411"/>
      <c r="DN531" s="411"/>
      <c r="DO531" s="411"/>
      <c r="DP531" s="411"/>
      <c r="DQ531" s="411"/>
      <c r="DR531" s="411"/>
      <c r="DS531" s="411"/>
      <c r="DT531" s="411"/>
      <c r="DU531" s="419"/>
      <c r="DV531" s="411"/>
      <c r="DW531" s="411"/>
      <c r="DX531" s="415"/>
      <c r="DY531" s="268"/>
      <c r="DZ531" s="268"/>
      <c r="EA531" s="268"/>
      <c r="EB531" s="268"/>
      <c r="EC531" s="268"/>
      <c r="ED531" s="268"/>
      <c r="EE531" s="268"/>
      <c r="EF531" s="268"/>
      <c r="EG531" s="268"/>
      <c r="EH531" s="268"/>
      <c r="EI531" s="268"/>
      <c r="EJ531" s="268"/>
    </row>
    <row r="532" spans="1:140" s="269" customFormat="1" x14ac:dyDescent="0.2">
      <c r="A532" s="288"/>
      <c r="B532" s="267"/>
      <c r="D532" s="264"/>
      <c r="E532" s="467"/>
      <c r="F532" s="264"/>
      <c r="G532" s="400"/>
      <c r="H532" s="264"/>
      <c r="I532" s="467"/>
      <c r="J532" s="264"/>
      <c r="K532" s="264"/>
      <c r="L532" s="264"/>
      <c r="M532" s="264"/>
      <c r="N532" s="264"/>
      <c r="O532" s="264"/>
      <c r="P532" s="264"/>
      <c r="Q532" s="264"/>
      <c r="R532" s="264"/>
      <c r="S532" s="264"/>
      <c r="T532" s="264"/>
      <c r="U532" s="264"/>
      <c r="V532" s="264"/>
      <c r="W532" s="283"/>
      <c r="X532" s="288"/>
      <c r="Z532" s="1002"/>
      <c r="AS532" s="1355"/>
      <c r="BK532" s="256"/>
      <c r="BO532" s="1363"/>
      <c r="BX532" s="257"/>
      <c r="BY532" s="256"/>
      <c r="BZ532" s="258"/>
      <c r="CA532" s="258"/>
      <c r="CB532" s="256"/>
      <c r="CC532" s="1013"/>
      <c r="CD532" s="1012"/>
      <c r="CE532" s="268"/>
      <c r="CF532" s="411"/>
      <c r="CG532" s="419"/>
      <c r="CH532" s="411"/>
      <c r="CI532" s="411"/>
      <c r="CJ532" s="411"/>
      <c r="CK532" s="419"/>
      <c r="CL532" s="411"/>
      <c r="CM532" s="411"/>
      <c r="CN532" s="411"/>
      <c r="CO532" s="419"/>
      <c r="CP532" s="411"/>
      <c r="CQ532" s="411"/>
      <c r="CR532" s="411"/>
      <c r="CS532" s="411"/>
      <c r="CT532" s="411"/>
      <c r="CU532" s="411"/>
      <c r="CV532" s="411"/>
      <c r="CW532" s="411"/>
      <c r="CX532" s="411"/>
      <c r="CY532" s="419"/>
      <c r="CZ532" s="411"/>
      <c r="DA532" s="411"/>
      <c r="DB532" s="411"/>
      <c r="DC532" s="419"/>
      <c r="DD532" s="411"/>
      <c r="DE532" s="411"/>
      <c r="DF532" s="411"/>
      <c r="DG532" s="419"/>
      <c r="DH532" s="411"/>
      <c r="DI532" s="411"/>
      <c r="DJ532" s="411"/>
      <c r="DK532" s="411"/>
      <c r="DL532" s="411"/>
      <c r="DM532" s="411"/>
      <c r="DN532" s="411"/>
      <c r="DO532" s="411"/>
      <c r="DP532" s="411"/>
      <c r="DQ532" s="411"/>
      <c r="DR532" s="411"/>
      <c r="DS532" s="411"/>
      <c r="DT532" s="411"/>
      <c r="DU532" s="419"/>
      <c r="DV532" s="411"/>
      <c r="DW532" s="411"/>
      <c r="DX532" s="415"/>
      <c r="DY532" s="268"/>
      <c r="DZ532" s="268"/>
      <c r="EA532" s="268"/>
      <c r="EB532" s="268"/>
      <c r="EC532" s="268"/>
      <c r="ED532" s="268"/>
      <c r="EE532" s="268"/>
      <c r="EF532" s="268"/>
      <c r="EG532" s="268"/>
      <c r="EH532" s="268"/>
      <c r="EI532" s="268"/>
      <c r="EJ532" s="268"/>
    </row>
    <row r="533" spans="1:140" s="269" customFormat="1" x14ac:dyDescent="0.2">
      <c r="A533" s="288"/>
      <c r="B533" s="267"/>
      <c r="D533" s="264"/>
      <c r="E533" s="467"/>
      <c r="F533" s="264"/>
      <c r="G533" s="400"/>
      <c r="H533" s="264"/>
      <c r="I533" s="467"/>
      <c r="J533" s="264"/>
      <c r="K533" s="264"/>
      <c r="L533" s="264"/>
      <c r="M533" s="264"/>
      <c r="N533" s="264"/>
      <c r="O533" s="264"/>
      <c r="P533" s="264"/>
      <c r="Q533" s="264"/>
      <c r="R533" s="264"/>
      <c r="S533" s="264"/>
      <c r="T533" s="264"/>
      <c r="U533" s="264"/>
      <c r="V533" s="264"/>
      <c r="W533" s="283"/>
      <c r="X533" s="288"/>
      <c r="Z533" s="1002"/>
      <c r="AS533" s="1355"/>
      <c r="BK533" s="256"/>
      <c r="BO533" s="1363"/>
      <c r="BX533" s="257"/>
      <c r="BY533" s="256"/>
      <c r="BZ533" s="258"/>
      <c r="CA533" s="258"/>
      <c r="CB533" s="256"/>
      <c r="CC533" s="1013"/>
      <c r="CD533" s="1012"/>
      <c r="CE533" s="268"/>
      <c r="CF533" s="411"/>
      <c r="CG533" s="419"/>
      <c r="CH533" s="411"/>
      <c r="CI533" s="411"/>
      <c r="CJ533" s="411"/>
      <c r="CK533" s="419"/>
      <c r="CL533" s="411"/>
      <c r="CM533" s="411"/>
      <c r="CN533" s="411"/>
      <c r="CO533" s="419"/>
      <c r="CP533" s="411"/>
      <c r="CQ533" s="411"/>
      <c r="CR533" s="411"/>
      <c r="CS533" s="411"/>
      <c r="CT533" s="411"/>
      <c r="CU533" s="411"/>
      <c r="CV533" s="411"/>
      <c r="CW533" s="411"/>
      <c r="CX533" s="411"/>
      <c r="CY533" s="419"/>
      <c r="CZ533" s="411"/>
      <c r="DA533" s="411"/>
      <c r="DB533" s="411"/>
      <c r="DC533" s="419"/>
      <c r="DD533" s="411"/>
      <c r="DE533" s="411"/>
      <c r="DF533" s="411"/>
      <c r="DG533" s="419"/>
      <c r="DH533" s="411"/>
      <c r="DI533" s="411"/>
      <c r="DJ533" s="411"/>
      <c r="DK533" s="411"/>
      <c r="DL533" s="411"/>
      <c r="DM533" s="411"/>
      <c r="DN533" s="411"/>
      <c r="DO533" s="411"/>
      <c r="DP533" s="411"/>
      <c r="DQ533" s="411"/>
      <c r="DR533" s="411"/>
      <c r="DS533" s="411"/>
      <c r="DT533" s="411"/>
      <c r="DU533" s="419"/>
      <c r="DV533" s="411"/>
      <c r="DW533" s="411"/>
      <c r="DX533" s="415"/>
      <c r="DY533" s="268"/>
      <c r="DZ533" s="268"/>
      <c r="EA533" s="268"/>
      <c r="EB533" s="268"/>
      <c r="EC533" s="268"/>
      <c r="ED533" s="268"/>
      <c r="EE533" s="268"/>
      <c r="EF533" s="268"/>
      <c r="EG533" s="268"/>
      <c r="EH533" s="268"/>
      <c r="EI533" s="268"/>
      <c r="EJ533" s="268"/>
    </row>
  </sheetData>
  <mergeCells count="272">
    <mergeCell ref="CC255:CE255"/>
    <mergeCell ref="CG269:DR269"/>
    <mergeCell ref="CC270:CE270"/>
    <mergeCell ref="CG270:CY270"/>
    <mergeCell ref="CZ270:DR270"/>
    <mergeCell ref="CC271:CE271"/>
    <mergeCell ref="CC179:CE179"/>
    <mergeCell ref="CG224:DR224"/>
    <mergeCell ref="CC225:CE225"/>
    <mergeCell ref="CG225:CY225"/>
    <mergeCell ref="CZ225:DR225"/>
    <mergeCell ref="CC226:CE226"/>
    <mergeCell ref="CG253:DR253"/>
    <mergeCell ref="CC254:CE254"/>
    <mergeCell ref="CG254:CY254"/>
    <mergeCell ref="CZ254:DR254"/>
    <mergeCell ref="CC162:CE162"/>
    <mergeCell ref="CG169:DR169"/>
    <mergeCell ref="CC170:CE170"/>
    <mergeCell ref="CG170:CY170"/>
    <mergeCell ref="CZ170:DR170"/>
    <mergeCell ref="CC171:CE171"/>
    <mergeCell ref="CG177:DR177"/>
    <mergeCell ref="CC178:CE178"/>
    <mergeCell ref="CG178:CY178"/>
    <mergeCell ref="CZ178:DR178"/>
    <mergeCell ref="CC146:CE146"/>
    <mergeCell ref="CG152:DR152"/>
    <mergeCell ref="CC153:CE153"/>
    <mergeCell ref="CG153:CY153"/>
    <mergeCell ref="CZ153:DR153"/>
    <mergeCell ref="CC154:CE154"/>
    <mergeCell ref="CG160:DR160"/>
    <mergeCell ref="CC161:CE161"/>
    <mergeCell ref="CG161:CY161"/>
    <mergeCell ref="CZ161:DR161"/>
    <mergeCell ref="CC92:CE92"/>
    <mergeCell ref="CG136:DR136"/>
    <mergeCell ref="CC137:CE137"/>
    <mergeCell ref="CG137:CY137"/>
    <mergeCell ref="CZ137:DR137"/>
    <mergeCell ref="CC138:CE138"/>
    <mergeCell ref="CG144:DR144"/>
    <mergeCell ref="CC145:CE145"/>
    <mergeCell ref="CG145:CY145"/>
    <mergeCell ref="CZ145:DR145"/>
    <mergeCell ref="CC130:CE130"/>
    <mergeCell ref="CG2:DR2"/>
    <mergeCell ref="CC3:CE3"/>
    <mergeCell ref="CG3:CY3"/>
    <mergeCell ref="CZ3:DR3"/>
    <mergeCell ref="CC4:CE4"/>
    <mergeCell ref="CG90:DR90"/>
    <mergeCell ref="CC91:CE91"/>
    <mergeCell ref="CG91:CY91"/>
    <mergeCell ref="CZ91:DR91"/>
    <mergeCell ref="A223:B223"/>
    <mergeCell ref="A224:A226"/>
    <mergeCell ref="B224:B226"/>
    <mergeCell ref="C224:C226"/>
    <mergeCell ref="D224:W224"/>
    <mergeCell ref="CA224:CA226"/>
    <mergeCell ref="D225:D226"/>
    <mergeCell ref="E225:W225"/>
    <mergeCell ref="Y225:Y226"/>
    <mergeCell ref="Z225:AK225"/>
    <mergeCell ref="AR225:AR226"/>
    <mergeCell ref="BY224:BY226"/>
    <mergeCell ref="BL224:BX225"/>
    <mergeCell ref="BZ224:BZ226"/>
    <mergeCell ref="AS225:BK225"/>
    <mergeCell ref="X224:X226"/>
    <mergeCell ref="Y224:AK224"/>
    <mergeCell ref="AR224:BK224"/>
    <mergeCell ref="CA177:CA179"/>
    <mergeCell ref="D178:D179"/>
    <mergeCell ref="E178:W178"/>
    <mergeCell ref="Y178:Y179"/>
    <mergeCell ref="Z178:AK178"/>
    <mergeCell ref="AR178:AR179"/>
    <mergeCell ref="AS178:BK178"/>
    <mergeCell ref="X177:X179"/>
    <mergeCell ref="Y177:AK177"/>
    <mergeCell ref="AR177:BK177"/>
    <mergeCell ref="BY177:BY179"/>
    <mergeCell ref="BL177:BX178"/>
    <mergeCell ref="A176:B176"/>
    <mergeCell ref="A177:A179"/>
    <mergeCell ref="B177:B179"/>
    <mergeCell ref="C177:C179"/>
    <mergeCell ref="D177:W177"/>
    <mergeCell ref="BZ160:BZ162"/>
    <mergeCell ref="CA160:CA162"/>
    <mergeCell ref="D161:D162"/>
    <mergeCell ref="E161:W161"/>
    <mergeCell ref="Y161:Y162"/>
    <mergeCell ref="Z161:AK161"/>
    <mergeCell ref="AR161:AR162"/>
    <mergeCell ref="AS161:BK161"/>
    <mergeCell ref="X160:X162"/>
    <mergeCell ref="Y160:AK160"/>
    <mergeCell ref="AR160:BK160"/>
    <mergeCell ref="BY160:BY162"/>
    <mergeCell ref="A169:A171"/>
    <mergeCell ref="B169:B171"/>
    <mergeCell ref="C169:C171"/>
    <mergeCell ref="D169:W169"/>
    <mergeCell ref="X169:X171"/>
    <mergeCell ref="Y169:AK169"/>
    <mergeCell ref="BZ177:BZ179"/>
    <mergeCell ref="A159:B159"/>
    <mergeCell ref="A160:A162"/>
    <mergeCell ref="B160:B162"/>
    <mergeCell ref="C160:C162"/>
    <mergeCell ref="D160:W160"/>
    <mergeCell ref="BZ152:BZ154"/>
    <mergeCell ref="CA152:CA154"/>
    <mergeCell ref="D153:D154"/>
    <mergeCell ref="E153:W153"/>
    <mergeCell ref="Y153:Y154"/>
    <mergeCell ref="Z153:AK153"/>
    <mergeCell ref="AR153:AR154"/>
    <mergeCell ref="AS153:BK153"/>
    <mergeCell ref="X152:X154"/>
    <mergeCell ref="Y152:AK152"/>
    <mergeCell ref="AR152:BK152"/>
    <mergeCell ref="BY152:BY154"/>
    <mergeCell ref="BL152:BX153"/>
    <mergeCell ref="BL160:BX161"/>
    <mergeCell ref="A151:B151"/>
    <mergeCell ref="A152:A154"/>
    <mergeCell ref="B152:B154"/>
    <mergeCell ref="C152:C154"/>
    <mergeCell ref="D152:W152"/>
    <mergeCell ref="BZ144:BZ146"/>
    <mergeCell ref="CA144:CA146"/>
    <mergeCell ref="D145:D146"/>
    <mergeCell ref="E145:W145"/>
    <mergeCell ref="Y145:Y146"/>
    <mergeCell ref="Z145:AK145"/>
    <mergeCell ref="AR145:AR146"/>
    <mergeCell ref="AS145:BK145"/>
    <mergeCell ref="X144:X146"/>
    <mergeCell ref="Y144:AK144"/>
    <mergeCell ref="AR144:BK144"/>
    <mergeCell ref="BY144:BY146"/>
    <mergeCell ref="BL144:BX145"/>
    <mergeCell ref="A143:B143"/>
    <mergeCell ref="A144:A146"/>
    <mergeCell ref="B144:B146"/>
    <mergeCell ref="C144:C146"/>
    <mergeCell ref="D144:W144"/>
    <mergeCell ref="BZ136:BZ138"/>
    <mergeCell ref="CA136:CA138"/>
    <mergeCell ref="D137:D138"/>
    <mergeCell ref="E137:W137"/>
    <mergeCell ref="Y137:Y138"/>
    <mergeCell ref="Z137:AK137"/>
    <mergeCell ref="AR137:AR138"/>
    <mergeCell ref="AS137:BK137"/>
    <mergeCell ref="X136:X138"/>
    <mergeCell ref="Y136:AK136"/>
    <mergeCell ref="AR136:BK136"/>
    <mergeCell ref="BY136:BY138"/>
    <mergeCell ref="BL136:BX137"/>
    <mergeCell ref="CA128:CA130"/>
    <mergeCell ref="A135:B135"/>
    <mergeCell ref="A136:A138"/>
    <mergeCell ref="B136:B138"/>
    <mergeCell ref="C136:C138"/>
    <mergeCell ref="D136:W136"/>
    <mergeCell ref="BY128:BY130"/>
    <mergeCell ref="BZ128:BZ130"/>
    <mergeCell ref="D129:D130"/>
    <mergeCell ref="E129:W129"/>
    <mergeCell ref="Y129:Y130"/>
    <mergeCell ref="Z129:AK129"/>
    <mergeCell ref="AR129:AR130"/>
    <mergeCell ref="AS129:BK129"/>
    <mergeCell ref="D128:W128"/>
    <mergeCell ref="X128:X130"/>
    <mergeCell ref="Y128:AK128"/>
    <mergeCell ref="AR128:BK128"/>
    <mergeCell ref="A128:A130"/>
    <mergeCell ref="B128:B130"/>
    <mergeCell ref="C128:C130"/>
    <mergeCell ref="BL128:BX129"/>
    <mergeCell ref="A1:B1"/>
    <mergeCell ref="A2:A4"/>
    <mergeCell ref="B2:B4"/>
    <mergeCell ref="C2:C4"/>
    <mergeCell ref="A89:B89"/>
    <mergeCell ref="A90:A92"/>
    <mergeCell ref="B90:B92"/>
    <mergeCell ref="C90:C92"/>
    <mergeCell ref="CA2:CA4"/>
    <mergeCell ref="AR2:BK2"/>
    <mergeCell ref="BY2:BY4"/>
    <mergeCell ref="Z3:AK3"/>
    <mergeCell ref="AR3:AR4"/>
    <mergeCell ref="AS3:BK3"/>
    <mergeCell ref="BL2:BX3"/>
    <mergeCell ref="CA90:CA92"/>
    <mergeCell ref="D91:D92"/>
    <mergeCell ref="BZ90:BZ92"/>
    <mergeCell ref="X90:X92"/>
    <mergeCell ref="E91:W91"/>
    <mergeCell ref="Y91:Y92"/>
    <mergeCell ref="Z91:AK91"/>
    <mergeCell ref="AR91:AR92"/>
    <mergeCell ref="AS91:BK91"/>
    <mergeCell ref="A127:B127"/>
    <mergeCell ref="D2:W2"/>
    <mergeCell ref="D3:D4"/>
    <mergeCell ref="E3:W3"/>
    <mergeCell ref="D90:W90"/>
    <mergeCell ref="X2:X4"/>
    <mergeCell ref="Y2:AK2"/>
    <mergeCell ref="Y3:Y4"/>
    <mergeCell ref="BZ2:BZ4"/>
    <mergeCell ref="Y90:AK90"/>
    <mergeCell ref="AR90:BK90"/>
    <mergeCell ref="BY90:BY92"/>
    <mergeCell ref="BL90:BX91"/>
    <mergeCell ref="BZ169:BZ171"/>
    <mergeCell ref="CA169:CA171"/>
    <mergeCell ref="D170:D171"/>
    <mergeCell ref="E170:W170"/>
    <mergeCell ref="Y170:Y171"/>
    <mergeCell ref="Z170:AK170"/>
    <mergeCell ref="AR170:AR171"/>
    <mergeCell ref="AS170:BK170"/>
    <mergeCell ref="A168:B168"/>
    <mergeCell ref="AR169:BK169"/>
    <mergeCell ref="BL169:BX170"/>
    <mergeCell ref="BY169:BY171"/>
    <mergeCell ref="A252:B252"/>
    <mergeCell ref="A253:A255"/>
    <mergeCell ref="B253:B255"/>
    <mergeCell ref="C253:C255"/>
    <mergeCell ref="D253:W253"/>
    <mergeCell ref="X253:X255"/>
    <mergeCell ref="Y253:AK253"/>
    <mergeCell ref="AR253:BK253"/>
    <mergeCell ref="BL253:BX254"/>
    <mergeCell ref="BY253:BY255"/>
    <mergeCell ref="BZ253:BZ255"/>
    <mergeCell ref="CA253:CA255"/>
    <mergeCell ref="D254:D255"/>
    <mergeCell ref="E254:W254"/>
    <mergeCell ref="Y254:Y255"/>
    <mergeCell ref="Z254:AK254"/>
    <mergeCell ref="AR254:AR255"/>
    <mergeCell ref="AS254:BK254"/>
    <mergeCell ref="A268:B268"/>
    <mergeCell ref="A269:A271"/>
    <mergeCell ref="B269:B271"/>
    <mergeCell ref="C269:C271"/>
    <mergeCell ref="D269:W269"/>
    <mergeCell ref="X269:X271"/>
    <mergeCell ref="Y269:AK269"/>
    <mergeCell ref="AR269:BK269"/>
    <mergeCell ref="BL269:BX270"/>
    <mergeCell ref="BY269:BY271"/>
    <mergeCell ref="BZ269:BZ271"/>
    <mergeCell ref="CA269:CA271"/>
    <mergeCell ref="D270:D271"/>
    <mergeCell ref="E270:W270"/>
    <mergeCell ref="Y270:Y271"/>
    <mergeCell ref="Z270:AK270"/>
    <mergeCell ref="AR270:AR271"/>
    <mergeCell ref="AS270:BK270"/>
  </mergeCells>
  <pageMargins left="0.70866141732283472" right="0.70866141732283472" top="0.74803149606299213" bottom="1.5354330708661419" header="0.31496062992125984" footer="0.31496062992125984"/>
  <pageSetup paperSize="5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DF117"/>
  <sheetViews>
    <sheetView view="pageBreakPreview" topLeftCell="A106" zoomScale="86" zoomScaleNormal="80" zoomScaleSheetLayoutView="86" workbookViewId="0">
      <selection activeCell="AS66" sqref="AS66"/>
    </sheetView>
  </sheetViews>
  <sheetFormatPr defaultRowHeight="15" x14ac:dyDescent="0.2"/>
  <cols>
    <col min="1" max="1" width="7.5" style="264" customWidth="1"/>
    <col min="2" max="2" width="70" style="1398" customWidth="1"/>
    <col min="3" max="3" width="7.33203125" style="264" customWidth="1"/>
    <col min="4" max="4" width="14.6640625" style="267" customWidth="1"/>
    <col min="5" max="10" width="11.6640625" style="602" customWidth="1"/>
    <col min="11" max="11" width="11.83203125" style="602" customWidth="1"/>
    <col min="12" max="12" width="13.6640625" style="602" customWidth="1"/>
    <col min="13" max="14" width="11.6640625" style="602" customWidth="1"/>
    <col min="15" max="15" width="13.6640625" style="602" customWidth="1"/>
    <col min="16" max="16" width="11.6640625" style="602" customWidth="1"/>
    <col min="17" max="17" width="11.6640625" style="603" customWidth="1"/>
    <col min="18" max="18" width="10.5" style="8" customWidth="1"/>
    <col min="19" max="19" width="18.1640625" style="612" customWidth="1"/>
    <col min="20" max="20" width="17.33203125" style="604" customWidth="1"/>
    <col min="21" max="21" width="17.83203125" style="605" customWidth="1"/>
    <col min="22" max="22" width="15.5" style="605" customWidth="1"/>
    <col min="23" max="23" width="15.6640625" style="605" customWidth="1"/>
    <col min="24" max="24" width="14.33203125" style="605" customWidth="1"/>
    <col min="25" max="25" width="13.5" style="605" customWidth="1"/>
    <col min="26" max="26" width="13" style="605" customWidth="1"/>
    <col min="27" max="27" width="14.33203125" style="605" customWidth="1"/>
    <col min="28" max="30" width="11.6640625" style="605" customWidth="1"/>
    <col min="31" max="31" width="11.6640625" style="606" customWidth="1"/>
    <col min="32" max="32" width="20.5" style="607" customWidth="1"/>
    <col min="33" max="44" width="17.5" style="605" customWidth="1"/>
    <col min="45" max="45" width="19.5" style="280" customWidth="1"/>
    <col min="46" max="46" width="21.33203125" style="605" customWidth="1"/>
    <col min="47" max="51" width="17.5" style="605" customWidth="1"/>
    <col min="52" max="52" width="18.5" style="605" customWidth="1"/>
    <col min="53" max="57" width="17.5" style="605" customWidth="1"/>
    <col min="58" max="58" width="19.6640625" style="280" customWidth="1"/>
    <col min="59" max="59" width="17.5" style="280" customWidth="1"/>
    <col min="60" max="60" width="19.33203125" style="244" customWidth="1"/>
    <col min="61" max="61" width="17.5" style="244" customWidth="1"/>
    <col min="62" max="62" width="16.33203125" style="605" bestFit="1" customWidth="1"/>
    <col min="63" max="63" width="17.1640625" style="608" customWidth="1"/>
    <col min="64" max="64" width="21.6640625" style="609" customWidth="1"/>
    <col min="65" max="65" width="16.83203125" style="3" customWidth="1"/>
    <col min="66" max="66" width="17.5" style="3" customWidth="1"/>
    <col min="67" max="67" width="11.5" style="3" customWidth="1"/>
    <col min="68" max="68" width="11.83203125" style="3" customWidth="1"/>
    <col min="69" max="73" width="9.33203125" style="3"/>
    <col min="74" max="74" width="16" style="3" customWidth="1"/>
    <col min="75" max="75" width="14.83203125" style="3" customWidth="1"/>
    <col min="76" max="78" width="9.33203125" style="3"/>
    <col min="79" max="79" width="14.6640625" style="3" customWidth="1"/>
    <col min="80" max="80" width="9.33203125" style="3"/>
    <col min="81" max="81" width="13.33203125" customWidth="1"/>
    <col min="87" max="87" width="15.6640625" customWidth="1"/>
    <col min="92" max="92" width="12.6640625" customWidth="1"/>
  </cols>
  <sheetData>
    <row r="1" spans="1:98" s="114" customFormat="1" ht="24.75" customHeight="1" x14ac:dyDescent="0.2">
      <c r="A1" s="1699" t="s">
        <v>8</v>
      </c>
      <c r="B1" s="1700"/>
      <c r="C1" s="106" t="s">
        <v>143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23"/>
      <c r="S1" s="224"/>
      <c r="T1" s="237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9"/>
      <c r="AF1" s="107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10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10"/>
      <c r="BG1" s="110"/>
      <c r="BH1" s="105"/>
      <c r="BI1" s="111"/>
      <c r="BJ1" s="107"/>
      <c r="BK1" s="168"/>
      <c r="BL1" s="108"/>
      <c r="BM1" s="108"/>
      <c r="BN1" s="108"/>
      <c r="BO1" s="108"/>
      <c r="BP1" s="109"/>
      <c r="BQ1" s="108"/>
      <c r="BR1" s="108"/>
      <c r="BS1" s="108"/>
      <c r="BT1" s="108"/>
      <c r="BU1" s="108"/>
      <c r="BV1" s="110"/>
      <c r="BW1" s="110"/>
      <c r="BX1" s="110"/>
      <c r="BY1" s="105"/>
      <c r="BZ1" s="111"/>
      <c r="CA1" s="110"/>
      <c r="CB1" s="110"/>
      <c r="CC1" s="112"/>
      <c r="CD1" s="112"/>
      <c r="CE1" s="112"/>
      <c r="CF1" s="112"/>
      <c r="CG1" s="112"/>
      <c r="CH1" s="113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</row>
    <row r="2" spans="1:98" s="8" customFormat="1" ht="48.75" customHeight="1" x14ac:dyDescent="0.2">
      <c r="A2" s="1703" t="s">
        <v>10</v>
      </c>
      <c r="B2" s="1787" t="s">
        <v>11</v>
      </c>
      <c r="C2" s="1706" t="s">
        <v>22</v>
      </c>
      <c r="D2" s="1721" t="s">
        <v>12</v>
      </c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1"/>
      <c r="P2" s="1721"/>
      <c r="Q2" s="1721"/>
      <c r="R2" s="1706" t="s">
        <v>20</v>
      </c>
      <c r="S2" s="1717" t="s">
        <v>17</v>
      </c>
      <c r="T2" s="1718"/>
      <c r="U2" s="1718"/>
      <c r="V2" s="1718"/>
      <c r="W2" s="1718"/>
      <c r="X2" s="1718"/>
      <c r="Y2" s="1718"/>
      <c r="Z2" s="1718"/>
      <c r="AA2" s="1718"/>
      <c r="AB2" s="1718"/>
      <c r="AC2" s="1718"/>
      <c r="AD2" s="1718"/>
      <c r="AE2" s="1719"/>
      <c r="AF2" s="1720" t="s">
        <v>6</v>
      </c>
      <c r="AG2" s="1720"/>
      <c r="AH2" s="1720"/>
      <c r="AI2" s="1720"/>
      <c r="AJ2" s="1720"/>
      <c r="AK2" s="1720"/>
      <c r="AL2" s="1720"/>
      <c r="AM2" s="1720"/>
      <c r="AN2" s="1720"/>
      <c r="AO2" s="1720"/>
      <c r="AP2" s="1720"/>
      <c r="AQ2" s="1720"/>
      <c r="AR2" s="1720"/>
      <c r="AS2" s="1720"/>
      <c r="AT2" s="1722" t="s">
        <v>41</v>
      </c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  <c r="BE2" s="1723"/>
      <c r="BF2" s="1724"/>
      <c r="BG2" s="1706" t="s">
        <v>38</v>
      </c>
      <c r="BH2" s="1706" t="s">
        <v>256</v>
      </c>
      <c r="BI2" s="1709" t="s">
        <v>39</v>
      </c>
      <c r="BJ2" s="135"/>
      <c r="BK2" s="1283">
        <f>BF7+BF8</f>
        <v>102480</v>
      </c>
      <c r="BL2" s="135"/>
      <c r="BM2" s="135"/>
      <c r="BN2" s="135"/>
      <c r="BO2" s="1733" t="s">
        <v>41</v>
      </c>
      <c r="BP2" s="1734"/>
      <c r="BQ2" s="1734"/>
      <c r="BR2" s="1734"/>
      <c r="BS2" s="1734"/>
      <c r="BT2" s="1734"/>
      <c r="BU2" s="1734"/>
      <c r="BV2" s="1734"/>
      <c r="BW2" s="1734"/>
      <c r="BX2" s="1734"/>
      <c r="BY2" s="1734"/>
      <c r="BZ2" s="1734"/>
      <c r="CA2" s="1734"/>
      <c r="CB2" s="1734"/>
      <c r="CC2" s="1734"/>
      <c r="CD2" s="1734"/>
      <c r="CE2" s="1734"/>
      <c r="CF2" s="1734"/>
      <c r="CG2" s="1734"/>
      <c r="CH2" s="1734"/>
      <c r="CI2" s="1734"/>
      <c r="CJ2" s="1734"/>
      <c r="CK2" s="1734"/>
      <c r="CL2" s="1734"/>
      <c r="CM2" s="1734"/>
      <c r="CN2" s="1735"/>
    </row>
    <row r="3" spans="1:98" s="8" customFormat="1" ht="48.75" customHeight="1" x14ac:dyDescent="0.2">
      <c r="A3" s="1704"/>
      <c r="B3" s="1788"/>
      <c r="C3" s="1707"/>
      <c r="D3" s="1712" t="s">
        <v>18</v>
      </c>
      <c r="E3" s="1714" t="s">
        <v>19</v>
      </c>
      <c r="F3" s="1715"/>
      <c r="G3" s="1715"/>
      <c r="H3" s="1715"/>
      <c r="I3" s="1715"/>
      <c r="J3" s="1715"/>
      <c r="K3" s="1715"/>
      <c r="L3" s="1715"/>
      <c r="M3" s="1715"/>
      <c r="N3" s="1715"/>
      <c r="O3" s="1715"/>
      <c r="P3" s="1715"/>
      <c r="Q3" s="1715"/>
      <c r="R3" s="1707"/>
      <c r="S3" s="1728" t="s">
        <v>18</v>
      </c>
      <c r="T3" s="1714" t="s">
        <v>19</v>
      </c>
      <c r="U3" s="1715"/>
      <c r="V3" s="1715"/>
      <c r="W3" s="1715"/>
      <c r="X3" s="1715"/>
      <c r="Y3" s="1715"/>
      <c r="Z3" s="1715"/>
      <c r="AA3" s="1715"/>
      <c r="AB3" s="1715"/>
      <c r="AC3" s="1715"/>
      <c r="AD3" s="1715"/>
      <c r="AE3" s="1716"/>
      <c r="AF3" s="1712" t="s">
        <v>18</v>
      </c>
      <c r="AG3" s="1714" t="s">
        <v>19</v>
      </c>
      <c r="AH3" s="1715"/>
      <c r="AI3" s="1715"/>
      <c r="AJ3" s="1715"/>
      <c r="AK3" s="1715"/>
      <c r="AL3" s="1715"/>
      <c r="AM3" s="1715"/>
      <c r="AN3" s="1715"/>
      <c r="AO3" s="1715"/>
      <c r="AP3" s="1715"/>
      <c r="AQ3" s="1715"/>
      <c r="AR3" s="1715"/>
      <c r="AS3" s="1716"/>
      <c r="AT3" s="1725"/>
      <c r="AU3" s="1726"/>
      <c r="AV3" s="1726"/>
      <c r="AW3" s="1726"/>
      <c r="AX3" s="1726"/>
      <c r="AY3" s="1726"/>
      <c r="AZ3" s="1726"/>
      <c r="BA3" s="1726"/>
      <c r="BB3" s="1726"/>
      <c r="BC3" s="1726"/>
      <c r="BD3" s="1726"/>
      <c r="BE3" s="1726"/>
      <c r="BF3" s="1727"/>
      <c r="BG3" s="1707"/>
      <c r="BH3" s="1707"/>
      <c r="BI3" s="1710"/>
      <c r="BJ3" s="1284"/>
      <c r="BK3" s="1736">
        <f>SUM(BK5/60)</f>
        <v>8333.3333333333339</v>
      </c>
      <c r="BL3" s="1736"/>
      <c r="BM3" s="1736"/>
      <c r="BN3" s="23"/>
      <c r="BO3" s="1737" t="s">
        <v>686</v>
      </c>
      <c r="BP3" s="1738"/>
      <c r="BQ3" s="1738"/>
      <c r="BR3" s="1738"/>
      <c r="BS3" s="1738"/>
      <c r="BT3" s="1738"/>
      <c r="BU3" s="1738"/>
      <c r="BV3" s="1738"/>
      <c r="BW3" s="1738"/>
      <c r="BX3" s="1738"/>
      <c r="BY3" s="1738"/>
      <c r="BZ3" s="1738"/>
      <c r="CA3" s="1739"/>
      <c r="CB3" s="1740" t="s">
        <v>687</v>
      </c>
      <c r="CC3" s="1741"/>
      <c r="CD3" s="1741"/>
      <c r="CE3" s="1741"/>
      <c r="CF3" s="1741"/>
      <c r="CG3" s="1741"/>
      <c r="CH3" s="1741"/>
      <c r="CI3" s="1741"/>
      <c r="CJ3" s="1741"/>
      <c r="CK3" s="1741"/>
      <c r="CL3" s="1741"/>
      <c r="CM3" s="1741"/>
      <c r="CN3" s="1742"/>
    </row>
    <row r="4" spans="1:98" s="6" customFormat="1" ht="28.5" customHeight="1" x14ac:dyDescent="0.2">
      <c r="A4" s="1705"/>
      <c r="B4" s="1789"/>
      <c r="C4" s="1708"/>
      <c r="D4" s="1713"/>
      <c r="E4" s="26">
        <v>1</v>
      </c>
      <c r="F4" s="26">
        <v>2</v>
      </c>
      <c r="G4" s="26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 t="s">
        <v>21</v>
      </c>
      <c r="R4" s="1708"/>
      <c r="S4" s="1729"/>
      <c r="T4" s="26">
        <v>1</v>
      </c>
      <c r="U4" s="26">
        <v>2</v>
      </c>
      <c r="V4" s="26">
        <v>3</v>
      </c>
      <c r="W4" s="26">
        <v>4</v>
      </c>
      <c r="X4" s="26">
        <v>5</v>
      </c>
      <c r="Y4" s="26">
        <v>6</v>
      </c>
      <c r="Z4" s="26">
        <v>7</v>
      </c>
      <c r="AA4" s="26">
        <v>8</v>
      </c>
      <c r="AB4" s="26">
        <v>9</v>
      </c>
      <c r="AC4" s="26">
        <v>10</v>
      </c>
      <c r="AD4" s="26">
        <v>11</v>
      </c>
      <c r="AE4" s="26">
        <v>12</v>
      </c>
      <c r="AF4" s="1713"/>
      <c r="AG4" s="26">
        <v>1</v>
      </c>
      <c r="AH4" s="26">
        <v>2</v>
      </c>
      <c r="AI4" s="26">
        <v>3</v>
      </c>
      <c r="AJ4" s="26">
        <v>4</v>
      </c>
      <c r="AK4" s="26">
        <v>5</v>
      </c>
      <c r="AL4" s="26">
        <v>6</v>
      </c>
      <c r="AM4" s="26">
        <v>7</v>
      </c>
      <c r="AN4" s="26">
        <v>8</v>
      </c>
      <c r="AO4" s="26">
        <v>9</v>
      </c>
      <c r="AP4" s="26">
        <v>10</v>
      </c>
      <c r="AQ4" s="26">
        <v>11</v>
      </c>
      <c r="AR4" s="26">
        <v>12</v>
      </c>
      <c r="AS4" s="26" t="s">
        <v>13</v>
      </c>
      <c r="AT4" s="173">
        <v>1</v>
      </c>
      <c r="AU4" s="173">
        <v>2</v>
      </c>
      <c r="AV4" s="173">
        <v>3</v>
      </c>
      <c r="AW4" s="173">
        <v>4</v>
      </c>
      <c r="AX4" s="173">
        <v>5</v>
      </c>
      <c r="AY4" s="173">
        <v>6</v>
      </c>
      <c r="AZ4" s="173">
        <v>7</v>
      </c>
      <c r="BA4" s="173">
        <v>8</v>
      </c>
      <c r="BB4" s="173">
        <v>9</v>
      </c>
      <c r="BC4" s="173">
        <v>10</v>
      </c>
      <c r="BD4" s="173">
        <v>11</v>
      </c>
      <c r="BE4" s="173">
        <v>12</v>
      </c>
      <c r="BF4" s="26" t="s">
        <v>13</v>
      </c>
      <c r="BG4" s="1708"/>
      <c r="BH4" s="1708"/>
      <c r="BI4" s="1711"/>
      <c r="BJ4" s="7"/>
      <c r="BK4" s="1743" t="s">
        <v>19</v>
      </c>
      <c r="BL4" s="1744"/>
      <c r="BM4" s="1745"/>
      <c r="BN4" s="621"/>
      <c r="BO4" s="173">
        <v>1</v>
      </c>
      <c r="BP4" s="173">
        <v>2</v>
      </c>
      <c r="BQ4" s="173">
        <v>3</v>
      </c>
      <c r="BR4" s="173">
        <v>4</v>
      </c>
      <c r="BS4" s="173">
        <v>5</v>
      </c>
      <c r="BT4" s="173">
        <v>6</v>
      </c>
      <c r="BU4" s="173">
        <v>7</v>
      </c>
      <c r="BV4" s="173">
        <v>8</v>
      </c>
      <c r="BW4" s="173">
        <v>9</v>
      </c>
      <c r="BX4" s="173">
        <v>10</v>
      </c>
      <c r="BY4" s="173">
        <v>11</v>
      </c>
      <c r="BZ4" s="173">
        <v>12</v>
      </c>
      <c r="CA4" s="26" t="s">
        <v>13</v>
      </c>
      <c r="CB4" s="173">
        <v>1</v>
      </c>
      <c r="CC4" s="173">
        <v>2</v>
      </c>
      <c r="CD4" s="173">
        <v>3</v>
      </c>
      <c r="CE4" s="173">
        <v>4</v>
      </c>
      <c r="CF4" s="173">
        <v>5</v>
      </c>
      <c r="CG4" s="173">
        <v>6</v>
      </c>
      <c r="CH4" s="173">
        <v>7</v>
      </c>
      <c r="CI4" s="173">
        <v>8</v>
      </c>
      <c r="CJ4" s="173">
        <v>9</v>
      </c>
      <c r="CK4" s="173">
        <v>10</v>
      </c>
      <c r="CL4" s="173">
        <v>11</v>
      </c>
      <c r="CM4" s="173">
        <v>12</v>
      </c>
      <c r="CN4" s="26" t="s">
        <v>13</v>
      </c>
    </row>
    <row r="5" spans="1:98" s="1273" customFormat="1" ht="24.75" customHeight="1" x14ac:dyDescent="0.2">
      <c r="A5" s="1452">
        <v>1</v>
      </c>
      <c r="B5" s="1382" t="s">
        <v>144</v>
      </c>
      <c r="C5" s="1453" t="s">
        <v>25</v>
      </c>
      <c r="D5" s="1454">
        <v>5</v>
      </c>
      <c r="E5" s="1455"/>
      <c r="F5" s="1324"/>
      <c r="G5" s="1324"/>
      <c r="H5" s="1324"/>
      <c r="I5" s="1324"/>
      <c r="J5" s="1324"/>
      <c r="K5" s="1324"/>
      <c r="L5" s="1200">
        <v>5</v>
      </c>
      <c r="M5" s="1324"/>
      <c r="N5" s="1324"/>
      <c r="O5" s="1324"/>
      <c r="P5" s="1324"/>
      <c r="Q5" s="1456">
        <f t="shared" ref="Q5" si="0">SUM(E5:P5)</f>
        <v>5</v>
      </c>
      <c r="R5" s="1457" t="s">
        <v>50</v>
      </c>
      <c r="S5" s="1458">
        <v>100000</v>
      </c>
      <c r="T5" s="1459"/>
      <c r="U5" s="1325"/>
      <c r="V5" s="1325"/>
      <c r="W5" s="1325"/>
      <c r="X5" s="1325"/>
      <c r="Y5" s="1325"/>
      <c r="Z5" s="1325"/>
      <c r="AA5" s="1215">
        <v>100000</v>
      </c>
      <c r="AB5" s="1325"/>
      <c r="AC5" s="1325"/>
      <c r="AD5" s="1325"/>
      <c r="AE5" s="1325"/>
      <c r="AF5" s="1142">
        <f t="shared" ref="AF5" si="1">SUM(Q5*S5)</f>
        <v>500000</v>
      </c>
      <c r="AG5" s="1128">
        <f t="shared" ref="AG5:AG8" si="2">T5*E5</f>
        <v>0</v>
      </c>
      <c r="AH5" s="1128">
        <f t="shared" ref="AH5:AH8" si="3">U5*F5</f>
        <v>0</v>
      </c>
      <c r="AI5" s="1128">
        <f t="shared" ref="AI5:AI8" si="4">V5*G5</f>
        <v>0</v>
      </c>
      <c r="AJ5" s="1128">
        <f t="shared" ref="AJ5:AR8" si="5">W5*H5</f>
        <v>0</v>
      </c>
      <c r="AK5" s="1128">
        <f t="shared" si="5"/>
        <v>0</v>
      </c>
      <c r="AL5" s="1128">
        <f t="shared" si="5"/>
        <v>0</v>
      </c>
      <c r="AM5" s="1128">
        <f t="shared" si="5"/>
        <v>0</v>
      </c>
      <c r="AN5" s="1202">
        <f t="shared" si="5"/>
        <v>500000</v>
      </c>
      <c r="AO5" s="1128">
        <f t="shared" si="5"/>
        <v>0</v>
      </c>
      <c r="AP5" s="1128">
        <f t="shared" si="5"/>
        <v>0</v>
      </c>
      <c r="AQ5" s="1128">
        <f t="shared" si="5"/>
        <v>0</v>
      </c>
      <c r="AR5" s="1128">
        <f t="shared" si="5"/>
        <v>0</v>
      </c>
      <c r="AS5" s="1143">
        <f t="shared" ref="AS5" si="6">SUM(AG5:AR5)</f>
        <v>500000</v>
      </c>
      <c r="AT5" s="1128">
        <f t="shared" ref="AT5" si="7">SUM(AG5*14%)</f>
        <v>0</v>
      </c>
      <c r="AU5" s="1128">
        <f t="shared" ref="AU5" si="8">SUM(AH5*14%)</f>
        <v>0</v>
      </c>
      <c r="AV5" s="1128"/>
      <c r="AW5" s="1128">
        <f t="shared" ref="AW5" si="9">SUM(AJ5*14%)</f>
        <v>0</v>
      </c>
      <c r="AX5" s="1128"/>
      <c r="AY5" s="1128">
        <f t="shared" ref="AY5" si="10">SUM(AL5*14%)</f>
        <v>0</v>
      </c>
      <c r="AZ5" s="1128">
        <f t="shared" ref="AZ5" si="11">SUM(AM5*14%)</f>
        <v>0</v>
      </c>
      <c r="BA5" s="1128">
        <v>0</v>
      </c>
      <c r="BB5" s="1128">
        <f t="shared" ref="BB5" si="12">SUM(AO5*14%)</f>
        <v>0</v>
      </c>
      <c r="BC5" s="1128">
        <f t="shared" ref="BC5" si="13">SUM(AP5*14%)</f>
        <v>0</v>
      </c>
      <c r="BD5" s="1128">
        <f t="shared" ref="BD5:BE5" si="14">SUM(AQ5*14%)</f>
        <v>0</v>
      </c>
      <c r="BE5" s="1128">
        <f t="shared" si="14"/>
        <v>0</v>
      </c>
      <c r="BF5" s="1144">
        <f t="shared" ref="BF5" si="15">SUM(AT5:BE5)</f>
        <v>0</v>
      </c>
      <c r="BG5" s="1460">
        <f t="shared" ref="BG5:BG7" si="16">AF5-AS5-BF5</f>
        <v>0</v>
      </c>
      <c r="BH5" s="1461">
        <f t="shared" ref="BH5:BH6" si="17">S5*D5</f>
        <v>500000</v>
      </c>
      <c r="BI5" s="1462">
        <f t="shared" ref="BI5:BI8" si="18">BH5-AS5-BF5</f>
        <v>0</v>
      </c>
      <c r="BJ5" s="1147">
        <f t="shared" ref="BJ5" si="19">SUM(Q5/D5)</f>
        <v>1</v>
      </c>
      <c r="BK5" s="1128">
        <f>AN5</f>
        <v>500000</v>
      </c>
      <c r="BL5" s="1128">
        <f>5*100000</f>
        <v>500000</v>
      </c>
      <c r="BM5" s="1148">
        <f>BK5-BL5</f>
        <v>0</v>
      </c>
      <c r="BN5" s="1149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44">
        <f t="shared" ref="CA5" si="20">SUM(BO5:BZ5)</f>
        <v>0</v>
      </c>
      <c r="CB5" s="1128"/>
      <c r="CC5" s="1128"/>
      <c r="CD5" s="1128"/>
      <c r="CE5" s="1128"/>
      <c r="CF5" s="1128"/>
      <c r="CG5" s="1128"/>
      <c r="CH5" s="1128"/>
      <c r="CI5" s="1202"/>
      <c r="CJ5" s="1463"/>
      <c r="CK5" s="1128"/>
      <c r="CL5" s="1128"/>
      <c r="CM5" s="1128"/>
      <c r="CN5" s="1143">
        <f t="shared" ref="CN5:CN6" si="21">SUM(CB5:CM5)</f>
        <v>0</v>
      </c>
    </row>
    <row r="6" spans="1:98" s="1273" customFormat="1" ht="24.75" customHeight="1" x14ac:dyDescent="0.2">
      <c r="A6" s="1452"/>
      <c r="B6" s="1383" t="s">
        <v>145</v>
      </c>
      <c r="C6" s="1453"/>
      <c r="D6" s="1464"/>
      <c r="E6" s="1465"/>
      <c r="F6" s="1324"/>
      <c r="G6" s="1324"/>
      <c r="H6" s="1324"/>
      <c r="I6" s="1324"/>
      <c r="J6" s="1324"/>
      <c r="K6" s="1324"/>
      <c r="L6" s="1200"/>
      <c r="M6" s="1324"/>
      <c r="N6" s="1324"/>
      <c r="O6" s="1324"/>
      <c r="P6" s="1324"/>
      <c r="Q6" s="1456"/>
      <c r="R6" s="1466"/>
      <c r="S6" s="1458"/>
      <c r="T6" s="1467"/>
      <c r="U6" s="1325"/>
      <c r="V6" s="1325"/>
      <c r="W6" s="1325"/>
      <c r="X6" s="1325"/>
      <c r="Y6" s="1325"/>
      <c r="Z6" s="1325"/>
      <c r="AA6" s="1215"/>
      <c r="AB6" s="1325"/>
      <c r="AC6" s="1325"/>
      <c r="AD6" s="1325"/>
      <c r="AE6" s="1325"/>
      <c r="AF6" s="1468">
        <f>SUM(S6*E6)</f>
        <v>0</v>
      </c>
      <c r="AG6" s="1217">
        <f t="shared" si="2"/>
        <v>0</v>
      </c>
      <c r="AH6" s="1217">
        <f t="shared" si="3"/>
        <v>0</v>
      </c>
      <c r="AI6" s="1217">
        <f t="shared" si="4"/>
        <v>0</v>
      </c>
      <c r="AJ6" s="1217">
        <f t="shared" si="5"/>
        <v>0</v>
      </c>
      <c r="AK6" s="1217">
        <f t="shared" si="5"/>
        <v>0</v>
      </c>
      <c r="AL6" s="1217">
        <f t="shared" si="5"/>
        <v>0</v>
      </c>
      <c r="AM6" s="1217">
        <f t="shared" si="5"/>
        <v>0</v>
      </c>
      <c r="AN6" s="1216">
        <f t="shared" si="5"/>
        <v>0</v>
      </c>
      <c r="AO6" s="1217">
        <f t="shared" si="5"/>
        <v>0</v>
      </c>
      <c r="AP6" s="1217">
        <f t="shared" si="5"/>
        <v>0</v>
      </c>
      <c r="AQ6" s="1217">
        <f t="shared" si="5"/>
        <v>0</v>
      </c>
      <c r="AR6" s="1217">
        <f t="shared" si="5"/>
        <v>0</v>
      </c>
      <c r="AS6" s="1469">
        <f t="shared" ref="AS6:AS8" si="22">SUM(AG6:AR6)</f>
        <v>0</v>
      </c>
      <c r="AT6" s="1217">
        <f t="shared" ref="AT6" si="23">AG6*R6</f>
        <v>0</v>
      </c>
      <c r="AU6" s="1217">
        <f t="shared" ref="AU6" si="24">AH6*S6</f>
        <v>0</v>
      </c>
      <c r="AV6" s="1217">
        <f t="shared" ref="AV6" si="25">AI6*T6</f>
        <v>0</v>
      </c>
      <c r="AW6" s="1217">
        <f t="shared" ref="AW6" si="26">AJ6*U6</f>
        <v>0</v>
      </c>
      <c r="AX6" s="1217">
        <f t="shared" ref="AX6" si="27">AK6*V6</f>
        <v>0</v>
      </c>
      <c r="AY6" s="1217">
        <f t="shared" ref="AY6" si="28">AL6*W6</f>
        <v>0</v>
      </c>
      <c r="AZ6" s="1217">
        <f t="shared" ref="AZ6" si="29">AM6*X6</f>
        <v>0</v>
      </c>
      <c r="BA6" s="1217">
        <f t="shared" ref="BA6" si="30">AN6*Y6</f>
        <v>0</v>
      </c>
      <c r="BB6" s="1217">
        <f t="shared" ref="BB6" si="31">AO6*Z6</f>
        <v>0</v>
      </c>
      <c r="BC6" s="1217">
        <f t="shared" ref="BC6" si="32">AP6*AA6</f>
        <v>0</v>
      </c>
      <c r="BD6" s="1217">
        <f t="shared" ref="BD6:BE6" si="33">AQ6*AB6</f>
        <v>0</v>
      </c>
      <c r="BE6" s="1217">
        <f t="shared" si="33"/>
        <v>0</v>
      </c>
      <c r="BF6" s="1460">
        <f>AS6*4%</f>
        <v>0</v>
      </c>
      <c r="BG6" s="1460">
        <f t="shared" si="16"/>
        <v>0</v>
      </c>
      <c r="BH6" s="1461">
        <f t="shared" si="17"/>
        <v>0</v>
      </c>
      <c r="BI6" s="1462">
        <f t="shared" si="18"/>
        <v>0</v>
      </c>
      <c r="BJ6" s="1147"/>
      <c r="BK6" s="1128">
        <f t="shared" ref="BK6" si="34">AN6</f>
        <v>0</v>
      </c>
      <c r="BL6" s="1128"/>
      <c r="BM6" s="1148">
        <f t="shared" ref="BM6:BM10" si="35">BK6-BL6</f>
        <v>0</v>
      </c>
      <c r="BN6" s="1149"/>
      <c r="BO6" s="1128"/>
      <c r="BP6" s="1128"/>
      <c r="BQ6" s="1128"/>
      <c r="BR6" s="1128"/>
      <c r="BS6" s="1128"/>
      <c r="BT6" s="1128"/>
      <c r="BU6" s="1128"/>
      <c r="BV6" s="1128"/>
      <c r="BW6" s="1128"/>
      <c r="BX6" s="1128"/>
      <c r="BY6" s="1128"/>
      <c r="BZ6" s="1128"/>
      <c r="CA6" s="1144">
        <f t="shared" ref="CA6" si="36">SUM(BO6:BZ6)</f>
        <v>0</v>
      </c>
      <c r="CB6" s="1128"/>
      <c r="CC6" s="1128"/>
      <c r="CD6" s="1128"/>
      <c r="CE6" s="1128"/>
      <c r="CF6" s="1128"/>
      <c r="CG6" s="1128"/>
      <c r="CH6" s="1128"/>
      <c r="CI6" s="1202"/>
      <c r="CJ6" s="1463"/>
      <c r="CK6" s="1128"/>
      <c r="CL6" s="1128"/>
      <c r="CM6" s="1128"/>
      <c r="CN6" s="1143">
        <f t="shared" si="21"/>
        <v>0</v>
      </c>
    </row>
    <row r="7" spans="1:98" s="1273" customFormat="1" ht="24.75" customHeight="1" x14ac:dyDescent="0.2">
      <c r="A7" s="1452">
        <v>2</v>
      </c>
      <c r="B7" s="1384" t="s">
        <v>372</v>
      </c>
      <c r="C7" s="1470" t="s">
        <v>25</v>
      </c>
      <c r="D7" s="1471">
        <f>2*3*10</f>
        <v>60</v>
      </c>
      <c r="E7" s="1218">
        <v>12</v>
      </c>
      <c r="F7" s="1324">
        <v>6</v>
      </c>
      <c r="G7" s="1324">
        <v>6</v>
      </c>
      <c r="H7" s="1324">
        <v>6</v>
      </c>
      <c r="I7" s="1324">
        <v>6</v>
      </c>
      <c r="J7" s="1324">
        <v>6</v>
      </c>
      <c r="K7" s="1324">
        <v>6</v>
      </c>
      <c r="L7" s="1200">
        <v>6</v>
      </c>
      <c r="M7" s="1136">
        <v>6</v>
      </c>
      <c r="N7" s="1324"/>
      <c r="O7" s="1324"/>
      <c r="P7" s="1324"/>
      <c r="Q7" s="1456">
        <f>SUM(E7:P7)</f>
        <v>60</v>
      </c>
      <c r="R7" s="1472" t="s">
        <v>0</v>
      </c>
      <c r="S7" s="611">
        <v>20000</v>
      </c>
      <c r="T7" s="1473">
        <v>16000</v>
      </c>
      <c r="U7" s="1473">
        <v>16000</v>
      </c>
      <c r="V7" s="1473">
        <v>16000</v>
      </c>
      <c r="W7" s="1473">
        <v>16000</v>
      </c>
      <c r="X7" s="1473">
        <v>16000</v>
      </c>
      <c r="Y7" s="1473">
        <v>16000</v>
      </c>
      <c r="Z7" s="1473">
        <v>16000</v>
      </c>
      <c r="AA7" s="1215">
        <v>17000</v>
      </c>
      <c r="AB7" s="1325">
        <v>17000</v>
      </c>
      <c r="AC7" s="1325"/>
      <c r="AD7" s="1325"/>
      <c r="AE7" s="1325"/>
      <c r="AF7" s="1142">
        <f t="shared" ref="AF7:AF8" si="37">SUM(Q7*S7)</f>
        <v>1200000</v>
      </c>
      <c r="AG7" s="1128">
        <f t="shared" si="2"/>
        <v>192000</v>
      </c>
      <c r="AH7" s="1128">
        <f t="shared" si="3"/>
        <v>96000</v>
      </c>
      <c r="AI7" s="1128">
        <f t="shared" si="4"/>
        <v>96000</v>
      </c>
      <c r="AJ7" s="1128">
        <f t="shared" si="5"/>
        <v>96000</v>
      </c>
      <c r="AK7" s="1128">
        <f t="shared" si="5"/>
        <v>96000</v>
      </c>
      <c r="AL7" s="1128">
        <f t="shared" si="5"/>
        <v>96000</v>
      </c>
      <c r="AM7" s="1128">
        <f t="shared" si="5"/>
        <v>96000</v>
      </c>
      <c r="AN7" s="1202">
        <f t="shared" si="5"/>
        <v>102000</v>
      </c>
      <c r="AO7" s="1128">
        <f t="shared" si="5"/>
        <v>102000</v>
      </c>
      <c r="AP7" s="1128">
        <f t="shared" si="5"/>
        <v>0</v>
      </c>
      <c r="AQ7" s="1128">
        <f t="shared" si="5"/>
        <v>0</v>
      </c>
      <c r="AR7" s="1128">
        <f t="shared" si="5"/>
        <v>0</v>
      </c>
      <c r="AS7" s="1143">
        <f t="shared" si="22"/>
        <v>972000</v>
      </c>
      <c r="AT7" s="1128">
        <f t="shared" ref="AT7:AY7" si="38">SUM(AG7*4%)</f>
        <v>7680</v>
      </c>
      <c r="AU7" s="1128">
        <f t="shared" si="38"/>
        <v>3840</v>
      </c>
      <c r="AV7" s="1128">
        <f t="shared" si="38"/>
        <v>3840</v>
      </c>
      <c r="AW7" s="1128">
        <f t="shared" si="38"/>
        <v>3840</v>
      </c>
      <c r="AX7" s="1128">
        <f t="shared" si="38"/>
        <v>3840</v>
      </c>
      <c r="AY7" s="1128">
        <f t="shared" si="38"/>
        <v>3840</v>
      </c>
      <c r="AZ7" s="1128">
        <f>SUM(AM7*4%)</f>
        <v>3840</v>
      </c>
      <c r="BA7" s="1128">
        <f>SUM(AN7*2%)</f>
        <v>2040</v>
      </c>
      <c r="BB7" s="1128">
        <f>SUM(AO7*2%)</f>
        <v>2040</v>
      </c>
      <c r="BC7" s="1128">
        <f t="shared" ref="BC7:BC8" si="39">SUM(AP7*14%)</f>
        <v>0</v>
      </c>
      <c r="BD7" s="1128">
        <f t="shared" ref="BD7:BE8" si="40">SUM(AQ7*14%)</f>
        <v>0</v>
      </c>
      <c r="BE7" s="1128">
        <f t="shared" si="40"/>
        <v>0</v>
      </c>
      <c r="BF7" s="1144">
        <f>SUM(AT7:BE7)</f>
        <v>34800</v>
      </c>
      <c r="BG7" s="1460">
        <f t="shared" si="16"/>
        <v>193200</v>
      </c>
      <c r="BH7" s="1461">
        <f>SUM(S7*D7)</f>
        <v>1200000</v>
      </c>
      <c r="BI7" s="1462">
        <f t="shared" si="18"/>
        <v>193200</v>
      </c>
      <c r="BJ7" s="1147">
        <f>SUM(Q7/D7)</f>
        <v>1</v>
      </c>
      <c r="BK7" s="1128">
        <f>AN7</f>
        <v>102000</v>
      </c>
      <c r="BL7" s="1128">
        <f>17000*6</f>
        <v>102000</v>
      </c>
      <c r="BM7" s="1148">
        <f t="shared" si="35"/>
        <v>0</v>
      </c>
      <c r="BN7" s="1149"/>
      <c r="BO7" s="1128"/>
      <c r="BP7" s="1128"/>
      <c r="BQ7" s="1128"/>
      <c r="BR7" s="1128"/>
      <c r="BS7" s="1128"/>
      <c r="BT7" s="1128"/>
      <c r="BU7" s="1128"/>
      <c r="BV7" s="1128"/>
      <c r="BW7" s="1128"/>
      <c r="BX7" s="1128"/>
      <c r="BY7" s="1128"/>
      <c r="BZ7" s="1128"/>
      <c r="CA7" s="1144">
        <f t="shared" ref="CA7:CA15" si="41">SUM(BO7:BZ7)</f>
        <v>0</v>
      </c>
      <c r="CB7" s="1128"/>
      <c r="CC7" s="1128"/>
      <c r="CD7" s="1128"/>
      <c r="CE7" s="1128"/>
      <c r="CF7" s="1128"/>
      <c r="CG7" s="1128"/>
      <c r="CH7" s="1128"/>
      <c r="CI7" s="1202"/>
      <c r="CJ7" s="1463"/>
      <c r="CK7" s="1128"/>
      <c r="CL7" s="1128"/>
      <c r="CM7" s="1128"/>
      <c r="CN7" s="1143">
        <f t="shared" ref="CN7:CN15" si="42">SUM(CB7:CM7)</f>
        <v>0</v>
      </c>
    </row>
    <row r="8" spans="1:98" s="1273" customFormat="1" ht="32.25" customHeight="1" x14ac:dyDescent="0.2">
      <c r="A8" s="1452">
        <f t="shared" ref="A8:A10" si="43">A7+1</f>
        <v>3</v>
      </c>
      <c r="B8" s="1384" t="s">
        <v>373</v>
      </c>
      <c r="C8" s="1470" t="s">
        <v>25</v>
      </c>
      <c r="D8" s="1471">
        <f>2*3*10</f>
        <v>60</v>
      </c>
      <c r="E8" s="1218">
        <v>12</v>
      </c>
      <c r="F8" s="1324">
        <v>6</v>
      </c>
      <c r="G8" s="1324">
        <v>6</v>
      </c>
      <c r="H8" s="1324">
        <v>6</v>
      </c>
      <c r="I8" s="1324">
        <v>6</v>
      </c>
      <c r="J8" s="1324">
        <v>6</v>
      </c>
      <c r="K8" s="1324">
        <v>6</v>
      </c>
      <c r="L8" s="1200">
        <v>6</v>
      </c>
      <c r="M8" s="1136">
        <v>6</v>
      </c>
      <c r="N8" s="1324"/>
      <c r="O8" s="1324"/>
      <c r="P8" s="1324"/>
      <c r="Q8" s="1456">
        <f>SUM(E8:P8)</f>
        <v>60</v>
      </c>
      <c r="R8" s="1472" t="s">
        <v>0</v>
      </c>
      <c r="S8" s="611">
        <v>28500</v>
      </c>
      <c r="T8" s="1473">
        <v>25000</v>
      </c>
      <c r="U8" s="1473">
        <v>25000</v>
      </c>
      <c r="V8" s="1473">
        <v>25000</v>
      </c>
      <c r="W8" s="1473">
        <v>25000</v>
      </c>
      <c r="X8" s="1473">
        <v>25000</v>
      </c>
      <c r="Y8" s="1473">
        <v>25000</v>
      </c>
      <c r="Z8" s="1473">
        <v>25000</v>
      </c>
      <c r="AA8" s="1215">
        <v>28000</v>
      </c>
      <c r="AB8" s="1325">
        <v>28000</v>
      </c>
      <c r="AC8" s="1325"/>
      <c r="AD8" s="1325"/>
      <c r="AE8" s="1325"/>
      <c r="AF8" s="1142">
        <f t="shared" si="37"/>
        <v>1710000</v>
      </c>
      <c r="AG8" s="1128">
        <f t="shared" si="2"/>
        <v>300000</v>
      </c>
      <c r="AH8" s="1128">
        <f t="shared" si="3"/>
        <v>150000</v>
      </c>
      <c r="AI8" s="1128">
        <f t="shared" si="4"/>
        <v>150000</v>
      </c>
      <c r="AJ8" s="1128">
        <f t="shared" si="5"/>
        <v>150000</v>
      </c>
      <c r="AK8" s="1128">
        <f t="shared" si="5"/>
        <v>150000</v>
      </c>
      <c r="AL8" s="1128">
        <f t="shared" si="5"/>
        <v>150000</v>
      </c>
      <c r="AM8" s="1128">
        <f t="shared" si="5"/>
        <v>150000</v>
      </c>
      <c r="AN8" s="1202">
        <f t="shared" si="5"/>
        <v>168000</v>
      </c>
      <c r="AO8" s="1128">
        <f t="shared" si="5"/>
        <v>168000</v>
      </c>
      <c r="AP8" s="1128">
        <f t="shared" si="5"/>
        <v>0</v>
      </c>
      <c r="AQ8" s="1128">
        <f t="shared" si="5"/>
        <v>0</v>
      </c>
      <c r="AR8" s="1128">
        <f t="shared" si="5"/>
        <v>0</v>
      </c>
      <c r="AS8" s="1143">
        <f t="shared" si="22"/>
        <v>1536000</v>
      </c>
      <c r="AT8" s="1128">
        <f>SUM(AG8*4%)</f>
        <v>12000</v>
      </c>
      <c r="AU8" s="1128">
        <f>SUM(AH8*4%)</f>
        <v>6000</v>
      </c>
      <c r="AV8" s="1128">
        <f t="shared" ref="AV8:AW8" si="44">SUM(AI8*4%)</f>
        <v>6000</v>
      </c>
      <c r="AW8" s="1128">
        <f t="shared" si="44"/>
        <v>6000</v>
      </c>
      <c r="AX8" s="1128">
        <f>SUM(AK8*4%)</f>
        <v>6000</v>
      </c>
      <c r="AY8" s="1128">
        <f>SUM(AL8*4%)</f>
        <v>6000</v>
      </c>
      <c r="AZ8" s="1128">
        <f t="shared" ref="AZ8" si="45">SUM(AM8*4%)</f>
        <v>6000</v>
      </c>
      <c r="BA8" s="1128">
        <f>SUM(AN8*2%)</f>
        <v>3360</v>
      </c>
      <c r="BB8" s="1128">
        <f>SUM(AO8*2%)</f>
        <v>3360</v>
      </c>
      <c r="BC8" s="1128">
        <f t="shared" si="39"/>
        <v>0</v>
      </c>
      <c r="BD8" s="1128">
        <f t="shared" si="40"/>
        <v>0</v>
      </c>
      <c r="BE8" s="1128">
        <f t="shared" si="40"/>
        <v>0</v>
      </c>
      <c r="BF8" s="1144">
        <f>SUM(AT8:BE8)+12960</f>
        <v>67680</v>
      </c>
      <c r="BG8" s="1460">
        <f>AF8-AS8-BF8</f>
        <v>106320</v>
      </c>
      <c r="BH8" s="1461">
        <f>S8*D8</f>
        <v>1710000</v>
      </c>
      <c r="BI8" s="1462">
        <f t="shared" si="18"/>
        <v>106320</v>
      </c>
      <c r="BJ8" s="1147">
        <f>SUM(Q8/D8)</f>
        <v>1</v>
      </c>
      <c r="BK8" s="1128">
        <f>AO8-BW8</f>
        <v>164640</v>
      </c>
      <c r="BL8" s="1128">
        <f>25000*6</f>
        <v>150000</v>
      </c>
      <c r="BM8" s="1148">
        <f>BK8-BL8</f>
        <v>14640</v>
      </c>
      <c r="BN8" s="1149"/>
      <c r="BO8" s="1128"/>
      <c r="BP8" s="1128"/>
      <c r="BQ8" s="1128"/>
      <c r="BR8" s="1128"/>
      <c r="BS8" s="1128"/>
      <c r="BT8" s="1128"/>
      <c r="BU8" s="1128"/>
      <c r="BV8" s="1202">
        <f>AN8*2%</f>
        <v>3360</v>
      </c>
      <c r="BW8" s="1202">
        <f>AO8*2%</f>
        <v>3360</v>
      </c>
      <c r="BX8" s="1128"/>
      <c r="BY8" s="1128"/>
      <c r="BZ8" s="1128"/>
      <c r="CA8" s="1144">
        <f t="shared" si="41"/>
        <v>6720</v>
      </c>
      <c r="CB8" s="1128"/>
      <c r="CC8" s="1128"/>
      <c r="CD8" s="1128"/>
      <c r="CE8" s="1128"/>
      <c r="CF8" s="1128"/>
      <c r="CG8" s="1128"/>
      <c r="CH8" s="1128"/>
      <c r="CI8" s="1202">
        <f>AN8*10%</f>
        <v>16800</v>
      </c>
      <c r="CJ8" s="1463"/>
      <c r="CK8" s="1128"/>
      <c r="CL8" s="1128"/>
      <c r="CM8" s="1128"/>
      <c r="CN8" s="1143">
        <f t="shared" si="42"/>
        <v>16800</v>
      </c>
    </row>
    <row r="9" spans="1:98" s="1273" customFormat="1" ht="32.25" customHeight="1" x14ac:dyDescent="0.2">
      <c r="A9" s="1452">
        <f t="shared" si="43"/>
        <v>4</v>
      </c>
      <c r="B9" s="1385" t="s">
        <v>374</v>
      </c>
      <c r="C9" s="1470" t="s">
        <v>25</v>
      </c>
      <c r="D9" s="1471">
        <f>2*3*10</f>
        <v>60</v>
      </c>
      <c r="E9" s="1218">
        <v>12</v>
      </c>
      <c r="F9" s="1324">
        <v>6</v>
      </c>
      <c r="G9" s="1324">
        <v>6</v>
      </c>
      <c r="H9" s="1324">
        <v>6</v>
      </c>
      <c r="I9" s="1324">
        <v>6</v>
      </c>
      <c r="J9" s="1324">
        <v>6</v>
      </c>
      <c r="K9" s="1324">
        <v>6</v>
      </c>
      <c r="L9" s="1200">
        <v>6</v>
      </c>
      <c r="M9" s="1136">
        <v>6</v>
      </c>
      <c r="N9" s="1324"/>
      <c r="O9" s="1324"/>
      <c r="P9" s="1324"/>
      <c r="Q9" s="1456">
        <f t="shared" ref="Q9:Q10" si="46">SUM(E9:P9)</f>
        <v>60</v>
      </c>
      <c r="R9" s="1472" t="s">
        <v>50</v>
      </c>
      <c r="S9" s="611">
        <v>500000</v>
      </c>
      <c r="T9" s="611">
        <v>500000</v>
      </c>
      <c r="U9" s="611">
        <v>500000</v>
      </c>
      <c r="V9" s="611">
        <v>500000</v>
      </c>
      <c r="W9" s="611">
        <v>500000</v>
      </c>
      <c r="X9" s="611">
        <v>500000</v>
      </c>
      <c r="Y9" s="611">
        <v>500000</v>
      </c>
      <c r="Z9" s="611">
        <v>500000</v>
      </c>
      <c r="AA9" s="1215">
        <v>500000</v>
      </c>
      <c r="AB9" s="1325">
        <v>500000</v>
      </c>
      <c r="AC9" s="1325"/>
      <c r="AD9" s="1325"/>
      <c r="AE9" s="1325"/>
      <c r="AF9" s="1142">
        <f t="shared" ref="AF9:AF10" si="47">SUM(Q9*S9)</f>
        <v>30000000</v>
      </c>
      <c r="AG9" s="1128">
        <f t="shared" ref="AG9:AG10" si="48">T9*E9</f>
        <v>6000000</v>
      </c>
      <c r="AH9" s="1128">
        <f t="shared" ref="AH9:AH10" si="49">U9*F9</f>
        <v>3000000</v>
      </c>
      <c r="AI9" s="1128">
        <f t="shared" ref="AI9:AI10" si="50">V9*G9</f>
        <v>3000000</v>
      </c>
      <c r="AJ9" s="1128">
        <f t="shared" ref="AJ9:AJ10" si="51">W9*H9</f>
        <v>3000000</v>
      </c>
      <c r="AK9" s="1128">
        <f t="shared" ref="AK9:AK10" si="52">X9*I9</f>
        <v>3000000</v>
      </c>
      <c r="AL9" s="1128">
        <f t="shared" ref="AL9:AL10" si="53">Y9*J9</f>
        <v>3000000</v>
      </c>
      <c r="AM9" s="1128">
        <f t="shared" ref="AM9:AM10" si="54">Z9*K9</f>
        <v>3000000</v>
      </c>
      <c r="AN9" s="1202">
        <f t="shared" ref="AN9:AN10" si="55">AA9*L9</f>
        <v>3000000</v>
      </c>
      <c r="AO9" s="1128">
        <f t="shared" ref="AO9:AO10" si="56">AB9*M9</f>
        <v>3000000</v>
      </c>
      <c r="AP9" s="1128">
        <f t="shared" ref="AP9:AP10" si="57">AC9*N9</f>
        <v>0</v>
      </c>
      <c r="AQ9" s="1128">
        <f t="shared" ref="AQ9:AQ10" si="58">AD9*O9</f>
        <v>0</v>
      </c>
      <c r="AR9" s="1128">
        <f t="shared" ref="AR9" si="59">AE9*P9</f>
        <v>0</v>
      </c>
      <c r="AS9" s="1143">
        <f t="shared" ref="AS9:AS10" si="60">SUM(AG9:AR9)</f>
        <v>30000000</v>
      </c>
      <c r="AT9" s="1128"/>
      <c r="AU9" s="1128"/>
      <c r="AV9" s="1128"/>
      <c r="AW9" s="1128"/>
      <c r="AX9" s="1128"/>
      <c r="AY9" s="1128"/>
      <c r="AZ9" s="1128"/>
      <c r="BA9" s="1128"/>
      <c r="BB9" s="1128">
        <v>0</v>
      </c>
      <c r="BC9" s="1128">
        <f t="shared" ref="BC9:BC10" si="61">SUM(AP9*14%)</f>
        <v>0</v>
      </c>
      <c r="BD9" s="1128">
        <f t="shared" ref="BD9:BD10" si="62">SUM(AQ9*14%)</f>
        <v>0</v>
      </c>
      <c r="BE9" s="1128">
        <f t="shared" ref="BE9" si="63">SUM(AR9*14%)</f>
        <v>0</v>
      </c>
      <c r="BF9" s="1144">
        <f t="shared" ref="BF9:BF10" si="64">SUM(AT9:BE9)</f>
        <v>0</v>
      </c>
      <c r="BG9" s="1460">
        <f t="shared" ref="BG9:BG10" si="65">AF9-AS9-BF9</f>
        <v>0</v>
      </c>
      <c r="BH9" s="1461">
        <f t="shared" ref="BH9:BH10" si="66">S9*D9</f>
        <v>30000000</v>
      </c>
      <c r="BI9" s="1462">
        <f t="shared" ref="BI9" si="67">BH9-AS9-BF9</f>
        <v>0</v>
      </c>
      <c r="BJ9" s="1147">
        <f t="shared" ref="BJ9" si="68">SUM(Q9/D9)</f>
        <v>1</v>
      </c>
      <c r="BK9" s="1128">
        <f t="shared" ref="BK9:BK10" si="69">AN9</f>
        <v>3000000</v>
      </c>
      <c r="BL9" s="1128">
        <f>6*500000</f>
        <v>3000000</v>
      </c>
      <c r="BM9" s="1148">
        <f t="shared" si="35"/>
        <v>0</v>
      </c>
      <c r="BN9" s="1149"/>
      <c r="BO9" s="1128"/>
      <c r="BP9" s="1128"/>
      <c r="BQ9" s="1128"/>
      <c r="BR9" s="1128"/>
      <c r="BS9" s="1128"/>
      <c r="BT9" s="1128"/>
      <c r="BU9" s="1128"/>
      <c r="BV9" s="1128"/>
      <c r="BW9" s="1128"/>
      <c r="BX9" s="1128"/>
      <c r="BY9" s="1128"/>
      <c r="BZ9" s="1128"/>
      <c r="CA9" s="1144">
        <f t="shared" si="41"/>
        <v>0</v>
      </c>
      <c r="CB9" s="1128"/>
      <c r="CC9" s="1128"/>
      <c r="CD9" s="1128"/>
      <c r="CE9" s="1128"/>
      <c r="CF9" s="1128"/>
      <c r="CG9" s="1128"/>
      <c r="CH9" s="1128"/>
      <c r="CI9" s="1202"/>
      <c r="CJ9" s="1463"/>
      <c r="CK9" s="1128"/>
      <c r="CL9" s="1128"/>
      <c r="CM9" s="1128"/>
      <c r="CN9" s="1143">
        <f t="shared" si="42"/>
        <v>0</v>
      </c>
    </row>
    <row r="10" spans="1:98" s="92" customFormat="1" ht="32.25" customHeight="1" x14ac:dyDescent="0.2">
      <c r="A10" s="85">
        <f t="shared" si="43"/>
        <v>5</v>
      </c>
      <c r="B10" s="1384" t="s">
        <v>375</v>
      </c>
      <c r="C10" s="153" t="s">
        <v>25</v>
      </c>
      <c r="D10" s="975">
        <v>1</v>
      </c>
      <c r="E10" s="87"/>
      <c r="F10" s="88"/>
      <c r="G10" s="88"/>
      <c r="H10" s="88"/>
      <c r="I10" s="88"/>
      <c r="J10" s="88"/>
      <c r="K10" s="88"/>
      <c r="L10" s="1200"/>
      <c r="M10" s="1324"/>
      <c r="N10" s="88"/>
      <c r="O10" s="88"/>
      <c r="P10" s="88"/>
      <c r="Q10" s="89">
        <f t="shared" si="46"/>
        <v>0</v>
      </c>
      <c r="R10" s="610" t="s">
        <v>33</v>
      </c>
      <c r="S10" s="611">
        <v>10000000</v>
      </c>
      <c r="T10" s="238"/>
      <c r="U10" s="94"/>
      <c r="V10" s="94"/>
      <c r="W10" s="94"/>
      <c r="X10" s="94"/>
      <c r="Y10" s="94"/>
      <c r="Z10" s="94"/>
      <c r="AA10" s="1215">
        <v>0</v>
      </c>
      <c r="AB10" s="1325">
        <v>0</v>
      </c>
      <c r="AC10" s="94"/>
      <c r="AD10" s="94"/>
      <c r="AE10" s="94"/>
      <c r="AF10" s="69">
        <f t="shared" si="47"/>
        <v>0</v>
      </c>
      <c r="AG10" s="70">
        <f t="shared" si="48"/>
        <v>0</v>
      </c>
      <c r="AH10" s="70">
        <f t="shared" si="49"/>
        <v>0</v>
      </c>
      <c r="AI10" s="70">
        <f t="shared" si="50"/>
        <v>0</v>
      </c>
      <c r="AJ10" s="70">
        <f t="shared" si="51"/>
        <v>0</v>
      </c>
      <c r="AK10" s="70">
        <f t="shared" si="52"/>
        <v>0</v>
      </c>
      <c r="AL10" s="70">
        <f t="shared" si="53"/>
        <v>0</v>
      </c>
      <c r="AM10" s="70">
        <f t="shared" si="54"/>
        <v>0</v>
      </c>
      <c r="AN10" s="1202">
        <f t="shared" si="55"/>
        <v>0</v>
      </c>
      <c r="AO10" s="1128">
        <f t="shared" si="56"/>
        <v>0</v>
      </c>
      <c r="AP10" s="70">
        <f t="shared" si="57"/>
        <v>0</v>
      </c>
      <c r="AQ10" s="70">
        <f t="shared" si="58"/>
        <v>0</v>
      </c>
      <c r="AR10" s="70" t="s">
        <v>88</v>
      </c>
      <c r="AS10" s="71">
        <f t="shared" si="60"/>
        <v>0</v>
      </c>
      <c r="AT10" s="70">
        <f t="shared" ref="AT10" si="70">SUM(AG10*14%)</f>
        <v>0</v>
      </c>
      <c r="AU10" s="70"/>
      <c r="AV10" s="70"/>
      <c r="AW10" s="70"/>
      <c r="AX10" s="70"/>
      <c r="AY10" s="70"/>
      <c r="AZ10" s="70"/>
      <c r="BA10" s="1128"/>
      <c r="BB10" s="70">
        <v>0</v>
      </c>
      <c r="BC10" s="70">
        <f t="shared" si="61"/>
        <v>0</v>
      </c>
      <c r="BD10" s="70">
        <f t="shared" si="62"/>
        <v>0</v>
      </c>
      <c r="BE10" s="70">
        <v>0</v>
      </c>
      <c r="BF10" s="72">
        <f t="shared" si="64"/>
        <v>0</v>
      </c>
      <c r="BG10" s="98">
        <f t="shared" si="65"/>
        <v>0</v>
      </c>
      <c r="BH10" s="99">
        <f t="shared" si="66"/>
        <v>10000000</v>
      </c>
      <c r="BI10" s="100">
        <f>10000000-BH11-BH12-BH14-BH13</f>
        <v>8000</v>
      </c>
      <c r="BJ10" s="163"/>
      <c r="BK10" s="1081">
        <f t="shared" si="69"/>
        <v>0</v>
      </c>
      <c r="BL10" s="1081">
        <f>BK10</f>
        <v>0</v>
      </c>
      <c r="BM10" s="1083">
        <f t="shared" si="35"/>
        <v>0</v>
      </c>
      <c r="BN10" s="1084"/>
      <c r="BO10" s="862"/>
      <c r="BP10" s="862"/>
      <c r="BQ10" s="862"/>
      <c r="BR10" s="862"/>
      <c r="BS10" s="862"/>
      <c r="BT10" s="862"/>
      <c r="BU10" s="862"/>
      <c r="BV10" s="1103"/>
      <c r="BW10" s="1128"/>
      <c r="BX10" s="862"/>
      <c r="BY10" s="862"/>
      <c r="BZ10" s="862"/>
      <c r="CA10" s="73">
        <f t="shared" si="41"/>
        <v>0</v>
      </c>
      <c r="CB10" s="862"/>
      <c r="CC10" s="862"/>
      <c r="CD10" s="862"/>
      <c r="CE10" s="862"/>
      <c r="CF10" s="862"/>
      <c r="CG10" s="862"/>
      <c r="CH10" s="862"/>
      <c r="CI10" s="1124"/>
      <c r="CJ10" s="1131"/>
      <c r="CK10" s="862"/>
      <c r="CL10" s="862"/>
      <c r="CM10" s="862"/>
      <c r="CN10" s="863">
        <f t="shared" si="42"/>
        <v>0</v>
      </c>
    </row>
    <row r="11" spans="1:98" s="92" customFormat="1" ht="32.25" customHeight="1" x14ac:dyDescent="0.2">
      <c r="A11" s="85"/>
      <c r="B11" s="1384" t="s">
        <v>696</v>
      </c>
      <c r="C11" s="153" t="s">
        <v>25</v>
      </c>
      <c r="D11" s="975">
        <v>30</v>
      </c>
      <c r="E11" s="87"/>
      <c r="F11" s="88"/>
      <c r="G11" s="88"/>
      <c r="H11" s="88"/>
      <c r="I11" s="88"/>
      <c r="J11" s="88"/>
      <c r="K11" s="88"/>
      <c r="L11" s="1200"/>
      <c r="M11" s="1324">
        <v>30</v>
      </c>
      <c r="N11" s="88"/>
      <c r="O11" s="88"/>
      <c r="P11" s="88"/>
      <c r="Q11" s="89">
        <f t="shared" ref="Q11:Q14" si="71">SUM(E11:P11)</f>
        <v>30</v>
      </c>
      <c r="R11" s="610" t="s">
        <v>3</v>
      </c>
      <c r="S11" s="611">
        <v>97500</v>
      </c>
      <c r="T11" s="238"/>
      <c r="U11" s="94"/>
      <c r="V11" s="94"/>
      <c r="W11" s="94"/>
      <c r="X11" s="94"/>
      <c r="Y11" s="94"/>
      <c r="Z11" s="94"/>
      <c r="AA11" s="1215">
        <v>0</v>
      </c>
      <c r="AB11" s="1325">
        <v>97500</v>
      </c>
      <c r="AC11" s="94"/>
      <c r="AD11" s="94"/>
      <c r="AE11" s="94"/>
      <c r="AF11" s="69">
        <f t="shared" ref="AF11:AF14" si="72">SUM(Q11*S11)</f>
        <v>2925000</v>
      </c>
      <c r="AG11" s="70">
        <f t="shared" ref="AG11:AG14" si="73">T11*E11</f>
        <v>0</v>
      </c>
      <c r="AH11" s="70">
        <f t="shared" ref="AH11:AH14" si="74">U11*F11</f>
        <v>0</v>
      </c>
      <c r="AI11" s="70">
        <f t="shared" ref="AI11:AI14" si="75">V11*G11</f>
        <v>0</v>
      </c>
      <c r="AJ11" s="70">
        <f t="shared" ref="AJ11:AJ14" si="76">W11*H11</f>
        <v>0</v>
      </c>
      <c r="AK11" s="70">
        <f t="shared" ref="AK11:AK14" si="77">X11*I11</f>
        <v>0</v>
      </c>
      <c r="AL11" s="70">
        <f t="shared" ref="AL11:AL14" si="78">Y11*J11</f>
        <v>0</v>
      </c>
      <c r="AM11" s="70">
        <f t="shared" ref="AM11:AM14" si="79">Z11*K11</f>
        <v>0</v>
      </c>
      <c r="AN11" s="1202">
        <f t="shared" ref="AN11:AN14" si="80">AA11*L11</f>
        <v>0</v>
      </c>
      <c r="AO11" s="1128">
        <f>M11*AB11</f>
        <v>2925000</v>
      </c>
      <c r="AP11" s="70">
        <f t="shared" ref="AP11:AP14" si="81">AC11*N11</f>
        <v>0</v>
      </c>
      <c r="AQ11" s="70">
        <f t="shared" ref="AQ11:AQ14" si="82">AD11*O11</f>
        <v>0</v>
      </c>
      <c r="AR11" s="70" t="s">
        <v>88</v>
      </c>
      <c r="AS11" s="71">
        <f t="shared" ref="AS11:AS14" si="83">SUM(AG11:AR11)</f>
        <v>2925000</v>
      </c>
      <c r="AT11" s="70">
        <f t="shared" ref="AT11:AT14" si="84">SUM(AG11*14%)</f>
        <v>0</v>
      </c>
      <c r="AU11" s="70"/>
      <c r="AV11" s="70"/>
      <c r="AW11" s="70"/>
      <c r="AX11" s="70"/>
      <c r="AY11" s="70"/>
      <c r="AZ11" s="70"/>
      <c r="BA11" s="1128"/>
      <c r="BB11" s="70">
        <f>SUM(AO11*12.5%)</f>
        <v>365625</v>
      </c>
      <c r="BC11" s="70">
        <f t="shared" ref="BC11:BC14" si="85">SUM(AP11*14%)</f>
        <v>0</v>
      </c>
      <c r="BD11" s="70">
        <f t="shared" ref="BD11:BD14" si="86">SUM(AQ11*14%)</f>
        <v>0</v>
      </c>
      <c r="BE11" s="70">
        <v>0</v>
      </c>
      <c r="BF11" s="72">
        <f t="shared" ref="BF11:BF14" si="87">SUM(AT11:BE11)</f>
        <v>365625</v>
      </c>
      <c r="BG11" s="98">
        <f>AF11-AS11</f>
        <v>0</v>
      </c>
      <c r="BH11" s="99">
        <f t="shared" ref="BH11:BH14" si="88">S11*D11</f>
        <v>2925000</v>
      </c>
      <c r="BI11" s="100">
        <f>BH11-AS11</f>
        <v>0</v>
      </c>
      <c r="BJ11" s="163">
        <f t="shared" ref="BJ11:BJ14" si="89">SUM(Q11/D11)</f>
        <v>1</v>
      </c>
      <c r="BK11" s="1081">
        <f>SUM(AO11-BB11)</f>
        <v>2559375</v>
      </c>
      <c r="BL11" s="1081">
        <f>30*85000</f>
        <v>2550000</v>
      </c>
      <c r="BM11" s="1083">
        <f t="shared" ref="BM11:BM12" si="90">BK11-BL11</f>
        <v>9375</v>
      </c>
      <c r="BN11" s="1084"/>
      <c r="BO11" s="862"/>
      <c r="BP11" s="862"/>
      <c r="BQ11" s="862"/>
      <c r="BR11" s="862"/>
      <c r="BS11" s="862"/>
      <c r="BT11" s="862"/>
      <c r="BU11" s="862"/>
      <c r="BV11" s="1103"/>
      <c r="BW11" s="1128"/>
      <c r="BX11" s="862"/>
      <c r="BY11" s="862"/>
      <c r="BZ11" s="862"/>
      <c r="CA11" s="73">
        <f t="shared" ref="CA11:CA14" si="91">SUM(BO11:BZ11)</f>
        <v>0</v>
      </c>
      <c r="CB11" s="862"/>
      <c r="CC11" s="862"/>
      <c r="CD11" s="862"/>
      <c r="CE11" s="862"/>
      <c r="CF11" s="862"/>
      <c r="CG11" s="862"/>
      <c r="CH11" s="862"/>
      <c r="CI11" s="1124"/>
      <c r="CJ11" s="1131"/>
      <c r="CK11" s="862"/>
      <c r="CL11" s="862"/>
      <c r="CM11" s="862"/>
      <c r="CN11" s="863">
        <f t="shared" ref="CN11:CN14" si="92">SUM(CB11:CM11)</f>
        <v>0</v>
      </c>
    </row>
    <row r="12" spans="1:98" s="92" customFormat="1" ht="32.25" customHeight="1" x14ac:dyDescent="0.2">
      <c r="A12" s="85"/>
      <c r="B12" s="1384" t="s">
        <v>697</v>
      </c>
      <c r="C12" s="153" t="s">
        <v>25</v>
      </c>
      <c r="D12" s="975">
        <v>210</v>
      </c>
      <c r="E12" s="87"/>
      <c r="F12" s="88"/>
      <c r="G12" s="88"/>
      <c r="H12" s="88"/>
      <c r="I12" s="88"/>
      <c r="J12" s="88"/>
      <c r="K12" s="88"/>
      <c r="L12" s="1200"/>
      <c r="M12" s="1324">
        <v>210</v>
      </c>
      <c r="N12" s="88"/>
      <c r="O12" s="88"/>
      <c r="P12" s="88"/>
      <c r="Q12" s="89">
        <f t="shared" si="71"/>
        <v>210</v>
      </c>
      <c r="R12" s="610" t="s">
        <v>0</v>
      </c>
      <c r="S12" s="611">
        <v>28000</v>
      </c>
      <c r="T12" s="238"/>
      <c r="U12" s="94"/>
      <c r="V12" s="94"/>
      <c r="W12" s="94"/>
      <c r="X12" s="94"/>
      <c r="Y12" s="94"/>
      <c r="Z12" s="94"/>
      <c r="AA12" s="1215">
        <v>0</v>
      </c>
      <c r="AB12" s="611">
        <v>28000</v>
      </c>
      <c r="AC12" s="94"/>
      <c r="AD12" s="94"/>
      <c r="AE12" s="94"/>
      <c r="AF12" s="69">
        <f t="shared" si="72"/>
        <v>5880000</v>
      </c>
      <c r="AG12" s="70">
        <f t="shared" si="73"/>
        <v>0</v>
      </c>
      <c r="AH12" s="70">
        <f t="shared" si="74"/>
        <v>0</v>
      </c>
      <c r="AI12" s="70">
        <f t="shared" si="75"/>
        <v>0</v>
      </c>
      <c r="AJ12" s="70">
        <f t="shared" si="76"/>
        <v>0</v>
      </c>
      <c r="AK12" s="70">
        <f t="shared" si="77"/>
        <v>0</v>
      </c>
      <c r="AL12" s="70">
        <f t="shared" si="78"/>
        <v>0</v>
      </c>
      <c r="AM12" s="70">
        <f t="shared" si="79"/>
        <v>0</v>
      </c>
      <c r="AN12" s="1202">
        <f t="shared" si="80"/>
        <v>0</v>
      </c>
      <c r="AO12" s="1128">
        <f t="shared" ref="AO12:AO14" si="93">M12*AB12</f>
        <v>5880000</v>
      </c>
      <c r="AP12" s="70">
        <f t="shared" si="81"/>
        <v>0</v>
      </c>
      <c r="AQ12" s="70">
        <f t="shared" si="82"/>
        <v>0</v>
      </c>
      <c r="AR12" s="70" t="s">
        <v>88</v>
      </c>
      <c r="AS12" s="71">
        <f t="shared" si="83"/>
        <v>5880000</v>
      </c>
      <c r="AT12" s="70">
        <f t="shared" si="84"/>
        <v>0</v>
      </c>
      <c r="AU12" s="70"/>
      <c r="AV12" s="70"/>
      <c r="AW12" s="70"/>
      <c r="AX12" s="70"/>
      <c r="AY12" s="70"/>
      <c r="AZ12" s="70"/>
      <c r="BA12" s="1128"/>
      <c r="BB12" s="70">
        <f>SUM(AO12*12%)</f>
        <v>705600</v>
      </c>
      <c r="BC12" s="70">
        <f t="shared" si="85"/>
        <v>0</v>
      </c>
      <c r="BD12" s="70">
        <f t="shared" si="86"/>
        <v>0</v>
      </c>
      <c r="BE12" s="70">
        <v>0</v>
      </c>
      <c r="BF12" s="72">
        <f t="shared" si="87"/>
        <v>705600</v>
      </c>
      <c r="BG12" s="98">
        <f>AF12-AS12</f>
        <v>0</v>
      </c>
      <c r="BH12" s="99">
        <f t="shared" si="88"/>
        <v>5880000</v>
      </c>
      <c r="BI12" s="100">
        <f>BH12-AS12</f>
        <v>0</v>
      </c>
      <c r="BJ12" s="163">
        <f t="shared" si="89"/>
        <v>1</v>
      </c>
      <c r="BK12" s="1081">
        <f t="shared" ref="BK12:BK14" si="94">SUM(AO12-BB12)</f>
        <v>5174400</v>
      </c>
      <c r="BL12" s="1081">
        <f>210*24000</f>
        <v>5040000</v>
      </c>
      <c r="BM12" s="1083">
        <f t="shared" si="90"/>
        <v>134400</v>
      </c>
      <c r="BN12" s="1084"/>
      <c r="BO12" s="862"/>
      <c r="BP12" s="862"/>
      <c r="BQ12" s="862"/>
      <c r="BR12" s="862"/>
      <c r="BS12" s="862"/>
      <c r="BT12" s="862"/>
      <c r="BU12" s="862"/>
      <c r="BV12" s="1103"/>
      <c r="BW12" s="1128"/>
      <c r="BX12" s="862"/>
      <c r="BY12" s="862"/>
      <c r="BZ12" s="862"/>
      <c r="CA12" s="73">
        <f t="shared" si="91"/>
        <v>0</v>
      </c>
      <c r="CB12" s="862"/>
      <c r="CC12" s="862"/>
      <c r="CD12" s="862"/>
      <c r="CE12" s="862"/>
      <c r="CF12" s="862"/>
      <c r="CG12" s="862"/>
      <c r="CH12" s="862"/>
      <c r="CI12" s="1124"/>
      <c r="CJ12" s="1131"/>
      <c r="CK12" s="862"/>
      <c r="CL12" s="862"/>
      <c r="CM12" s="862"/>
      <c r="CN12" s="863">
        <f t="shared" si="92"/>
        <v>0</v>
      </c>
    </row>
    <row r="13" spans="1:98" s="92" customFormat="1" ht="32.25" customHeight="1" x14ac:dyDescent="0.2">
      <c r="A13" s="85"/>
      <c r="B13" s="1384" t="s">
        <v>698</v>
      </c>
      <c r="C13" s="153" t="s">
        <v>25</v>
      </c>
      <c r="D13" s="975">
        <v>11</v>
      </c>
      <c r="E13" s="87"/>
      <c r="F13" s="88"/>
      <c r="G13" s="88"/>
      <c r="H13" s="88"/>
      <c r="I13" s="88"/>
      <c r="J13" s="88"/>
      <c r="K13" s="88"/>
      <c r="L13" s="1200"/>
      <c r="M13" s="1324">
        <v>11</v>
      </c>
      <c r="N13" s="88"/>
      <c r="O13" s="88"/>
      <c r="P13" s="88"/>
      <c r="Q13" s="89">
        <f t="shared" ref="Q13" si="95">SUM(E13:P13)</f>
        <v>11</v>
      </c>
      <c r="R13" s="610" t="s">
        <v>699</v>
      </c>
      <c r="S13" s="611">
        <v>17000</v>
      </c>
      <c r="T13" s="238"/>
      <c r="U13" s="94"/>
      <c r="V13" s="94"/>
      <c r="W13" s="94"/>
      <c r="X13" s="94"/>
      <c r="Y13" s="94"/>
      <c r="Z13" s="94"/>
      <c r="AA13" s="1215">
        <v>0</v>
      </c>
      <c r="AB13" s="611">
        <v>17000</v>
      </c>
      <c r="AC13" s="94"/>
      <c r="AD13" s="94"/>
      <c r="AE13" s="94"/>
      <c r="AF13" s="69">
        <f t="shared" ref="AF13" si="96">SUM(Q13*S13)</f>
        <v>187000</v>
      </c>
      <c r="AG13" s="70">
        <f t="shared" ref="AG13" si="97">T13*E13</f>
        <v>0</v>
      </c>
      <c r="AH13" s="70">
        <f t="shared" ref="AH13" si="98">U13*F13</f>
        <v>0</v>
      </c>
      <c r="AI13" s="70">
        <f t="shared" ref="AI13" si="99">V13*G13</f>
        <v>0</v>
      </c>
      <c r="AJ13" s="70">
        <f t="shared" ref="AJ13" si="100">W13*H13</f>
        <v>0</v>
      </c>
      <c r="AK13" s="70">
        <f t="shared" ref="AK13" si="101">X13*I13</f>
        <v>0</v>
      </c>
      <c r="AL13" s="70">
        <f t="shared" ref="AL13" si="102">Y13*J13</f>
        <v>0</v>
      </c>
      <c r="AM13" s="70">
        <f t="shared" ref="AM13" si="103">Z13*K13</f>
        <v>0</v>
      </c>
      <c r="AN13" s="1202">
        <f t="shared" ref="AN13" si="104">AA13*L13</f>
        <v>0</v>
      </c>
      <c r="AO13" s="1128">
        <f t="shared" ref="AO13" si="105">M13*AB13</f>
        <v>187000</v>
      </c>
      <c r="AP13" s="70">
        <f t="shared" ref="AP13" si="106">AC13*N13</f>
        <v>0</v>
      </c>
      <c r="AQ13" s="70">
        <f t="shared" ref="AQ13" si="107">AD13*O13</f>
        <v>0</v>
      </c>
      <c r="AR13" s="70" t="s">
        <v>88</v>
      </c>
      <c r="AS13" s="71">
        <f t="shared" ref="AS13" si="108">SUM(AG13:AR13)</f>
        <v>187000</v>
      </c>
      <c r="AT13" s="70">
        <f t="shared" ref="AT13" si="109">SUM(AG13*14%)</f>
        <v>0</v>
      </c>
      <c r="AU13" s="70"/>
      <c r="AV13" s="70"/>
      <c r="AW13" s="70"/>
      <c r="AX13" s="70"/>
      <c r="AY13" s="70"/>
      <c r="AZ13" s="70"/>
      <c r="BA13" s="1128"/>
      <c r="BB13" s="70"/>
      <c r="BC13" s="70">
        <f t="shared" ref="BC13" si="110">SUM(AP13*14%)</f>
        <v>0</v>
      </c>
      <c r="BD13" s="70">
        <f t="shared" ref="BD13" si="111">SUM(AQ13*14%)</f>
        <v>0</v>
      </c>
      <c r="BE13" s="70">
        <v>0</v>
      </c>
      <c r="BF13" s="72">
        <f t="shared" ref="BF13" si="112">SUM(AT13:BE13)</f>
        <v>0</v>
      </c>
      <c r="BG13" s="98">
        <f>AF13-AS13</f>
        <v>0</v>
      </c>
      <c r="BH13" s="99">
        <f t="shared" ref="BH13" si="113">S13*D13</f>
        <v>187000</v>
      </c>
      <c r="BI13" s="100">
        <f>BH13-AS13</f>
        <v>0</v>
      </c>
      <c r="BJ13" s="163">
        <f t="shared" ref="BJ13" si="114">SUM(Q13/D13)</f>
        <v>1</v>
      </c>
      <c r="BK13" s="1081">
        <f t="shared" ref="BK13" si="115">SUM(AO13-BB13)</f>
        <v>187000</v>
      </c>
      <c r="BL13" s="1081">
        <f>11*17000</f>
        <v>187000</v>
      </c>
      <c r="BM13" s="1083">
        <f>BK13-BL13</f>
        <v>0</v>
      </c>
      <c r="BN13" s="1084"/>
      <c r="BO13" s="862"/>
      <c r="BP13" s="862"/>
      <c r="BQ13" s="862"/>
      <c r="BR13" s="862"/>
      <c r="BS13" s="862"/>
      <c r="BT13" s="862"/>
      <c r="BU13" s="862"/>
      <c r="BV13" s="1103"/>
      <c r="BW13" s="1128"/>
      <c r="BX13" s="862"/>
      <c r="BY13" s="862"/>
      <c r="BZ13" s="862"/>
      <c r="CA13" s="73">
        <f t="shared" ref="CA13" si="116">SUM(BO13:BZ13)</f>
        <v>0</v>
      </c>
      <c r="CB13" s="862"/>
      <c r="CC13" s="862"/>
      <c r="CD13" s="862"/>
      <c r="CE13" s="862"/>
      <c r="CF13" s="862"/>
      <c r="CG13" s="862"/>
      <c r="CH13" s="862"/>
      <c r="CI13" s="1124"/>
      <c r="CJ13" s="1131"/>
      <c r="CK13" s="862"/>
      <c r="CL13" s="862"/>
      <c r="CM13" s="862"/>
      <c r="CN13" s="863">
        <f t="shared" ref="CN13" si="117">SUM(CB13:CM13)</f>
        <v>0</v>
      </c>
    </row>
    <row r="14" spans="1:98" s="92" customFormat="1" ht="32.25" customHeight="1" thickBot="1" x14ac:dyDescent="0.25">
      <c r="A14" s="85"/>
      <c r="B14" s="1384" t="s">
        <v>698</v>
      </c>
      <c r="C14" s="153" t="s">
        <v>25</v>
      </c>
      <c r="D14" s="975">
        <v>5</v>
      </c>
      <c r="E14" s="87"/>
      <c r="F14" s="88"/>
      <c r="G14" s="88"/>
      <c r="H14" s="88"/>
      <c r="I14" s="88"/>
      <c r="J14" s="88"/>
      <c r="K14" s="88"/>
      <c r="L14" s="1200"/>
      <c r="M14" s="1324">
        <v>5</v>
      </c>
      <c r="N14" s="88"/>
      <c r="O14" s="88"/>
      <c r="P14" s="88"/>
      <c r="Q14" s="89">
        <f t="shared" si="71"/>
        <v>5</v>
      </c>
      <c r="R14" s="610" t="s">
        <v>699</v>
      </c>
      <c r="S14" s="611">
        <v>200000</v>
      </c>
      <c r="T14" s="238"/>
      <c r="U14" s="94"/>
      <c r="V14" s="94"/>
      <c r="W14" s="94"/>
      <c r="X14" s="94"/>
      <c r="Y14" s="94"/>
      <c r="Z14" s="94"/>
      <c r="AA14" s="1215">
        <v>0</v>
      </c>
      <c r="AB14" s="1325">
        <v>200000</v>
      </c>
      <c r="AC14" s="94"/>
      <c r="AD14" s="94"/>
      <c r="AE14" s="94"/>
      <c r="AF14" s="69">
        <f t="shared" si="72"/>
        <v>1000000</v>
      </c>
      <c r="AG14" s="70">
        <f t="shared" si="73"/>
        <v>0</v>
      </c>
      <c r="AH14" s="70">
        <f t="shared" si="74"/>
        <v>0</v>
      </c>
      <c r="AI14" s="70">
        <f t="shared" si="75"/>
        <v>0</v>
      </c>
      <c r="AJ14" s="70">
        <f t="shared" si="76"/>
        <v>0</v>
      </c>
      <c r="AK14" s="70">
        <f t="shared" si="77"/>
        <v>0</v>
      </c>
      <c r="AL14" s="70">
        <f t="shared" si="78"/>
        <v>0</v>
      </c>
      <c r="AM14" s="70">
        <f t="shared" si="79"/>
        <v>0</v>
      </c>
      <c r="AN14" s="1202">
        <f t="shared" si="80"/>
        <v>0</v>
      </c>
      <c r="AO14" s="1128">
        <f t="shared" si="93"/>
        <v>1000000</v>
      </c>
      <c r="AP14" s="70">
        <f t="shared" si="81"/>
        <v>0</v>
      </c>
      <c r="AQ14" s="70">
        <f t="shared" si="82"/>
        <v>0</v>
      </c>
      <c r="AR14" s="70" t="s">
        <v>88</v>
      </c>
      <c r="AS14" s="71">
        <f t="shared" si="83"/>
        <v>1000000</v>
      </c>
      <c r="AT14" s="70">
        <f t="shared" si="84"/>
        <v>0</v>
      </c>
      <c r="AU14" s="70"/>
      <c r="AV14" s="70"/>
      <c r="AW14" s="70"/>
      <c r="AX14" s="70"/>
      <c r="AY14" s="70"/>
      <c r="AZ14" s="70"/>
      <c r="BA14" s="1128"/>
      <c r="BB14" s="70">
        <f>SUM(AO14*2%)</f>
        <v>20000</v>
      </c>
      <c r="BC14" s="70">
        <f t="shared" si="85"/>
        <v>0</v>
      </c>
      <c r="BD14" s="70">
        <f t="shared" si="86"/>
        <v>0</v>
      </c>
      <c r="BE14" s="70">
        <v>0</v>
      </c>
      <c r="BF14" s="72">
        <f t="shared" si="87"/>
        <v>20000</v>
      </c>
      <c r="BG14" s="98">
        <f>AF14-AS14</f>
        <v>0</v>
      </c>
      <c r="BH14" s="99">
        <f t="shared" si="88"/>
        <v>1000000</v>
      </c>
      <c r="BI14" s="100">
        <f>BH14-AS14</f>
        <v>0</v>
      </c>
      <c r="BJ14" s="163">
        <f t="shared" si="89"/>
        <v>1</v>
      </c>
      <c r="BK14" s="1081">
        <f t="shared" si="94"/>
        <v>980000</v>
      </c>
      <c r="BL14" s="1081">
        <f>5*195000</f>
        <v>975000</v>
      </c>
      <c r="BM14" s="1083">
        <f>BK14-BL14</f>
        <v>5000</v>
      </c>
      <c r="BN14" s="1084"/>
      <c r="BO14" s="862"/>
      <c r="BP14" s="862"/>
      <c r="BQ14" s="862"/>
      <c r="BR14" s="862"/>
      <c r="BS14" s="862"/>
      <c r="BT14" s="862"/>
      <c r="BU14" s="862"/>
      <c r="BV14" s="1103"/>
      <c r="BW14" s="1128"/>
      <c r="BX14" s="862"/>
      <c r="BY14" s="862"/>
      <c r="BZ14" s="862"/>
      <c r="CA14" s="73">
        <f t="shared" si="91"/>
        <v>0</v>
      </c>
      <c r="CB14" s="862"/>
      <c r="CC14" s="862"/>
      <c r="CD14" s="862"/>
      <c r="CE14" s="862"/>
      <c r="CF14" s="862"/>
      <c r="CG14" s="862"/>
      <c r="CH14" s="862"/>
      <c r="CI14" s="1124"/>
      <c r="CJ14" s="1131"/>
      <c r="CK14" s="862"/>
      <c r="CL14" s="862"/>
      <c r="CM14" s="862"/>
      <c r="CN14" s="863">
        <f t="shared" si="92"/>
        <v>0</v>
      </c>
    </row>
    <row r="15" spans="1:98" s="38" customFormat="1" ht="24.75" customHeight="1" thickBot="1" x14ac:dyDescent="0.25">
      <c r="A15" s="577">
        <v>1</v>
      </c>
      <c r="B15" s="1386" t="s">
        <v>4</v>
      </c>
      <c r="C15" s="44"/>
      <c r="D15" s="97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7"/>
      <c r="R15" s="77"/>
      <c r="S15" s="234"/>
      <c r="T15" s="235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3">
        <f t="shared" ref="AF15:AN15" si="118">SUM(AF5:AF14)</f>
        <v>43402000</v>
      </c>
      <c r="AG15" s="1221">
        <f t="shared" si="118"/>
        <v>6492000</v>
      </c>
      <c r="AH15" s="1221">
        <f t="shared" si="118"/>
        <v>3246000</v>
      </c>
      <c r="AI15" s="1221">
        <f t="shared" si="118"/>
        <v>3246000</v>
      </c>
      <c r="AJ15" s="1221">
        <f t="shared" si="118"/>
        <v>3246000</v>
      </c>
      <c r="AK15" s="1221">
        <f t="shared" si="118"/>
        <v>3246000</v>
      </c>
      <c r="AL15" s="1221">
        <f t="shared" si="118"/>
        <v>3246000</v>
      </c>
      <c r="AM15" s="1221">
        <f t="shared" si="118"/>
        <v>3246000</v>
      </c>
      <c r="AN15" s="1221">
        <f t="shared" si="118"/>
        <v>3770000</v>
      </c>
      <c r="AO15" s="1221">
        <f>SUM(AO5:AO14)</f>
        <v>13262000</v>
      </c>
      <c r="AP15" s="103">
        <f t="shared" ref="AP15:BE15" si="119">SUM(AP5:AP14)</f>
        <v>0</v>
      </c>
      <c r="AQ15" s="103">
        <f t="shared" si="119"/>
        <v>0</v>
      </c>
      <c r="AR15" s="103">
        <f t="shared" si="119"/>
        <v>0</v>
      </c>
      <c r="AS15" s="103">
        <f t="shared" si="119"/>
        <v>43000000</v>
      </c>
      <c r="AT15" s="103">
        <f t="shared" si="119"/>
        <v>19680</v>
      </c>
      <c r="AU15" s="103">
        <f t="shared" si="119"/>
        <v>9840</v>
      </c>
      <c r="AV15" s="103">
        <f t="shared" si="119"/>
        <v>9840</v>
      </c>
      <c r="AW15" s="103">
        <f t="shared" si="119"/>
        <v>9840</v>
      </c>
      <c r="AX15" s="103">
        <f t="shared" si="119"/>
        <v>9840</v>
      </c>
      <c r="AY15" s="103">
        <f t="shared" si="119"/>
        <v>9840</v>
      </c>
      <c r="AZ15" s="103">
        <f t="shared" si="119"/>
        <v>9840</v>
      </c>
      <c r="BA15" s="103">
        <f t="shared" si="119"/>
        <v>5400</v>
      </c>
      <c r="BB15" s="103">
        <f>SUM(BB5:BB14)</f>
        <v>1096625</v>
      </c>
      <c r="BC15" s="103">
        <f t="shared" si="119"/>
        <v>0</v>
      </c>
      <c r="BD15" s="103">
        <f t="shared" si="119"/>
        <v>0</v>
      </c>
      <c r="BE15" s="103">
        <f t="shared" si="119"/>
        <v>0</v>
      </c>
      <c r="BF15" s="103">
        <f>SUM(BF7:BF14)</f>
        <v>1193705</v>
      </c>
      <c r="BG15" s="104">
        <f>SUM(BG5:BG14)</f>
        <v>299520</v>
      </c>
      <c r="BH15" s="103">
        <f>SUM(BH5:BH10)</f>
        <v>43410000</v>
      </c>
      <c r="BI15" s="103">
        <f>SUM(BI5:BI10)</f>
        <v>307520</v>
      </c>
      <c r="BJ15" s="164">
        <v>1</v>
      </c>
      <c r="BK15" s="1083">
        <f>SUM(BK5:BK10)</f>
        <v>3766640</v>
      </c>
      <c r="BL15" s="1083">
        <f>SUM(BL5:BL10)</f>
        <v>3752000</v>
      </c>
      <c r="BM15" s="1083">
        <f>SUM(BM11:BM14)</f>
        <v>148775</v>
      </c>
      <c r="BN15" s="1286">
        <f>SUM(BB16-BM15)</f>
        <v>8746600</v>
      </c>
      <c r="BO15" s="862"/>
      <c r="BP15" s="862"/>
      <c r="BQ15" s="862"/>
      <c r="BR15" s="862"/>
      <c r="BS15" s="862"/>
      <c r="BT15" s="862"/>
      <c r="BU15" s="862"/>
      <c r="BV15" s="1103"/>
      <c r="BW15" s="1128"/>
      <c r="BX15" s="862"/>
      <c r="BY15" s="862"/>
      <c r="BZ15" s="862"/>
      <c r="CA15" s="73">
        <f t="shared" si="41"/>
        <v>0</v>
      </c>
      <c r="CB15" s="862"/>
      <c r="CC15" s="862"/>
      <c r="CD15" s="862"/>
      <c r="CE15" s="862"/>
      <c r="CF15" s="862"/>
      <c r="CG15" s="862"/>
      <c r="CH15" s="862"/>
      <c r="CI15" s="1124"/>
      <c r="CJ15" s="1131"/>
      <c r="CK15" s="862"/>
      <c r="CL15" s="862"/>
      <c r="CM15" s="862"/>
      <c r="CN15" s="863">
        <f t="shared" si="42"/>
        <v>0</v>
      </c>
    </row>
    <row r="16" spans="1:98" s="20" customFormat="1" ht="24.75" customHeight="1" x14ac:dyDescent="0.2">
      <c r="A16" s="50"/>
      <c r="B16" s="1274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236"/>
      <c r="T16" s="236"/>
      <c r="AE16" s="40"/>
      <c r="AS16" s="51"/>
      <c r="BB16" s="1285">
        <f>SUM(AO11+AO12+AO14+AO13-BB15)</f>
        <v>8895375</v>
      </c>
      <c r="BF16" s="52">
        <f>SUM(AS15+BF15)</f>
        <v>44193705</v>
      </c>
      <c r="BG16" s="53">
        <f>AF15-AS15-BF7-BF8</f>
        <v>299520</v>
      </c>
      <c r="BH16" s="54">
        <f>SUM(BI15+AS15)+BF7+BF8</f>
        <v>43410000</v>
      </c>
      <c r="BI16" s="55">
        <f>SUM(BG15)</f>
        <v>299520</v>
      </c>
      <c r="BJ16" s="40" t="s">
        <v>38</v>
      </c>
      <c r="BK16" s="171"/>
      <c r="BL16" s="24"/>
      <c r="BM16" s="236">
        <v>14640</v>
      </c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</row>
    <row r="17" spans="1:110" s="20" customFormat="1" ht="24.75" customHeight="1" x14ac:dyDescent="0.2">
      <c r="A17" s="50"/>
      <c r="B17" s="1274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236"/>
      <c r="T17" s="236"/>
      <c r="AE17" s="40"/>
      <c r="AS17" s="40"/>
      <c r="AT17" s="123">
        <f t="shared" ref="AT17:BE17" si="120">SUM(AG15+AT15)</f>
        <v>6511680</v>
      </c>
      <c r="AU17" s="123">
        <f t="shared" si="120"/>
        <v>3255840</v>
      </c>
      <c r="AV17" s="123">
        <f t="shared" si="120"/>
        <v>3255840</v>
      </c>
      <c r="AW17" s="123">
        <f t="shared" si="120"/>
        <v>3255840</v>
      </c>
      <c r="AX17" s="123">
        <f t="shared" si="120"/>
        <v>3255840</v>
      </c>
      <c r="AY17" s="123">
        <f t="shared" si="120"/>
        <v>3255840</v>
      </c>
      <c r="AZ17" s="972">
        <f t="shared" si="120"/>
        <v>3255840</v>
      </c>
      <c r="BA17" s="123">
        <f t="shared" si="120"/>
        <v>3775400</v>
      </c>
      <c r="BB17" s="123">
        <f t="shared" si="120"/>
        <v>14358625</v>
      </c>
      <c r="BC17" s="123">
        <f t="shared" si="120"/>
        <v>0</v>
      </c>
      <c r="BD17" s="123">
        <f t="shared" si="120"/>
        <v>0</v>
      </c>
      <c r="BE17" s="123">
        <f t="shared" si="120"/>
        <v>0</v>
      </c>
      <c r="BF17" s="123">
        <f>SUM(AT17:BE17)</f>
        <v>44180745</v>
      </c>
      <c r="BG17" s="40"/>
      <c r="BH17" s="56"/>
      <c r="BI17" s="57">
        <f>SUM(BI15-BI16)</f>
        <v>8000</v>
      </c>
      <c r="BJ17" s="40" t="s">
        <v>37</v>
      </c>
      <c r="BK17" s="171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</row>
    <row r="18" spans="1:110" s="1644" customFormat="1" ht="25.5" customHeight="1" x14ac:dyDescent="0.2">
      <c r="A18" s="1643"/>
      <c r="D18" s="1643"/>
      <c r="E18" s="1643"/>
      <c r="F18" s="1643"/>
      <c r="G18" s="1643"/>
      <c r="H18" s="1643"/>
      <c r="I18" s="1643"/>
      <c r="J18" s="1643"/>
      <c r="K18" s="1643"/>
      <c r="L18" s="1643"/>
      <c r="M18" s="1643"/>
      <c r="N18" s="1643"/>
      <c r="O18" s="1643"/>
      <c r="P18" s="1643"/>
      <c r="Q18" s="1643"/>
      <c r="R18" s="1643"/>
      <c r="S18" s="1645"/>
      <c r="T18" s="1645"/>
      <c r="AE18" s="1646"/>
      <c r="AF18" s="1652"/>
      <c r="AG18" s="1652"/>
      <c r="AH18" s="1652"/>
      <c r="AI18" s="1652"/>
      <c r="AJ18" s="1652"/>
      <c r="AK18" s="1652"/>
      <c r="AL18" s="1652"/>
      <c r="AM18" s="1652"/>
      <c r="AN18" s="1652"/>
      <c r="AO18" s="1652"/>
      <c r="AP18" s="1652"/>
      <c r="AQ18" s="1652"/>
      <c r="AR18" s="1652"/>
      <c r="AS18" s="1652"/>
      <c r="AT18" s="1652"/>
      <c r="AU18" s="1652"/>
      <c r="AV18" s="1652"/>
      <c r="AW18" s="1652"/>
      <c r="AX18" s="1652"/>
      <c r="AY18" s="1652"/>
      <c r="AZ18" s="1652"/>
      <c r="BA18" s="1652"/>
      <c r="BB18" s="1652"/>
      <c r="BC18" s="1652"/>
      <c r="BD18" s="1652"/>
      <c r="BE18" s="1652"/>
      <c r="BF18" s="1652"/>
      <c r="BG18" s="1652"/>
      <c r="BH18" s="1652"/>
      <c r="BI18" s="1652"/>
      <c r="BJ18" s="1646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647"/>
      <c r="CQ18" s="1647"/>
      <c r="CR18" s="1647"/>
      <c r="CS18" s="1647"/>
      <c r="CT18" s="1648"/>
      <c r="CU18" s="1649"/>
      <c r="CV18" s="1650"/>
      <c r="CW18" s="1651"/>
      <c r="CX18" s="1651"/>
      <c r="CY18" s="1651"/>
      <c r="CZ18" s="1651"/>
      <c r="DA18" s="1651"/>
      <c r="DB18" s="1651"/>
      <c r="DC18" s="1651"/>
      <c r="DD18" s="1651"/>
      <c r="DE18" s="1651"/>
      <c r="DF18" s="1651"/>
    </row>
    <row r="19" spans="1:110" s="20" customFormat="1" ht="24.75" customHeight="1" x14ac:dyDescent="0.2">
      <c r="A19" s="1730" t="s">
        <v>8</v>
      </c>
      <c r="B19" s="1731"/>
      <c r="C19" s="124" t="s">
        <v>146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24"/>
      <c r="T19" s="239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7"/>
      <c r="AF19" s="23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8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406">
        <f>BF11+BF12+BF14</f>
        <v>1091225</v>
      </c>
      <c r="BE19" s="136"/>
      <c r="BF19" s="138"/>
      <c r="BG19" s="1282"/>
      <c r="BH19" s="1281"/>
      <c r="BI19" s="139"/>
      <c r="BJ19" s="23"/>
      <c r="BK19" s="169"/>
      <c r="BL19" s="136"/>
      <c r="BM19" s="406">
        <f>SUM(BM11:BM14)</f>
        <v>148775</v>
      </c>
      <c r="BN19" s="136"/>
      <c r="BO19" s="136"/>
      <c r="BP19" s="137"/>
      <c r="BQ19" s="136"/>
      <c r="BR19" s="136"/>
      <c r="BS19" s="136"/>
      <c r="BT19" s="136"/>
      <c r="BU19" s="136"/>
      <c r="BV19" s="138"/>
      <c r="BW19" s="138"/>
      <c r="BX19" s="138"/>
      <c r="BY19" s="135"/>
      <c r="BZ19" s="139"/>
      <c r="CA19" s="138"/>
      <c r="CB19" s="138"/>
      <c r="CC19" s="24"/>
      <c r="CD19" s="24"/>
      <c r="CE19" s="24"/>
      <c r="CF19" s="24"/>
      <c r="CG19" s="24"/>
      <c r="CH19" s="140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</row>
    <row r="20" spans="1:110" s="8" customFormat="1" ht="48.75" customHeight="1" x14ac:dyDescent="0.2">
      <c r="A20" s="1703" t="s">
        <v>10</v>
      </c>
      <c r="B20" s="1787" t="s">
        <v>11</v>
      </c>
      <c r="C20" s="1706" t="s">
        <v>22</v>
      </c>
      <c r="D20" s="1721" t="s">
        <v>12</v>
      </c>
      <c r="E20" s="1721"/>
      <c r="F20" s="1721"/>
      <c r="G20" s="1721"/>
      <c r="H20" s="1721"/>
      <c r="I20" s="1721"/>
      <c r="J20" s="1721"/>
      <c r="K20" s="1721"/>
      <c r="L20" s="1721"/>
      <c r="M20" s="1721"/>
      <c r="N20" s="1721"/>
      <c r="O20" s="1721"/>
      <c r="P20" s="1721"/>
      <c r="Q20" s="1721"/>
      <c r="R20" s="1706" t="s">
        <v>20</v>
      </c>
      <c r="S20" s="1717" t="s">
        <v>17</v>
      </c>
      <c r="T20" s="1718"/>
      <c r="U20" s="1718"/>
      <c r="V20" s="1718"/>
      <c r="W20" s="1718"/>
      <c r="X20" s="1718"/>
      <c r="Y20" s="1718"/>
      <c r="Z20" s="1718"/>
      <c r="AA20" s="1718"/>
      <c r="AB20" s="1718"/>
      <c r="AC20" s="1718"/>
      <c r="AD20" s="1718"/>
      <c r="AE20" s="1719"/>
      <c r="AF20" s="1720" t="s">
        <v>6</v>
      </c>
      <c r="AG20" s="1720"/>
      <c r="AH20" s="1720"/>
      <c r="AI20" s="1720"/>
      <c r="AJ20" s="1720"/>
      <c r="AK20" s="1720"/>
      <c r="AL20" s="1720"/>
      <c r="AM20" s="1720"/>
      <c r="AN20" s="1720"/>
      <c r="AO20" s="1720"/>
      <c r="AP20" s="1720"/>
      <c r="AQ20" s="1720"/>
      <c r="AR20" s="1720"/>
      <c r="AS20" s="1720"/>
      <c r="AT20" s="1722" t="s">
        <v>41</v>
      </c>
      <c r="AU20" s="1723"/>
      <c r="AV20" s="1723"/>
      <c r="AW20" s="1723"/>
      <c r="AX20" s="1723"/>
      <c r="AY20" s="1723"/>
      <c r="AZ20" s="1723"/>
      <c r="BA20" s="1723"/>
      <c r="BB20" s="1723"/>
      <c r="BC20" s="1723"/>
      <c r="BD20" s="1723"/>
      <c r="BE20" s="1723"/>
      <c r="BF20" s="1724"/>
      <c r="BG20" s="1706" t="s">
        <v>38</v>
      </c>
      <c r="BH20" s="1706" t="s">
        <v>256</v>
      </c>
      <c r="BI20" s="1709" t="s">
        <v>39</v>
      </c>
      <c r="BJ20" s="1284">
        <f>SUM(BH15-BH16)</f>
        <v>0</v>
      </c>
      <c r="BK20" s="135"/>
      <c r="BL20" s="1282">
        <f>SUM(BI10-BM20)</f>
        <v>-140775</v>
      </c>
      <c r="BM20" s="1283">
        <f>SUM(BM19+BG19)</f>
        <v>148775</v>
      </c>
      <c r="BN20" s="135"/>
      <c r="BO20" s="1733" t="s">
        <v>41</v>
      </c>
      <c r="BP20" s="1734"/>
      <c r="BQ20" s="1734"/>
      <c r="BR20" s="1734"/>
      <c r="BS20" s="1734"/>
      <c r="BT20" s="1734"/>
      <c r="BU20" s="1734"/>
      <c r="BV20" s="1734"/>
      <c r="BW20" s="1734"/>
      <c r="BX20" s="1734"/>
      <c r="BY20" s="1734"/>
      <c r="BZ20" s="1734"/>
      <c r="CA20" s="1734"/>
      <c r="CB20" s="1734"/>
      <c r="CC20" s="1734"/>
      <c r="CD20" s="1734"/>
      <c r="CE20" s="1734"/>
      <c r="CF20" s="1734"/>
      <c r="CG20" s="1734"/>
      <c r="CH20" s="1734"/>
      <c r="CI20" s="1734"/>
      <c r="CJ20" s="1734"/>
      <c r="CK20" s="1734"/>
      <c r="CL20" s="1734"/>
      <c r="CM20" s="1734"/>
      <c r="CN20" s="1735"/>
    </row>
    <row r="21" spans="1:110" s="8" customFormat="1" ht="48.75" customHeight="1" x14ac:dyDescent="0.2">
      <c r="A21" s="1704"/>
      <c r="B21" s="1788"/>
      <c r="C21" s="1707"/>
      <c r="D21" s="1712" t="s">
        <v>18</v>
      </c>
      <c r="E21" s="1714" t="s">
        <v>19</v>
      </c>
      <c r="F21" s="1715"/>
      <c r="G21" s="1715"/>
      <c r="H21" s="1715"/>
      <c r="I21" s="1715"/>
      <c r="J21" s="1715"/>
      <c r="K21" s="1715"/>
      <c r="L21" s="1715"/>
      <c r="M21" s="1715"/>
      <c r="N21" s="1715"/>
      <c r="O21" s="1715"/>
      <c r="P21" s="1715"/>
      <c r="Q21" s="1715"/>
      <c r="R21" s="1707"/>
      <c r="S21" s="1728" t="s">
        <v>18</v>
      </c>
      <c r="T21" s="1714" t="s">
        <v>19</v>
      </c>
      <c r="U21" s="1715"/>
      <c r="V21" s="1715"/>
      <c r="W21" s="1715"/>
      <c r="X21" s="1715"/>
      <c r="Y21" s="1715"/>
      <c r="Z21" s="1715"/>
      <c r="AA21" s="1715"/>
      <c r="AB21" s="1715"/>
      <c r="AC21" s="1715"/>
      <c r="AD21" s="1715"/>
      <c r="AE21" s="1716"/>
      <c r="AF21" s="1712" t="s">
        <v>18</v>
      </c>
      <c r="AG21" s="1714" t="s">
        <v>19</v>
      </c>
      <c r="AH21" s="1715"/>
      <c r="AI21" s="1715"/>
      <c r="AJ21" s="1715"/>
      <c r="AK21" s="1715"/>
      <c r="AL21" s="1715"/>
      <c r="AM21" s="1715"/>
      <c r="AN21" s="1715"/>
      <c r="AO21" s="1715"/>
      <c r="AP21" s="1715"/>
      <c r="AQ21" s="1715"/>
      <c r="AR21" s="1715"/>
      <c r="AS21" s="1716"/>
      <c r="AT21" s="1725"/>
      <c r="AU21" s="1726"/>
      <c r="AV21" s="1726"/>
      <c r="AW21" s="1726"/>
      <c r="AX21" s="1726"/>
      <c r="AY21" s="1726"/>
      <c r="AZ21" s="1726"/>
      <c r="BA21" s="1726"/>
      <c r="BB21" s="1726"/>
      <c r="BC21" s="1726"/>
      <c r="BD21" s="1726"/>
      <c r="BE21" s="1726"/>
      <c r="BF21" s="1727"/>
      <c r="BG21" s="1707"/>
      <c r="BH21" s="1707"/>
      <c r="BI21" s="1710"/>
      <c r="BJ21" s="1284">
        <f>BG15-BG16</f>
        <v>0</v>
      </c>
      <c r="BK21" s="1736">
        <f>SUM(BK23/60)</f>
        <v>0</v>
      </c>
      <c r="BL21" s="1736"/>
      <c r="BM21" s="1736"/>
      <c r="BN21" s="23"/>
      <c r="BO21" s="1737" t="s">
        <v>686</v>
      </c>
      <c r="BP21" s="1738"/>
      <c r="BQ21" s="1738"/>
      <c r="BR21" s="1738"/>
      <c r="BS21" s="1738"/>
      <c r="BT21" s="1738"/>
      <c r="BU21" s="1738"/>
      <c r="BV21" s="1738"/>
      <c r="BW21" s="1738"/>
      <c r="BX21" s="1738"/>
      <c r="BY21" s="1738"/>
      <c r="BZ21" s="1738"/>
      <c r="CA21" s="1739"/>
      <c r="CB21" s="1740" t="s">
        <v>687</v>
      </c>
      <c r="CC21" s="1741"/>
      <c r="CD21" s="1741"/>
      <c r="CE21" s="1741"/>
      <c r="CF21" s="1741"/>
      <c r="CG21" s="1741"/>
      <c r="CH21" s="1741"/>
      <c r="CI21" s="1741"/>
      <c r="CJ21" s="1741"/>
      <c r="CK21" s="1741"/>
      <c r="CL21" s="1741"/>
      <c r="CM21" s="1741"/>
      <c r="CN21" s="1742"/>
    </row>
    <row r="22" spans="1:110" s="6" customFormat="1" ht="28.5" customHeight="1" x14ac:dyDescent="0.2">
      <c r="A22" s="1705"/>
      <c r="B22" s="1789"/>
      <c r="C22" s="1708"/>
      <c r="D22" s="1713"/>
      <c r="E22" s="26">
        <v>1</v>
      </c>
      <c r="F22" s="26">
        <v>2</v>
      </c>
      <c r="G22" s="26">
        <v>3</v>
      </c>
      <c r="H22" s="26">
        <v>4</v>
      </c>
      <c r="I22" s="26">
        <v>5</v>
      </c>
      <c r="J22" s="26">
        <v>6</v>
      </c>
      <c r="K22" s="26">
        <v>7</v>
      </c>
      <c r="L22" s="26">
        <v>8</v>
      </c>
      <c r="M22" s="26">
        <v>9</v>
      </c>
      <c r="N22" s="26">
        <v>10</v>
      </c>
      <c r="O22" s="26">
        <v>11</v>
      </c>
      <c r="P22" s="26">
        <v>12</v>
      </c>
      <c r="Q22" s="26" t="s">
        <v>21</v>
      </c>
      <c r="R22" s="1708"/>
      <c r="S22" s="1729"/>
      <c r="T22" s="26">
        <v>1</v>
      </c>
      <c r="U22" s="26">
        <v>2</v>
      </c>
      <c r="V22" s="26">
        <v>3</v>
      </c>
      <c r="W22" s="26">
        <v>4</v>
      </c>
      <c r="X22" s="26">
        <v>5</v>
      </c>
      <c r="Y22" s="26">
        <v>6</v>
      </c>
      <c r="Z22" s="26">
        <v>7</v>
      </c>
      <c r="AA22" s="26">
        <v>8</v>
      </c>
      <c r="AB22" s="26">
        <v>9</v>
      </c>
      <c r="AC22" s="26">
        <v>10</v>
      </c>
      <c r="AD22" s="26">
        <v>11</v>
      </c>
      <c r="AE22" s="26">
        <v>12</v>
      </c>
      <c r="AF22" s="1713"/>
      <c r="AG22" s="26">
        <v>1</v>
      </c>
      <c r="AH22" s="26">
        <v>2</v>
      </c>
      <c r="AI22" s="26">
        <v>3</v>
      </c>
      <c r="AJ22" s="26">
        <v>4</v>
      </c>
      <c r="AK22" s="26">
        <v>5</v>
      </c>
      <c r="AL22" s="26">
        <v>6</v>
      </c>
      <c r="AM22" s="26">
        <v>7</v>
      </c>
      <c r="AN22" s="26">
        <v>8</v>
      </c>
      <c r="AO22" s="26">
        <v>9</v>
      </c>
      <c r="AP22" s="26">
        <v>10</v>
      </c>
      <c r="AQ22" s="26">
        <v>11</v>
      </c>
      <c r="AR22" s="26">
        <v>12</v>
      </c>
      <c r="AS22" s="26" t="s">
        <v>13</v>
      </c>
      <c r="AT22" s="173">
        <v>1</v>
      </c>
      <c r="AU22" s="173">
        <v>2</v>
      </c>
      <c r="AV22" s="173">
        <v>3</v>
      </c>
      <c r="AW22" s="173">
        <v>4</v>
      </c>
      <c r="AX22" s="173">
        <v>5</v>
      </c>
      <c r="AY22" s="173">
        <v>6</v>
      </c>
      <c r="AZ22" s="173">
        <v>7</v>
      </c>
      <c r="BA22" s="173">
        <v>8</v>
      </c>
      <c r="BB22" s="173">
        <v>9</v>
      </c>
      <c r="BC22" s="173">
        <v>10</v>
      </c>
      <c r="BD22" s="173">
        <v>11</v>
      </c>
      <c r="BE22" s="173">
        <v>12</v>
      </c>
      <c r="BF22" s="26" t="s">
        <v>13</v>
      </c>
      <c r="BG22" s="1708"/>
      <c r="BH22" s="1708"/>
      <c r="BI22" s="1711"/>
      <c r="BJ22" s="7"/>
      <c r="BK22" s="1743" t="s">
        <v>19</v>
      </c>
      <c r="BL22" s="1744"/>
      <c r="BM22" s="1745"/>
      <c r="BN22" s="621"/>
      <c r="BO22" s="173">
        <v>1</v>
      </c>
      <c r="BP22" s="173">
        <v>2</v>
      </c>
      <c r="BQ22" s="173">
        <v>3</v>
      </c>
      <c r="BR22" s="173">
        <v>4</v>
      </c>
      <c r="BS22" s="173">
        <v>5</v>
      </c>
      <c r="BT22" s="173">
        <v>6</v>
      </c>
      <c r="BU22" s="173">
        <v>7</v>
      </c>
      <c r="BV22" s="173">
        <v>8</v>
      </c>
      <c r="BW22" s="173">
        <v>9</v>
      </c>
      <c r="BX22" s="173">
        <v>10</v>
      </c>
      <c r="BY22" s="173">
        <v>11</v>
      </c>
      <c r="BZ22" s="173">
        <v>12</v>
      </c>
      <c r="CA22" s="26" t="s">
        <v>13</v>
      </c>
      <c r="CB22" s="173">
        <v>1</v>
      </c>
      <c r="CC22" s="173">
        <v>2</v>
      </c>
      <c r="CD22" s="173">
        <v>3</v>
      </c>
      <c r="CE22" s="173">
        <v>4</v>
      </c>
      <c r="CF22" s="173">
        <v>5</v>
      </c>
      <c r="CG22" s="173">
        <v>6</v>
      </c>
      <c r="CH22" s="173">
        <v>7</v>
      </c>
      <c r="CI22" s="173">
        <v>8</v>
      </c>
      <c r="CJ22" s="173">
        <v>9</v>
      </c>
      <c r="CK22" s="173">
        <v>10</v>
      </c>
      <c r="CL22" s="173">
        <v>11</v>
      </c>
      <c r="CM22" s="173">
        <v>12</v>
      </c>
      <c r="CN22" s="26" t="s">
        <v>13</v>
      </c>
    </row>
    <row r="23" spans="1:110" s="92" customFormat="1" ht="24.75" customHeight="1" thickBot="1" x14ac:dyDescent="0.25">
      <c r="A23" s="85"/>
      <c r="B23" s="1387" t="s">
        <v>592</v>
      </c>
      <c r="C23" s="86" t="s">
        <v>128</v>
      </c>
      <c r="D23" s="1060">
        <f>35*12</f>
        <v>420</v>
      </c>
      <c r="E23" s="1218">
        <v>105</v>
      </c>
      <c r="F23" s="87">
        <v>35</v>
      </c>
      <c r="G23" s="88">
        <v>35</v>
      </c>
      <c r="H23" s="88">
        <v>35</v>
      </c>
      <c r="I23" s="88">
        <v>35</v>
      </c>
      <c r="J23" s="88">
        <v>35</v>
      </c>
      <c r="K23" s="1200">
        <v>35</v>
      </c>
      <c r="L23" s="1324">
        <v>35</v>
      </c>
      <c r="M23" s="1324">
        <v>35</v>
      </c>
      <c r="N23" s="1324">
        <v>35</v>
      </c>
      <c r="O23" s="88"/>
      <c r="P23" s="88"/>
      <c r="Q23" s="89">
        <f>SUM(E23:P23)</f>
        <v>420</v>
      </c>
      <c r="R23" s="183" t="s">
        <v>75</v>
      </c>
      <c r="S23" s="1061">
        <v>300000</v>
      </c>
      <c r="T23" s="1061">
        <v>300000</v>
      </c>
      <c r="U23" s="1061">
        <v>300000</v>
      </c>
      <c r="V23" s="1061">
        <v>300000</v>
      </c>
      <c r="W23" s="1061">
        <v>300000</v>
      </c>
      <c r="X23" s="1061">
        <v>300000</v>
      </c>
      <c r="Y23" s="427">
        <v>300000</v>
      </c>
      <c r="Z23" s="1215">
        <v>300000</v>
      </c>
      <c r="AA23" s="427">
        <v>300000</v>
      </c>
      <c r="AB23" s="1325">
        <v>300000</v>
      </c>
      <c r="AC23" s="427">
        <v>300000</v>
      </c>
      <c r="AD23" s="427"/>
      <c r="AE23" s="427"/>
      <c r="AF23" s="69">
        <f t="shared" ref="AF23" si="121">SUM(Q23*S23)</f>
        <v>126000000</v>
      </c>
      <c r="AG23" s="862">
        <f>T23*E23</f>
        <v>31500000</v>
      </c>
      <c r="AH23" s="862">
        <f>U23*F23</f>
        <v>10500000</v>
      </c>
      <c r="AI23" s="862">
        <f>V23*G23</f>
        <v>10500000</v>
      </c>
      <c r="AJ23" s="862">
        <f t="shared" ref="AJ23:AR23" si="122">W23*H23</f>
        <v>10500000</v>
      </c>
      <c r="AK23" s="862">
        <v>10500000</v>
      </c>
      <c r="AL23" s="862">
        <f t="shared" si="122"/>
        <v>10500000</v>
      </c>
      <c r="AM23" s="1202">
        <f t="shared" si="122"/>
        <v>10500000</v>
      </c>
      <c r="AN23" s="1129">
        <f t="shared" si="122"/>
        <v>10500000</v>
      </c>
      <c r="AO23" s="1128">
        <v>10500000</v>
      </c>
      <c r="AP23" s="862">
        <f t="shared" si="122"/>
        <v>10500000</v>
      </c>
      <c r="AQ23" s="862">
        <f t="shared" si="122"/>
        <v>0</v>
      </c>
      <c r="AR23" s="862">
        <f t="shared" si="122"/>
        <v>0</v>
      </c>
      <c r="AS23" s="863">
        <f t="shared" ref="AS23" si="123">SUM(AG23:AR23)</f>
        <v>126000000</v>
      </c>
      <c r="AT23" s="862"/>
      <c r="AU23" s="862"/>
      <c r="AV23" s="862"/>
      <c r="AW23" s="862"/>
      <c r="AX23" s="862"/>
      <c r="AY23" s="862"/>
      <c r="AZ23" s="862"/>
      <c r="BA23" s="862"/>
      <c r="BB23" s="862"/>
      <c r="BC23" s="862"/>
      <c r="BD23" s="862"/>
      <c r="BE23" s="862"/>
      <c r="BF23" s="73">
        <f>SUM(AT23:BE23)</f>
        <v>0</v>
      </c>
      <c r="BG23" s="98">
        <f>AF23-AS23-BF23</f>
        <v>0</v>
      </c>
      <c r="BH23" s="99">
        <f>S23*D23</f>
        <v>126000000</v>
      </c>
      <c r="BI23" s="100">
        <f>BH23-AS23-BF23</f>
        <v>0</v>
      </c>
      <c r="BJ23" s="163">
        <f>SUM(Q23/D23)</f>
        <v>1</v>
      </c>
      <c r="BK23" s="1081"/>
      <c r="BL23" s="1081"/>
      <c r="BM23" s="1083"/>
      <c r="BN23" s="1084"/>
      <c r="BO23" s="862"/>
      <c r="BP23" s="862"/>
      <c r="BQ23" s="862"/>
      <c r="BR23" s="862"/>
      <c r="BS23" s="862"/>
      <c r="BT23" s="862"/>
      <c r="BU23" s="862"/>
      <c r="BV23" s="862"/>
      <c r="BW23" s="1081"/>
      <c r="BX23" s="862"/>
      <c r="BY23" s="862"/>
      <c r="BZ23" s="862"/>
      <c r="CA23" s="73"/>
      <c r="CB23" s="862"/>
      <c r="CC23" s="862"/>
      <c r="CD23" s="862"/>
      <c r="CE23" s="862"/>
      <c r="CF23" s="862"/>
      <c r="CG23" s="862"/>
      <c r="CH23" s="862"/>
      <c r="CI23" s="862"/>
      <c r="CJ23" s="1081"/>
      <c r="CK23" s="862"/>
      <c r="CL23" s="862"/>
      <c r="CM23" s="862"/>
      <c r="CN23" s="73">
        <f t="shared" ref="CN23:CN24" si="124">SUM(CB23:CM23)</f>
        <v>0</v>
      </c>
    </row>
    <row r="24" spans="1:110" s="38" customFormat="1" ht="24.75" customHeight="1" thickBot="1" x14ac:dyDescent="0.25">
      <c r="A24" s="577">
        <v>2</v>
      </c>
      <c r="B24" s="1386" t="s">
        <v>4</v>
      </c>
      <c r="C24" s="44"/>
      <c r="D24" s="97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7"/>
      <c r="R24" s="77"/>
      <c r="S24" s="234"/>
      <c r="T24" s="235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3">
        <f>SUM(AF23:AF23)</f>
        <v>126000000</v>
      </c>
      <c r="AG24" s="1590">
        <f>SUM(AG23:AG23)</f>
        <v>31500000</v>
      </c>
      <c r="AH24" s="1590">
        <f>SUM(AH23:AH23)</f>
        <v>10500000</v>
      </c>
      <c r="AI24" s="1590">
        <f>SUM(AI23:AI23)</f>
        <v>10500000</v>
      </c>
      <c r="AJ24" s="1590">
        <f t="shared" ref="AJ24:AR24" si="125">SUM(AJ23:AJ23)</f>
        <v>10500000</v>
      </c>
      <c r="AK24" s="1590">
        <f t="shared" si="125"/>
        <v>10500000</v>
      </c>
      <c r="AL24" s="1590">
        <f t="shared" si="125"/>
        <v>10500000</v>
      </c>
      <c r="AM24" s="1590">
        <f t="shared" si="125"/>
        <v>10500000</v>
      </c>
      <c r="AN24" s="1590">
        <f t="shared" si="125"/>
        <v>10500000</v>
      </c>
      <c r="AO24" s="1590">
        <f t="shared" si="125"/>
        <v>10500000</v>
      </c>
      <c r="AP24" s="1590">
        <f t="shared" si="125"/>
        <v>10500000</v>
      </c>
      <c r="AQ24" s="103">
        <f t="shared" si="125"/>
        <v>0</v>
      </c>
      <c r="AR24" s="103">
        <f t="shared" si="125"/>
        <v>0</v>
      </c>
      <c r="AS24" s="103">
        <f>SUM(AS23:AS23)</f>
        <v>126000000</v>
      </c>
      <c r="AT24" s="103">
        <f>SUM(AT23:AT23)</f>
        <v>0</v>
      </c>
      <c r="AU24" s="103">
        <f>SUM(AU23:AU23)</f>
        <v>0</v>
      </c>
      <c r="AV24" s="103">
        <f>SUM(AV23:AV23)</f>
        <v>0</v>
      </c>
      <c r="AW24" s="103"/>
      <c r="AX24" s="103"/>
      <c r="AY24" s="103"/>
      <c r="AZ24" s="103"/>
      <c r="BA24" s="103"/>
      <c r="BB24" s="103"/>
      <c r="BC24" s="103"/>
      <c r="BD24" s="103"/>
      <c r="BE24" s="103"/>
      <c r="BF24" s="103">
        <f>SUM(BF23:BF23)</f>
        <v>0</v>
      </c>
      <c r="BG24" s="104">
        <f>AF24-AS24-BF24</f>
        <v>0</v>
      </c>
      <c r="BH24" s="103">
        <f>SUM(BH23:BH23)</f>
        <v>126000000</v>
      </c>
      <c r="BI24" s="103">
        <f>SUM(BI23:BI23)</f>
        <v>0</v>
      </c>
      <c r="BJ24" s="164">
        <f>SUM(BJ23)</f>
        <v>1</v>
      </c>
      <c r="BK24" s="1081"/>
      <c r="BL24" s="1081">
        <v>0</v>
      </c>
      <c r="BM24" s="1083">
        <f t="shared" ref="BM24" si="126">SUM(BK24-BL24)</f>
        <v>0</v>
      </c>
      <c r="BN24" s="1084"/>
      <c r="BO24" s="862"/>
      <c r="BP24" s="862"/>
      <c r="BQ24" s="862"/>
      <c r="BR24" s="862"/>
      <c r="BS24" s="862"/>
      <c r="BT24" s="862"/>
      <c r="BU24" s="862"/>
      <c r="BV24" s="862"/>
      <c r="BW24" s="1081"/>
      <c r="BX24" s="862"/>
      <c r="BY24" s="862"/>
      <c r="BZ24" s="862"/>
      <c r="CA24" s="73"/>
      <c r="CB24" s="862"/>
      <c r="CC24" s="862"/>
      <c r="CD24" s="862"/>
      <c r="CE24" s="862"/>
      <c r="CF24" s="862"/>
      <c r="CG24" s="862"/>
      <c r="CH24" s="862"/>
      <c r="CI24" s="862"/>
      <c r="CJ24" s="1081"/>
      <c r="CK24" s="862"/>
      <c r="CL24" s="862"/>
      <c r="CM24" s="862"/>
      <c r="CN24" s="73">
        <f t="shared" si="124"/>
        <v>0</v>
      </c>
    </row>
    <row r="25" spans="1:110" s="20" customFormat="1" ht="24.75" customHeight="1" x14ac:dyDescent="0.2">
      <c r="A25" s="50"/>
      <c r="B25" s="1274"/>
      <c r="D25" s="50"/>
      <c r="E25" s="842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236"/>
      <c r="T25" s="236"/>
      <c r="AE25" s="40"/>
      <c r="AS25" s="51"/>
      <c r="BF25" s="52">
        <f>SUM(AS24+BF24)</f>
        <v>126000000</v>
      </c>
      <c r="BG25" s="53">
        <f>AF24-AS24-BF24</f>
        <v>0</v>
      </c>
      <c r="BH25" s="54">
        <f>SUM(BI24+AS24+BF24)</f>
        <v>126000000</v>
      </c>
      <c r="BI25" s="55">
        <f>SUM(BG24)</f>
        <v>0</v>
      </c>
      <c r="BJ25" s="40" t="s">
        <v>38</v>
      </c>
      <c r="BK25" s="171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</row>
    <row r="26" spans="1:110" s="20" customFormat="1" ht="24.75" customHeight="1" x14ac:dyDescent="0.2">
      <c r="A26" s="50"/>
      <c r="B26" s="1274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236"/>
      <c r="T26" s="236"/>
      <c r="AE26" s="40"/>
      <c r="AS26" s="40"/>
      <c r="AT26" s="123">
        <f>SUM(AG24+AT24)</f>
        <v>31500000</v>
      </c>
      <c r="AU26" s="123">
        <f t="shared" ref="AU26:BE26" si="127">SUM(AH24+AU24)</f>
        <v>10500000</v>
      </c>
      <c r="AV26" s="123">
        <f t="shared" si="127"/>
        <v>10500000</v>
      </c>
      <c r="AW26" s="123">
        <f t="shared" si="127"/>
        <v>10500000</v>
      </c>
      <c r="AX26" s="972">
        <f t="shared" si="127"/>
        <v>10500000</v>
      </c>
      <c r="AY26" s="123">
        <f t="shared" si="127"/>
        <v>10500000</v>
      </c>
      <c r="AZ26" s="123">
        <f t="shared" si="127"/>
        <v>10500000</v>
      </c>
      <c r="BA26" s="123">
        <f t="shared" si="127"/>
        <v>10500000</v>
      </c>
      <c r="BB26" s="123">
        <f t="shared" si="127"/>
        <v>10500000</v>
      </c>
      <c r="BC26" s="123">
        <f t="shared" si="127"/>
        <v>10500000</v>
      </c>
      <c r="BD26" s="123">
        <f t="shared" si="127"/>
        <v>0</v>
      </c>
      <c r="BE26" s="123">
        <f t="shared" si="127"/>
        <v>0</v>
      </c>
      <c r="BF26" s="123">
        <f>SUM(AT26:BE26)</f>
        <v>126000000</v>
      </c>
      <c r="BG26" s="40"/>
      <c r="BH26" s="56"/>
      <c r="BI26" s="57">
        <f>SUM(BI24-BI25)</f>
        <v>0</v>
      </c>
      <c r="BJ26" s="40" t="s">
        <v>37</v>
      </c>
      <c r="BK26" s="171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</row>
    <row r="27" spans="1:110" s="114" customFormat="1" ht="24.75" customHeight="1" x14ac:dyDescent="0.2">
      <c r="A27" s="1699" t="s">
        <v>8</v>
      </c>
      <c r="B27" s="1700"/>
      <c r="C27" s="106" t="s">
        <v>395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23"/>
      <c r="S27" s="224"/>
      <c r="T27" s="237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9"/>
      <c r="AF27" s="107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10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10"/>
      <c r="BG27" s="110"/>
      <c r="BH27" s="105"/>
      <c r="BI27" s="111"/>
      <c r="BJ27" s="107"/>
      <c r="BK27" s="168"/>
      <c r="BL27" s="108"/>
      <c r="BM27" s="108"/>
      <c r="BN27" s="108"/>
      <c r="BO27" s="108"/>
      <c r="BP27" s="109"/>
      <c r="BQ27" s="108"/>
      <c r="BR27" s="108"/>
      <c r="BS27" s="108"/>
      <c r="BT27" s="108"/>
      <c r="BU27" s="108"/>
      <c r="BV27" s="110"/>
      <c r="BW27" s="110"/>
      <c r="BX27" s="110"/>
      <c r="BY27" s="105"/>
      <c r="BZ27" s="111"/>
      <c r="CA27" s="110"/>
      <c r="CB27" s="110"/>
      <c r="CC27" s="112"/>
      <c r="CD27" s="112"/>
      <c r="CE27" s="112"/>
      <c r="CF27" s="112"/>
      <c r="CG27" s="112"/>
      <c r="CH27" s="113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</row>
    <row r="28" spans="1:110" s="8" customFormat="1" ht="48.75" customHeight="1" x14ac:dyDescent="0.2">
      <c r="A28" s="1703" t="s">
        <v>10</v>
      </c>
      <c r="B28" s="1787" t="s">
        <v>11</v>
      </c>
      <c r="C28" s="1706" t="s">
        <v>22</v>
      </c>
      <c r="D28" s="1721" t="s">
        <v>12</v>
      </c>
      <c r="E28" s="1721"/>
      <c r="F28" s="1721"/>
      <c r="G28" s="1721"/>
      <c r="H28" s="1721"/>
      <c r="I28" s="1721"/>
      <c r="J28" s="1721"/>
      <c r="K28" s="1721"/>
      <c r="L28" s="1721"/>
      <c r="M28" s="1721"/>
      <c r="N28" s="1721"/>
      <c r="O28" s="1721"/>
      <c r="P28" s="1721"/>
      <c r="Q28" s="1721"/>
      <c r="R28" s="1706" t="s">
        <v>20</v>
      </c>
      <c r="S28" s="1717" t="s">
        <v>17</v>
      </c>
      <c r="T28" s="1718"/>
      <c r="U28" s="1718"/>
      <c r="V28" s="1718"/>
      <c r="W28" s="1718"/>
      <c r="X28" s="1718"/>
      <c r="Y28" s="1718"/>
      <c r="Z28" s="1718"/>
      <c r="AA28" s="1718"/>
      <c r="AB28" s="1718"/>
      <c r="AC28" s="1718"/>
      <c r="AD28" s="1718"/>
      <c r="AE28" s="1719"/>
      <c r="AF28" s="1720" t="s">
        <v>6</v>
      </c>
      <c r="AG28" s="1720"/>
      <c r="AH28" s="1720"/>
      <c r="AI28" s="1720"/>
      <c r="AJ28" s="1720"/>
      <c r="AK28" s="1720"/>
      <c r="AL28" s="1720"/>
      <c r="AM28" s="1720"/>
      <c r="AN28" s="1720"/>
      <c r="AO28" s="1720"/>
      <c r="AP28" s="1720"/>
      <c r="AQ28" s="1720"/>
      <c r="AR28" s="1720"/>
      <c r="AS28" s="1720"/>
      <c r="AT28" s="1722" t="s">
        <v>41</v>
      </c>
      <c r="AU28" s="1723"/>
      <c r="AV28" s="1723"/>
      <c r="AW28" s="1723"/>
      <c r="AX28" s="1723"/>
      <c r="AY28" s="1723"/>
      <c r="AZ28" s="1723"/>
      <c r="BA28" s="1723"/>
      <c r="BB28" s="1723"/>
      <c r="BC28" s="1723"/>
      <c r="BD28" s="1723"/>
      <c r="BE28" s="1723"/>
      <c r="BF28" s="1724"/>
      <c r="BG28" s="1706" t="s">
        <v>38</v>
      </c>
      <c r="BH28" s="1706" t="s">
        <v>256</v>
      </c>
      <c r="BI28" s="1709" t="s">
        <v>39</v>
      </c>
      <c r="BJ28" s="135"/>
      <c r="BK28" s="135"/>
      <c r="BL28" s="135"/>
      <c r="BM28" s="135"/>
      <c r="BN28" s="135"/>
      <c r="BO28" s="1733" t="s">
        <v>41</v>
      </c>
      <c r="BP28" s="1734"/>
      <c r="BQ28" s="1734"/>
      <c r="BR28" s="1734"/>
      <c r="BS28" s="1734"/>
      <c r="BT28" s="1734"/>
      <c r="BU28" s="1734"/>
      <c r="BV28" s="1734"/>
      <c r="BW28" s="1734"/>
      <c r="BX28" s="1734"/>
      <c r="BY28" s="1734"/>
      <c r="BZ28" s="1734"/>
      <c r="CA28" s="1734"/>
      <c r="CB28" s="1734"/>
      <c r="CC28" s="1734"/>
      <c r="CD28" s="1734"/>
      <c r="CE28" s="1734"/>
      <c r="CF28" s="1734"/>
      <c r="CG28" s="1734"/>
      <c r="CH28" s="1734"/>
      <c r="CI28" s="1734"/>
      <c r="CJ28" s="1734"/>
      <c r="CK28" s="1734"/>
      <c r="CL28" s="1734"/>
      <c r="CM28" s="1734"/>
      <c r="CN28" s="1735"/>
    </row>
    <row r="29" spans="1:110" s="8" customFormat="1" ht="48.75" customHeight="1" x14ac:dyDescent="0.2">
      <c r="A29" s="1704"/>
      <c r="B29" s="1788"/>
      <c r="C29" s="1707"/>
      <c r="D29" s="1712" t="s">
        <v>18</v>
      </c>
      <c r="E29" s="1714" t="s">
        <v>19</v>
      </c>
      <c r="F29" s="1715"/>
      <c r="G29" s="1715"/>
      <c r="H29" s="1715"/>
      <c r="I29" s="1715"/>
      <c r="J29" s="1715"/>
      <c r="K29" s="1715"/>
      <c r="L29" s="1715"/>
      <c r="M29" s="1715"/>
      <c r="N29" s="1715"/>
      <c r="O29" s="1715"/>
      <c r="P29" s="1715"/>
      <c r="Q29" s="1715"/>
      <c r="R29" s="1707"/>
      <c r="S29" s="1728" t="s">
        <v>18</v>
      </c>
      <c r="T29" s="1714" t="s">
        <v>19</v>
      </c>
      <c r="U29" s="1715"/>
      <c r="V29" s="1715"/>
      <c r="W29" s="1715"/>
      <c r="X29" s="1715"/>
      <c r="Y29" s="1715"/>
      <c r="Z29" s="1715"/>
      <c r="AA29" s="1715"/>
      <c r="AB29" s="1715"/>
      <c r="AC29" s="1715"/>
      <c r="AD29" s="1715"/>
      <c r="AE29" s="1716"/>
      <c r="AF29" s="1712" t="s">
        <v>18</v>
      </c>
      <c r="AG29" s="1714" t="s">
        <v>19</v>
      </c>
      <c r="AH29" s="1715"/>
      <c r="AI29" s="1715"/>
      <c r="AJ29" s="1715"/>
      <c r="AK29" s="1715"/>
      <c r="AL29" s="1715"/>
      <c r="AM29" s="1715"/>
      <c r="AN29" s="1715"/>
      <c r="AO29" s="1715"/>
      <c r="AP29" s="1715"/>
      <c r="AQ29" s="1715"/>
      <c r="AR29" s="1715"/>
      <c r="AS29" s="1716"/>
      <c r="AT29" s="1725"/>
      <c r="AU29" s="1726"/>
      <c r="AV29" s="1726"/>
      <c r="AW29" s="1726"/>
      <c r="AX29" s="1726"/>
      <c r="AY29" s="1726"/>
      <c r="AZ29" s="1726"/>
      <c r="BA29" s="1726"/>
      <c r="BB29" s="1726"/>
      <c r="BC29" s="1726"/>
      <c r="BD29" s="1726"/>
      <c r="BE29" s="1726"/>
      <c r="BF29" s="1727"/>
      <c r="BG29" s="1707"/>
      <c r="BH29" s="1707"/>
      <c r="BI29" s="1710"/>
      <c r="BJ29" s="135"/>
      <c r="BK29" s="1736">
        <f>SUM(BK31/60)</f>
        <v>0</v>
      </c>
      <c r="BL29" s="1736"/>
      <c r="BM29" s="1736"/>
      <c r="BN29" s="23"/>
      <c r="BO29" s="1737" t="s">
        <v>686</v>
      </c>
      <c r="BP29" s="1738"/>
      <c r="BQ29" s="1738"/>
      <c r="BR29" s="1738"/>
      <c r="BS29" s="1738"/>
      <c r="BT29" s="1738"/>
      <c r="BU29" s="1738"/>
      <c r="BV29" s="1738"/>
      <c r="BW29" s="1738"/>
      <c r="BX29" s="1738"/>
      <c r="BY29" s="1738"/>
      <c r="BZ29" s="1738"/>
      <c r="CA29" s="1739"/>
      <c r="CB29" s="1740" t="s">
        <v>687</v>
      </c>
      <c r="CC29" s="1741"/>
      <c r="CD29" s="1741"/>
      <c r="CE29" s="1741"/>
      <c r="CF29" s="1741"/>
      <c r="CG29" s="1741"/>
      <c r="CH29" s="1741"/>
      <c r="CI29" s="1741"/>
      <c r="CJ29" s="1741"/>
      <c r="CK29" s="1741"/>
      <c r="CL29" s="1741"/>
      <c r="CM29" s="1741"/>
      <c r="CN29" s="1742"/>
    </row>
    <row r="30" spans="1:110" s="6" customFormat="1" ht="28.5" customHeight="1" x14ac:dyDescent="0.2">
      <c r="A30" s="1705"/>
      <c r="B30" s="1789"/>
      <c r="C30" s="1708"/>
      <c r="D30" s="1713"/>
      <c r="E30" s="26">
        <v>1</v>
      </c>
      <c r="F30" s="26">
        <v>2</v>
      </c>
      <c r="G30" s="26">
        <v>3</v>
      </c>
      <c r="H30" s="26">
        <v>4</v>
      </c>
      <c r="I30" s="26">
        <v>5</v>
      </c>
      <c r="J30" s="26">
        <v>6</v>
      </c>
      <c r="K30" s="26">
        <v>7</v>
      </c>
      <c r="L30" s="26">
        <v>8</v>
      </c>
      <c r="M30" s="26">
        <v>9</v>
      </c>
      <c r="N30" s="26">
        <v>10</v>
      </c>
      <c r="O30" s="26">
        <v>11</v>
      </c>
      <c r="P30" s="26">
        <v>12</v>
      </c>
      <c r="Q30" s="26" t="s">
        <v>21</v>
      </c>
      <c r="R30" s="1708"/>
      <c r="S30" s="1729"/>
      <c r="T30" s="26">
        <v>1</v>
      </c>
      <c r="U30" s="26">
        <v>2</v>
      </c>
      <c r="V30" s="26">
        <v>3</v>
      </c>
      <c r="W30" s="26">
        <v>4</v>
      </c>
      <c r="X30" s="26">
        <v>5</v>
      </c>
      <c r="Y30" s="26">
        <v>6</v>
      </c>
      <c r="Z30" s="26">
        <v>7</v>
      </c>
      <c r="AA30" s="26">
        <v>8</v>
      </c>
      <c r="AB30" s="26">
        <v>9</v>
      </c>
      <c r="AC30" s="26">
        <v>10</v>
      </c>
      <c r="AD30" s="26">
        <v>11</v>
      </c>
      <c r="AE30" s="26">
        <v>12</v>
      </c>
      <c r="AF30" s="1713"/>
      <c r="AG30" s="26">
        <v>1</v>
      </c>
      <c r="AH30" s="26">
        <v>2</v>
      </c>
      <c r="AI30" s="26">
        <v>3</v>
      </c>
      <c r="AJ30" s="26">
        <v>4</v>
      </c>
      <c r="AK30" s="26">
        <v>5</v>
      </c>
      <c r="AL30" s="26">
        <v>6</v>
      </c>
      <c r="AM30" s="26">
        <v>7</v>
      </c>
      <c r="AN30" s="26">
        <v>8</v>
      </c>
      <c r="AO30" s="26">
        <v>9</v>
      </c>
      <c r="AP30" s="26">
        <v>10</v>
      </c>
      <c r="AQ30" s="26">
        <v>11</v>
      </c>
      <c r="AR30" s="26">
        <v>12</v>
      </c>
      <c r="AS30" s="26" t="s">
        <v>13</v>
      </c>
      <c r="AT30" s="173">
        <v>1</v>
      </c>
      <c r="AU30" s="173">
        <v>2</v>
      </c>
      <c r="AV30" s="173">
        <v>3</v>
      </c>
      <c r="AW30" s="173">
        <v>4</v>
      </c>
      <c r="AX30" s="173">
        <v>5</v>
      </c>
      <c r="AY30" s="173">
        <v>6</v>
      </c>
      <c r="AZ30" s="173">
        <v>7</v>
      </c>
      <c r="BA30" s="173">
        <v>8</v>
      </c>
      <c r="BB30" s="173">
        <v>9</v>
      </c>
      <c r="BC30" s="173">
        <v>10</v>
      </c>
      <c r="BD30" s="173">
        <v>11</v>
      </c>
      <c r="BE30" s="173">
        <v>12</v>
      </c>
      <c r="BF30" s="26" t="s">
        <v>13</v>
      </c>
      <c r="BG30" s="1708"/>
      <c r="BH30" s="1708"/>
      <c r="BI30" s="1711"/>
      <c r="BJ30" s="7"/>
      <c r="BK30" s="1743" t="s">
        <v>19</v>
      </c>
      <c r="BL30" s="1744"/>
      <c r="BM30" s="1745"/>
      <c r="BN30" s="621"/>
      <c r="BO30" s="173">
        <v>1</v>
      </c>
      <c r="BP30" s="173">
        <v>2</v>
      </c>
      <c r="BQ30" s="173">
        <v>3</v>
      </c>
      <c r="BR30" s="173">
        <v>4</v>
      </c>
      <c r="BS30" s="173">
        <v>5</v>
      </c>
      <c r="BT30" s="173">
        <v>6</v>
      </c>
      <c r="BU30" s="173">
        <v>7</v>
      </c>
      <c r="BV30" s="173">
        <v>8</v>
      </c>
      <c r="BW30" s="173">
        <v>9</v>
      </c>
      <c r="BX30" s="173">
        <v>10</v>
      </c>
      <c r="BY30" s="173">
        <v>11</v>
      </c>
      <c r="BZ30" s="173">
        <v>12</v>
      </c>
      <c r="CA30" s="26" t="s">
        <v>13</v>
      </c>
      <c r="CB30" s="173">
        <v>1</v>
      </c>
      <c r="CC30" s="173">
        <v>2</v>
      </c>
      <c r="CD30" s="173">
        <v>3</v>
      </c>
      <c r="CE30" s="173">
        <v>4</v>
      </c>
      <c r="CF30" s="173">
        <v>5</v>
      </c>
      <c r="CG30" s="173">
        <v>6</v>
      </c>
      <c r="CH30" s="173">
        <v>7</v>
      </c>
      <c r="CI30" s="173">
        <v>8</v>
      </c>
      <c r="CJ30" s="173">
        <v>9</v>
      </c>
      <c r="CK30" s="173">
        <v>10</v>
      </c>
      <c r="CL30" s="173">
        <v>11</v>
      </c>
      <c r="CM30" s="173">
        <v>12</v>
      </c>
      <c r="CN30" s="26" t="s">
        <v>13</v>
      </c>
    </row>
    <row r="31" spans="1:110" s="92" customFormat="1" ht="24.75" customHeight="1" x14ac:dyDescent="0.2">
      <c r="A31" s="85"/>
      <c r="B31" s="1388" t="s">
        <v>394</v>
      </c>
      <c r="C31" s="154"/>
      <c r="D31" s="973"/>
      <c r="E31" s="391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9"/>
      <c r="R31" s="377"/>
      <c r="S31" s="613"/>
      <c r="T31" s="240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69">
        <f t="shared" ref="AF31" si="128">SUM(Q31*S31)</f>
        <v>0</v>
      </c>
      <c r="AG31" s="70">
        <f t="shared" ref="AG31:AG35" si="129">T31*E31</f>
        <v>0</v>
      </c>
      <c r="AH31" s="70">
        <f t="shared" ref="AH31:AH35" si="130">U31*F31</f>
        <v>0</v>
      </c>
      <c r="AI31" s="70">
        <f t="shared" ref="AI31:AI35" si="131">V31*G31</f>
        <v>0</v>
      </c>
      <c r="AJ31" s="70">
        <f t="shared" ref="AJ31:AJ35" si="132">W31*H31</f>
        <v>0</v>
      </c>
      <c r="AK31" s="70">
        <f t="shared" ref="AK31:AK35" si="133">X31*I31</f>
        <v>0</v>
      </c>
      <c r="AL31" s="70">
        <f t="shared" ref="AL31:AL35" si="134">Y31*J31</f>
        <v>0</v>
      </c>
      <c r="AM31" s="70">
        <f t="shared" ref="AM31:AM35" si="135">Z31*K31</f>
        <v>0</v>
      </c>
      <c r="AN31" s="70">
        <f t="shared" ref="AN31:AN35" si="136">AA31*L31</f>
        <v>0</v>
      </c>
      <c r="AO31" s="70">
        <f t="shared" ref="AO31:AO35" si="137">AB31*M31</f>
        <v>0</v>
      </c>
      <c r="AP31" s="70">
        <f t="shared" ref="AP31:AP35" si="138">AC31*N31</f>
        <v>0</v>
      </c>
      <c r="AQ31" s="70">
        <f t="shared" ref="AQ31:AQ35" si="139">AD31*O31</f>
        <v>0</v>
      </c>
      <c r="AR31" s="70">
        <f t="shared" ref="AR31:AR35" si="140">AE31*P31</f>
        <v>0</v>
      </c>
      <c r="AS31" s="71">
        <f t="shared" ref="AS31:AS35" si="141">SUM(AG31:AR31)</f>
        <v>0</v>
      </c>
      <c r="AT31" s="70">
        <f t="shared" ref="AT31" si="142">SUM(AG31*14%)</f>
        <v>0</v>
      </c>
      <c r="AU31" s="70">
        <f t="shared" ref="AU31" si="143">SUM(AH31*14%)</f>
        <v>0</v>
      </c>
      <c r="AV31" s="70"/>
      <c r="AW31" s="70">
        <f t="shared" ref="AW31" si="144">SUM(AJ31*14%)</f>
        <v>0</v>
      </c>
      <c r="AX31" s="70"/>
      <c r="AY31" s="70">
        <f t="shared" ref="AY31" si="145">SUM(AL31*14%)</f>
        <v>0</v>
      </c>
      <c r="AZ31" s="70">
        <f t="shared" ref="AZ31" si="146">SUM(AM31*14%)</f>
        <v>0</v>
      </c>
      <c r="BA31" s="70">
        <f t="shared" ref="BA31" si="147">SUM(AN31*14%)</f>
        <v>0</v>
      </c>
      <c r="BB31" s="70">
        <f t="shared" ref="BB31" si="148">SUM(AO31*14%)</f>
        <v>0</v>
      </c>
      <c r="BC31" s="70">
        <f t="shared" ref="BC31" si="149">SUM(AP31*14%)</f>
        <v>0</v>
      </c>
      <c r="BD31" s="70">
        <f t="shared" ref="BD31" si="150">SUM(AQ31*14%)</f>
        <v>0</v>
      </c>
      <c r="BE31" s="70">
        <f t="shared" ref="BE31" si="151">SUM(AR31*14%)</f>
        <v>0</v>
      </c>
      <c r="BF31" s="72">
        <f t="shared" ref="BF31" si="152">SUM(AT31:BE31)</f>
        <v>0</v>
      </c>
      <c r="BG31" s="98">
        <f t="shared" ref="BG31:BG36" si="153">AF31-AS31-BF31</f>
        <v>0</v>
      </c>
      <c r="BH31" s="99">
        <f t="shared" ref="BH31" si="154">S31*D31</f>
        <v>0</v>
      </c>
      <c r="BI31" s="100">
        <f t="shared" ref="BI31:BI35" si="155">BH31-AS31-BF31</f>
        <v>0</v>
      </c>
      <c r="BJ31" s="163"/>
      <c r="BK31" s="1081"/>
      <c r="BL31" s="1081"/>
      <c r="BM31" s="1083"/>
      <c r="BN31" s="1084"/>
      <c r="BO31" s="862"/>
      <c r="BP31" s="862"/>
      <c r="BQ31" s="862"/>
      <c r="BR31" s="862"/>
      <c r="BS31" s="862"/>
      <c r="BT31" s="862"/>
      <c r="BU31" s="862"/>
      <c r="BV31" s="862"/>
      <c r="BW31" s="1081">
        <f t="shared" ref="BW31:BW32" si="156">SUM(AN31*12.5%)</f>
        <v>0</v>
      </c>
      <c r="BX31" s="862"/>
      <c r="BY31" s="862"/>
      <c r="BZ31" s="862"/>
      <c r="CA31" s="73">
        <f t="shared" ref="CA31" si="157">SUM(BO31:BZ31)</f>
        <v>0</v>
      </c>
      <c r="CB31" s="862"/>
      <c r="CC31" s="862"/>
      <c r="CD31" s="862"/>
      <c r="CE31" s="862"/>
      <c r="CF31" s="862"/>
      <c r="CG31" s="862"/>
      <c r="CH31" s="862"/>
      <c r="CI31" s="862"/>
      <c r="CJ31" s="1081"/>
      <c r="CK31" s="862"/>
      <c r="CL31" s="862"/>
      <c r="CM31" s="862"/>
      <c r="CN31" s="73">
        <f t="shared" ref="CN31:CN32" si="158">SUM(CB31:CM31)</f>
        <v>0</v>
      </c>
    </row>
    <row r="32" spans="1:110" s="92" customFormat="1" ht="32.25" customHeight="1" x14ac:dyDescent="0.2">
      <c r="A32" s="85">
        <v>1</v>
      </c>
      <c r="B32" s="1384" t="s">
        <v>399</v>
      </c>
      <c r="C32" s="153" t="s">
        <v>24</v>
      </c>
      <c r="D32" s="17">
        <v>1</v>
      </c>
      <c r="E32" s="87">
        <v>1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9">
        <f>SUM(E32:P32)</f>
        <v>1</v>
      </c>
      <c r="R32" s="377" t="s">
        <v>30</v>
      </c>
      <c r="S32" s="613">
        <v>1500000</v>
      </c>
      <c r="T32" s="238">
        <v>428500</v>
      </c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69">
        <f t="shared" ref="AF32:AF38" si="159">SUM(Q32*S32)</f>
        <v>1500000</v>
      </c>
      <c r="AG32" s="70">
        <f>T32*E32</f>
        <v>428500</v>
      </c>
      <c r="AH32" s="70">
        <f t="shared" si="130"/>
        <v>0</v>
      </c>
      <c r="AI32" s="70">
        <f t="shared" si="131"/>
        <v>0</v>
      </c>
      <c r="AJ32" s="70">
        <f t="shared" si="132"/>
        <v>0</v>
      </c>
      <c r="AK32" s="70">
        <f t="shared" si="133"/>
        <v>0</v>
      </c>
      <c r="AL32" s="70">
        <f t="shared" si="134"/>
        <v>0</v>
      </c>
      <c r="AM32" s="70">
        <f t="shared" si="135"/>
        <v>0</v>
      </c>
      <c r="AN32" s="70">
        <f t="shared" si="136"/>
        <v>0</v>
      </c>
      <c r="AO32" s="70">
        <f t="shared" si="137"/>
        <v>0</v>
      </c>
      <c r="AP32" s="70">
        <f t="shared" si="138"/>
        <v>0</v>
      </c>
      <c r="AQ32" s="70">
        <f t="shared" si="139"/>
        <v>0</v>
      </c>
      <c r="AR32" s="70">
        <f t="shared" si="140"/>
        <v>0</v>
      </c>
      <c r="AS32" s="71">
        <f t="shared" si="141"/>
        <v>428500</v>
      </c>
      <c r="AT32" s="70">
        <v>0</v>
      </c>
      <c r="AU32" s="70"/>
      <c r="AV32" s="70"/>
      <c r="AW32" s="70"/>
      <c r="AX32" s="70"/>
      <c r="AY32" s="70"/>
      <c r="AZ32" s="70"/>
      <c r="BA32" s="70"/>
      <c r="BB32" s="70">
        <f t="shared" ref="BB32" si="160">SUM(AO32*14%)</f>
        <v>0</v>
      </c>
      <c r="BC32" s="70">
        <f t="shared" ref="BC32" si="161">SUM(AP32*14%)</f>
        <v>0</v>
      </c>
      <c r="BD32" s="70">
        <f t="shared" ref="BD32" si="162">SUM(AQ32*14%)</f>
        <v>0</v>
      </c>
      <c r="BE32" s="70">
        <f t="shared" ref="BE32" si="163">SUM(AR32*14%)</f>
        <v>0</v>
      </c>
      <c r="BF32" s="72">
        <f>SUM(AT32:BE32)</f>
        <v>0</v>
      </c>
      <c r="BG32" s="98">
        <f t="shared" si="153"/>
        <v>1071500</v>
      </c>
      <c r="BH32" s="99">
        <f>S32*D32</f>
        <v>1500000</v>
      </c>
      <c r="BI32" s="100">
        <f t="shared" si="155"/>
        <v>1071500</v>
      </c>
      <c r="BJ32" s="163">
        <f>SUM(Q32/D32)</f>
        <v>1</v>
      </c>
      <c r="BK32" s="1081"/>
      <c r="BL32" s="1081"/>
      <c r="BM32" s="1083"/>
      <c r="BN32" s="1084"/>
      <c r="BO32" s="862"/>
      <c r="BP32" s="862"/>
      <c r="BQ32" s="862"/>
      <c r="BR32" s="862"/>
      <c r="BS32" s="862"/>
      <c r="BT32" s="862"/>
      <c r="BU32" s="862"/>
      <c r="BV32" s="862"/>
      <c r="BW32" s="1081">
        <f t="shared" si="156"/>
        <v>0</v>
      </c>
      <c r="BX32" s="862"/>
      <c r="BY32" s="862"/>
      <c r="BZ32" s="862"/>
      <c r="CA32" s="73">
        <f t="shared" ref="CA32" si="164">SUM(BO32:BZ32)</f>
        <v>0</v>
      </c>
      <c r="CB32" s="862"/>
      <c r="CC32" s="862"/>
      <c r="CD32" s="862"/>
      <c r="CE32" s="862"/>
      <c r="CF32" s="862"/>
      <c r="CG32" s="862"/>
      <c r="CH32" s="862"/>
      <c r="CI32" s="862"/>
      <c r="CJ32" s="1081"/>
      <c r="CK32" s="862"/>
      <c r="CL32" s="862"/>
      <c r="CM32" s="862"/>
      <c r="CN32" s="73">
        <f t="shared" si="158"/>
        <v>0</v>
      </c>
    </row>
    <row r="33" spans="1:98" s="92" customFormat="1" ht="32.25" customHeight="1" x14ac:dyDescent="0.2">
      <c r="A33" s="85">
        <v>2</v>
      </c>
      <c r="B33" s="1384" t="s">
        <v>89</v>
      </c>
      <c r="C33" s="153" t="s">
        <v>24</v>
      </c>
      <c r="D33" s="977">
        <v>50</v>
      </c>
      <c r="E33" s="87">
        <v>50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9">
        <f>SUM(E33:P33)</f>
        <v>50</v>
      </c>
      <c r="R33" s="42" t="s">
        <v>31</v>
      </c>
      <c r="S33" s="156">
        <v>10300</v>
      </c>
      <c r="T33" s="238">
        <v>9000</v>
      </c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69">
        <f t="shared" si="159"/>
        <v>515000</v>
      </c>
      <c r="AG33" s="70">
        <f t="shared" ref="AG33" si="165">T33*E33</f>
        <v>450000</v>
      </c>
      <c r="AH33" s="70">
        <f t="shared" ref="AH33" si="166">U33*F33</f>
        <v>0</v>
      </c>
      <c r="AI33" s="70">
        <f t="shared" ref="AI33" si="167">V33*G33</f>
        <v>0</v>
      </c>
      <c r="AJ33" s="70">
        <f t="shared" ref="AJ33" si="168">W33*H33</f>
        <v>0</v>
      </c>
      <c r="AK33" s="70">
        <f t="shared" ref="AK33" si="169">X33*I33</f>
        <v>0</v>
      </c>
      <c r="AL33" s="70">
        <f t="shared" ref="AL33" si="170">Y33*J33</f>
        <v>0</v>
      </c>
      <c r="AM33" s="70">
        <f t="shared" ref="AM33" si="171">Z33*K33</f>
        <v>0</v>
      </c>
      <c r="AN33" s="70">
        <f t="shared" ref="AN33" si="172">AA33*L33</f>
        <v>0</v>
      </c>
      <c r="AO33" s="70">
        <f t="shared" ref="AO33" si="173">AB33*M33</f>
        <v>0</v>
      </c>
      <c r="AP33" s="70">
        <f t="shared" ref="AP33" si="174">AC33*N33</f>
        <v>0</v>
      </c>
      <c r="AQ33" s="70">
        <f t="shared" ref="AQ33" si="175">AD33*O33</f>
        <v>0</v>
      </c>
      <c r="AR33" s="70">
        <f t="shared" ref="AR33" si="176">AE33*P33</f>
        <v>0</v>
      </c>
      <c r="AS33" s="71">
        <f t="shared" ref="AS33" si="177">SUM(AG33:AR33)</f>
        <v>450000</v>
      </c>
      <c r="AT33" s="70">
        <f>SUM(AG33*4%)</f>
        <v>18000</v>
      </c>
      <c r="AU33" s="70"/>
      <c r="AV33" s="70"/>
      <c r="AW33" s="70"/>
      <c r="AX33" s="70"/>
      <c r="AY33" s="70"/>
      <c r="AZ33" s="70"/>
      <c r="BA33" s="70"/>
      <c r="BB33" s="70">
        <f t="shared" ref="BB33" si="178">SUM(AO33*14%)</f>
        <v>0</v>
      </c>
      <c r="BC33" s="70">
        <f t="shared" ref="BC33" si="179">SUM(AP33*14%)</f>
        <v>0</v>
      </c>
      <c r="BD33" s="70">
        <f t="shared" ref="BD33" si="180">SUM(AQ33*14%)</f>
        <v>0</v>
      </c>
      <c r="BE33" s="70">
        <f t="shared" ref="BE33" si="181">SUM(AR33*14%)</f>
        <v>0</v>
      </c>
      <c r="BF33" s="72">
        <f>SUM(AT33:BE33)</f>
        <v>18000</v>
      </c>
      <c r="BG33" s="98">
        <f t="shared" si="153"/>
        <v>47000</v>
      </c>
      <c r="BH33" s="99">
        <f>S33*D33</f>
        <v>515000</v>
      </c>
      <c r="BI33" s="100">
        <f t="shared" ref="BI33" si="182">BH33-AS33-BF33</f>
        <v>47000</v>
      </c>
      <c r="BJ33" s="163">
        <f>SUM(Q33/D33)</f>
        <v>1</v>
      </c>
      <c r="BK33" s="1081"/>
      <c r="BL33" s="1081"/>
      <c r="BM33" s="1083"/>
      <c r="BN33" s="1084"/>
      <c r="BO33" s="862"/>
      <c r="BP33" s="862"/>
      <c r="BQ33" s="862"/>
      <c r="BR33" s="862"/>
      <c r="BS33" s="862"/>
      <c r="BT33" s="862"/>
      <c r="BU33" s="862"/>
      <c r="BV33" s="862"/>
      <c r="BW33" s="1081">
        <f t="shared" ref="BW33:BW39" si="183">SUM(AN33*12.5%)</f>
        <v>0</v>
      </c>
      <c r="BX33" s="862"/>
      <c r="BY33" s="862"/>
      <c r="BZ33" s="862"/>
      <c r="CA33" s="73">
        <f t="shared" ref="CA33:CA39" si="184">SUM(BO33:BZ33)</f>
        <v>0</v>
      </c>
      <c r="CB33" s="862"/>
      <c r="CC33" s="862"/>
      <c r="CD33" s="862"/>
      <c r="CE33" s="862"/>
      <c r="CF33" s="862"/>
      <c r="CG33" s="862"/>
      <c r="CH33" s="862"/>
      <c r="CI33" s="862"/>
      <c r="CJ33" s="1081"/>
      <c r="CK33" s="862"/>
      <c r="CL33" s="862"/>
      <c r="CM33" s="862"/>
      <c r="CN33" s="73">
        <f t="shared" ref="CN33:CN39" si="185">SUM(CB33:CM33)</f>
        <v>0</v>
      </c>
    </row>
    <row r="34" spans="1:98" s="92" customFormat="1" ht="32.25" customHeight="1" x14ac:dyDescent="0.2">
      <c r="A34" s="85">
        <v>3</v>
      </c>
      <c r="B34" s="1384" t="s">
        <v>396</v>
      </c>
      <c r="C34" s="153" t="s">
        <v>24</v>
      </c>
      <c r="D34" s="977">
        <v>50</v>
      </c>
      <c r="E34" s="87">
        <v>50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9">
        <f>SUM(E34:P34)</f>
        <v>50</v>
      </c>
      <c r="R34" s="42" t="s">
        <v>31</v>
      </c>
      <c r="S34" s="156">
        <v>28500</v>
      </c>
      <c r="T34" s="238">
        <v>25000</v>
      </c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69">
        <f t="shared" si="159"/>
        <v>1425000</v>
      </c>
      <c r="AG34" s="70">
        <f t="shared" si="129"/>
        <v>1250000</v>
      </c>
      <c r="AH34" s="70">
        <f t="shared" si="130"/>
        <v>0</v>
      </c>
      <c r="AI34" s="70">
        <f t="shared" si="131"/>
        <v>0</v>
      </c>
      <c r="AJ34" s="70">
        <f t="shared" si="132"/>
        <v>0</v>
      </c>
      <c r="AK34" s="70">
        <f t="shared" si="133"/>
        <v>0</v>
      </c>
      <c r="AL34" s="70">
        <f t="shared" si="134"/>
        <v>0</v>
      </c>
      <c r="AM34" s="70">
        <f t="shared" si="135"/>
        <v>0</v>
      </c>
      <c r="AN34" s="70">
        <f t="shared" si="136"/>
        <v>0</v>
      </c>
      <c r="AO34" s="70">
        <f t="shared" si="137"/>
        <v>0</v>
      </c>
      <c r="AP34" s="70">
        <f t="shared" si="138"/>
        <v>0</v>
      </c>
      <c r="AQ34" s="70">
        <f t="shared" si="139"/>
        <v>0</v>
      </c>
      <c r="AR34" s="70">
        <f t="shared" si="140"/>
        <v>0</v>
      </c>
      <c r="AS34" s="71">
        <f t="shared" si="141"/>
        <v>1250000</v>
      </c>
      <c r="AT34" s="70">
        <f>SUM(AG34*4%)</f>
        <v>50000</v>
      </c>
      <c r="AU34" s="70"/>
      <c r="AV34" s="70"/>
      <c r="AW34" s="70"/>
      <c r="AX34" s="70"/>
      <c r="AY34" s="70"/>
      <c r="AZ34" s="70"/>
      <c r="BA34" s="70"/>
      <c r="BB34" s="70">
        <f t="shared" ref="BB34:BB35" si="186">SUM(AO34*14%)</f>
        <v>0</v>
      </c>
      <c r="BC34" s="70">
        <f t="shared" ref="BC34:BC35" si="187">SUM(AP34*14%)</f>
        <v>0</v>
      </c>
      <c r="BD34" s="70">
        <f t="shared" ref="BD34:BD35" si="188">SUM(AQ34*14%)</f>
        <v>0</v>
      </c>
      <c r="BE34" s="70">
        <f t="shared" ref="BE34:BE35" si="189">SUM(AR34*14%)</f>
        <v>0</v>
      </c>
      <c r="BF34" s="72">
        <f>SUM(AT34:BE34)</f>
        <v>50000</v>
      </c>
      <c r="BG34" s="98">
        <f t="shared" si="153"/>
        <v>125000</v>
      </c>
      <c r="BH34" s="99">
        <f>S34*D34</f>
        <v>1425000</v>
      </c>
      <c r="BI34" s="100">
        <f t="shared" si="155"/>
        <v>125000</v>
      </c>
      <c r="BJ34" s="163">
        <f>SUM(Q34/D34)</f>
        <v>1</v>
      </c>
      <c r="BK34" s="1081"/>
      <c r="BL34" s="1081"/>
      <c r="BM34" s="1083"/>
      <c r="BN34" s="1084"/>
      <c r="BO34" s="862"/>
      <c r="BP34" s="862"/>
      <c r="BQ34" s="862"/>
      <c r="BR34" s="862"/>
      <c r="BS34" s="862"/>
      <c r="BT34" s="862"/>
      <c r="BU34" s="862"/>
      <c r="BV34" s="862"/>
      <c r="BW34" s="1081">
        <f t="shared" si="183"/>
        <v>0</v>
      </c>
      <c r="BX34" s="862"/>
      <c r="BY34" s="862"/>
      <c r="BZ34" s="862"/>
      <c r="CA34" s="73">
        <f t="shared" si="184"/>
        <v>0</v>
      </c>
      <c r="CB34" s="862"/>
      <c r="CC34" s="862"/>
      <c r="CD34" s="862"/>
      <c r="CE34" s="862"/>
      <c r="CF34" s="862"/>
      <c r="CG34" s="862"/>
      <c r="CH34" s="862"/>
      <c r="CI34" s="862"/>
      <c r="CJ34" s="1081"/>
      <c r="CK34" s="862"/>
      <c r="CL34" s="862"/>
      <c r="CM34" s="862"/>
      <c r="CN34" s="73">
        <f t="shared" si="185"/>
        <v>0</v>
      </c>
    </row>
    <row r="35" spans="1:98" s="92" customFormat="1" ht="32.25" customHeight="1" x14ac:dyDescent="0.2">
      <c r="A35" s="85">
        <v>4</v>
      </c>
      <c r="B35" s="1385" t="s">
        <v>124</v>
      </c>
      <c r="C35" s="153" t="s">
        <v>24</v>
      </c>
      <c r="D35" s="974">
        <v>2</v>
      </c>
      <c r="E35" s="87">
        <v>2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9">
        <f t="shared" ref="Q35" si="190">SUM(E35:P35)</f>
        <v>2</v>
      </c>
      <c r="R35" s="42" t="s">
        <v>16</v>
      </c>
      <c r="S35" s="156">
        <v>35000</v>
      </c>
      <c r="T35" s="238">
        <v>30000</v>
      </c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69">
        <f t="shared" si="159"/>
        <v>70000</v>
      </c>
      <c r="AG35" s="70">
        <f t="shared" si="129"/>
        <v>60000</v>
      </c>
      <c r="AH35" s="70">
        <f t="shared" si="130"/>
        <v>0</v>
      </c>
      <c r="AI35" s="70">
        <f t="shared" si="131"/>
        <v>0</v>
      </c>
      <c r="AJ35" s="70">
        <f t="shared" si="132"/>
        <v>0</v>
      </c>
      <c r="AK35" s="70">
        <f t="shared" si="133"/>
        <v>0</v>
      </c>
      <c r="AL35" s="70">
        <f t="shared" si="134"/>
        <v>0</v>
      </c>
      <c r="AM35" s="70">
        <f t="shared" si="135"/>
        <v>0</v>
      </c>
      <c r="AN35" s="70">
        <f t="shared" si="136"/>
        <v>0</v>
      </c>
      <c r="AO35" s="70">
        <f t="shared" si="137"/>
        <v>0</v>
      </c>
      <c r="AP35" s="70">
        <f t="shared" si="138"/>
        <v>0</v>
      </c>
      <c r="AQ35" s="70">
        <f t="shared" si="139"/>
        <v>0</v>
      </c>
      <c r="AR35" s="70">
        <f t="shared" si="140"/>
        <v>0</v>
      </c>
      <c r="AS35" s="71">
        <f t="shared" si="141"/>
        <v>60000</v>
      </c>
      <c r="AT35" s="70">
        <f>SUM(AG35*4%)</f>
        <v>2400</v>
      </c>
      <c r="AU35" s="70"/>
      <c r="AV35" s="70"/>
      <c r="AW35" s="70"/>
      <c r="AX35" s="70"/>
      <c r="AY35" s="70"/>
      <c r="AZ35" s="70"/>
      <c r="BA35" s="70"/>
      <c r="BB35" s="70">
        <f t="shared" si="186"/>
        <v>0</v>
      </c>
      <c r="BC35" s="70">
        <f t="shared" si="187"/>
        <v>0</v>
      </c>
      <c r="BD35" s="70">
        <f t="shared" si="188"/>
        <v>0</v>
      </c>
      <c r="BE35" s="70">
        <f t="shared" si="189"/>
        <v>0</v>
      </c>
      <c r="BF35" s="72">
        <f t="shared" ref="BF35" si="191">SUM(AT35:BE35)</f>
        <v>2400</v>
      </c>
      <c r="BG35" s="98">
        <f t="shared" si="153"/>
        <v>7600</v>
      </c>
      <c r="BH35" s="99">
        <f t="shared" ref="BH35" si="192">S35*D35</f>
        <v>70000</v>
      </c>
      <c r="BI35" s="100">
        <f t="shared" si="155"/>
        <v>7600</v>
      </c>
      <c r="BJ35" s="163">
        <f t="shared" ref="BJ35" si="193">SUM(Q35/D35)</f>
        <v>1</v>
      </c>
      <c r="BK35" s="1081"/>
      <c r="BL35" s="1081"/>
      <c r="BM35" s="1083"/>
      <c r="BN35" s="1084"/>
      <c r="BO35" s="862"/>
      <c r="BP35" s="862"/>
      <c r="BQ35" s="862"/>
      <c r="BR35" s="862"/>
      <c r="BS35" s="862"/>
      <c r="BT35" s="862"/>
      <c r="BU35" s="862"/>
      <c r="BV35" s="862"/>
      <c r="BW35" s="1081">
        <f t="shared" si="183"/>
        <v>0</v>
      </c>
      <c r="BX35" s="862"/>
      <c r="BY35" s="862"/>
      <c r="BZ35" s="862"/>
      <c r="CA35" s="73">
        <f t="shared" si="184"/>
        <v>0</v>
      </c>
      <c r="CB35" s="862"/>
      <c r="CC35" s="862"/>
      <c r="CD35" s="862"/>
      <c r="CE35" s="862"/>
      <c r="CF35" s="862"/>
      <c r="CG35" s="862"/>
      <c r="CH35" s="862"/>
      <c r="CI35" s="862"/>
      <c r="CJ35" s="1081"/>
      <c r="CK35" s="862"/>
      <c r="CL35" s="862"/>
      <c r="CM35" s="862"/>
      <c r="CN35" s="73">
        <f t="shared" si="185"/>
        <v>0</v>
      </c>
    </row>
    <row r="36" spans="1:98" s="92" customFormat="1" ht="32.25" customHeight="1" x14ac:dyDescent="0.2">
      <c r="A36" s="85">
        <v>5</v>
      </c>
      <c r="B36" s="1385" t="s">
        <v>397</v>
      </c>
      <c r="C36" s="153" t="s">
        <v>24</v>
      </c>
      <c r="D36" s="977">
        <v>3</v>
      </c>
      <c r="E36" s="87">
        <v>3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9">
        <f t="shared" ref="Q36:Q38" si="194">SUM(E36:P36)</f>
        <v>3</v>
      </c>
      <c r="R36" s="42" t="s">
        <v>35</v>
      </c>
      <c r="S36" s="156">
        <v>700000</v>
      </c>
      <c r="T36" s="238">
        <v>665000</v>
      </c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69">
        <f t="shared" si="159"/>
        <v>2100000</v>
      </c>
      <c r="AG36" s="70">
        <f t="shared" ref="AG36:AG38" si="195">T36*E36</f>
        <v>1995000</v>
      </c>
      <c r="AH36" s="70">
        <f t="shared" ref="AH36:AH38" si="196">U36*F36</f>
        <v>0</v>
      </c>
      <c r="AI36" s="70">
        <f t="shared" ref="AI36:AI38" si="197">V36*G36</f>
        <v>0</v>
      </c>
      <c r="AJ36" s="70">
        <f t="shared" ref="AJ36:AJ38" si="198">W36*H36</f>
        <v>0</v>
      </c>
      <c r="AK36" s="70">
        <f t="shared" ref="AK36:AK38" si="199">X36*I36</f>
        <v>0</v>
      </c>
      <c r="AL36" s="70">
        <f t="shared" ref="AL36:AL38" si="200">Y36*J36</f>
        <v>0</v>
      </c>
      <c r="AM36" s="70">
        <f t="shared" ref="AM36:AM38" si="201">Z36*K36</f>
        <v>0</v>
      </c>
      <c r="AN36" s="70">
        <f t="shared" ref="AN36:AN38" si="202">AA36*L36</f>
        <v>0</v>
      </c>
      <c r="AO36" s="70">
        <f t="shared" ref="AO36:AO38" si="203">AB36*M36</f>
        <v>0</v>
      </c>
      <c r="AP36" s="70">
        <f t="shared" ref="AP36:AP38" si="204">AC36*N36</f>
        <v>0</v>
      </c>
      <c r="AQ36" s="70">
        <f t="shared" ref="AQ36:AQ38" si="205">AD36*O36</f>
        <v>0</v>
      </c>
      <c r="AR36" s="70">
        <f t="shared" ref="AR36:AR38" si="206">AE36*P36</f>
        <v>0</v>
      </c>
      <c r="AS36" s="71">
        <f t="shared" ref="AS36:AS38" si="207">SUM(AG36:AR36)</f>
        <v>1995000</v>
      </c>
      <c r="AT36" s="70">
        <v>105000</v>
      </c>
      <c r="AU36" s="70"/>
      <c r="AV36" s="70"/>
      <c r="AW36" s="70"/>
      <c r="AX36" s="70"/>
      <c r="AY36" s="70"/>
      <c r="AZ36" s="70"/>
      <c r="BA36" s="70"/>
      <c r="BB36" s="70">
        <f t="shared" ref="BB36:BB38" si="208">SUM(AO36*14%)</f>
        <v>0</v>
      </c>
      <c r="BC36" s="70">
        <f t="shared" ref="BC36:BC38" si="209">SUM(AP36*14%)</f>
        <v>0</v>
      </c>
      <c r="BD36" s="70">
        <f t="shared" ref="BD36:BD38" si="210">SUM(AQ36*14%)</f>
        <v>0</v>
      </c>
      <c r="BE36" s="70">
        <f t="shared" ref="BE36:BE38" si="211">SUM(AR36*14%)</f>
        <v>0</v>
      </c>
      <c r="BF36" s="72">
        <f t="shared" ref="BF36:BF38" si="212">SUM(AT36:BE36)</f>
        <v>105000</v>
      </c>
      <c r="BG36" s="98">
        <f t="shared" si="153"/>
        <v>0</v>
      </c>
      <c r="BH36" s="99">
        <f t="shared" ref="BH36:BH38" si="213">S36*D36</f>
        <v>2100000</v>
      </c>
      <c r="BI36" s="100">
        <f t="shared" ref="BI36:BI38" si="214">BH36-AS36-BF36</f>
        <v>0</v>
      </c>
      <c r="BJ36" s="163">
        <f t="shared" ref="BJ36:BJ38" si="215">SUM(Q36/D36)</f>
        <v>1</v>
      </c>
      <c r="BK36" s="1081"/>
      <c r="BL36" s="1081"/>
      <c r="BM36" s="1083"/>
      <c r="BN36" s="1084"/>
      <c r="BO36" s="862"/>
      <c r="BP36" s="862"/>
      <c r="BQ36" s="862"/>
      <c r="BR36" s="862"/>
      <c r="BS36" s="862"/>
      <c r="BT36" s="862"/>
      <c r="BU36" s="862"/>
      <c r="BV36" s="862"/>
      <c r="BW36" s="1081">
        <f t="shared" si="183"/>
        <v>0</v>
      </c>
      <c r="BX36" s="862"/>
      <c r="BY36" s="862"/>
      <c r="BZ36" s="862"/>
      <c r="CA36" s="73">
        <f t="shared" si="184"/>
        <v>0</v>
      </c>
      <c r="CB36" s="862"/>
      <c r="CC36" s="862"/>
      <c r="CD36" s="862"/>
      <c r="CE36" s="862"/>
      <c r="CF36" s="862"/>
      <c r="CG36" s="862"/>
      <c r="CH36" s="862"/>
      <c r="CI36" s="862"/>
      <c r="CJ36" s="1081"/>
      <c r="CK36" s="862"/>
      <c r="CL36" s="862"/>
      <c r="CM36" s="862"/>
      <c r="CN36" s="73">
        <f t="shared" si="185"/>
        <v>0</v>
      </c>
    </row>
    <row r="37" spans="1:98" s="92" customFormat="1" ht="32.25" customHeight="1" x14ac:dyDescent="0.2">
      <c r="A37" s="85">
        <v>6</v>
      </c>
      <c r="B37" s="1385" t="s">
        <v>123</v>
      </c>
      <c r="C37" s="153" t="s">
        <v>24</v>
      </c>
      <c r="D37" s="977">
        <v>1</v>
      </c>
      <c r="E37" s="87">
        <v>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9">
        <f t="shared" si="194"/>
        <v>0</v>
      </c>
      <c r="R37" s="42" t="s">
        <v>35</v>
      </c>
      <c r="S37" s="156">
        <v>350000</v>
      </c>
      <c r="T37" s="238">
        <v>0</v>
      </c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69">
        <f t="shared" si="159"/>
        <v>0</v>
      </c>
      <c r="AG37" s="70">
        <f t="shared" si="195"/>
        <v>0</v>
      </c>
      <c r="AH37" s="70">
        <f t="shared" si="196"/>
        <v>0</v>
      </c>
      <c r="AI37" s="70">
        <f t="shared" si="197"/>
        <v>0</v>
      </c>
      <c r="AJ37" s="70">
        <f t="shared" si="198"/>
        <v>0</v>
      </c>
      <c r="AK37" s="70">
        <f t="shared" si="199"/>
        <v>0</v>
      </c>
      <c r="AL37" s="70">
        <f t="shared" si="200"/>
        <v>0</v>
      </c>
      <c r="AM37" s="70">
        <f t="shared" si="201"/>
        <v>0</v>
      </c>
      <c r="AN37" s="70">
        <f t="shared" si="202"/>
        <v>0</v>
      </c>
      <c r="AO37" s="70">
        <f t="shared" si="203"/>
        <v>0</v>
      </c>
      <c r="AP37" s="70">
        <f t="shared" si="204"/>
        <v>0</v>
      </c>
      <c r="AQ37" s="70">
        <f t="shared" si="205"/>
        <v>0</v>
      </c>
      <c r="AR37" s="70">
        <f t="shared" si="206"/>
        <v>0</v>
      </c>
      <c r="AS37" s="71">
        <f t="shared" si="207"/>
        <v>0</v>
      </c>
      <c r="AT37" s="70">
        <v>0</v>
      </c>
      <c r="AU37" s="70"/>
      <c r="AV37" s="70"/>
      <c r="AW37" s="70"/>
      <c r="AX37" s="70"/>
      <c r="AY37" s="70"/>
      <c r="AZ37" s="70"/>
      <c r="BA37" s="70"/>
      <c r="BB37" s="70">
        <f t="shared" si="208"/>
        <v>0</v>
      </c>
      <c r="BC37" s="70">
        <f t="shared" si="209"/>
        <v>0</v>
      </c>
      <c r="BD37" s="70">
        <f t="shared" si="210"/>
        <v>0</v>
      </c>
      <c r="BE37" s="70">
        <f t="shared" si="211"/>
        <v>0</v>
      </c>
      <c r="BF37" s="72">
        <f t="shared" si="212"/>
        <v>0</v>
      </c>
      <c r="BG37" s="98">
        <f>AF37-AS37-BF37</f>
        <v>0</v>
      </c>
      <c r="BH37" s="99">
        <f t="shared" si="213"/>
        <v>350000</v>
      </c>
      <c r="BI37" s="100">
        <f t="shared" si="214"/>
        <v>350000</v>
      </c>
      <c r="BJ37" s="163">
        <f t="shared" si="215"/>
        <v>0</v>
      </c>
      <c r="BK37" s="1081"/>
      <c r="BL37" s="1081"/>
      <c r="BM37" s="1083"/>
      <c r="BN37" s="1084"/>
      <c r="BO37" s="862"/>
      <c r="BP37" s="862"/>
      <c r="BQ37" s="862"/>
      <c r="BR37" s="862"/>
      <c r="BS37" s="862"/>
      <c r="BT37" s="862"/>
      <c r="BU37" s="862"/>
      <c r="BV37" s="862"/>
      <c r="BW37" s="1081">
        <f t="shared" si="183"/>
        <v>0</v>
      </c>
      <c r="BX37" s="862"/>
      <c r="BY37" s="862"/>
      <c r="BZ37" s="862"/>
      <c r="CA37" s="73">
        <f t="shared" si="184"/>
        <v>0</v>
      </c>
      <c r="CB37" s="862"/>
      <c r="CC37" s="862"/>
      <c r="CD37" s="862"/>
      <c r="CE37" s="862"/>
      <c r="CF37" s="862"/>
      <c r="CG37" s="862"/>
      <c r="CH37" s="862"/>
      <c r="CI37" s="862"/>
      <c r="CJ37" s="1081"/>
      <c r="CK37" s="862"/>
      <c r="CL37" s="862"/>
      <c r="CM37" s="862"/>
      <c r="CN37" s="73">
        <f t="shared" si="185"/>
        <v>0</v>
      </c>
    </row>
    <row r="38" spans="1:98" s="92" customFormat="1" ht="32.25" customHeight="1" thickBot="1" x14ac:dyDescent="0.25">
      <c r="A38" s="85">
        <v>7</v>
      </c>
      <c r="B38" s="1385" t="s">
        <v>398</v>
      </c>
      <c r="C38" s="153" t="s">
        <v>24</v>
      </c>
      <c r="D38" s="977">
        <v>2</v>
      </c>
      <c r="E38" s="87">
        <v>1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9">
        <f t="shared" si="194"/>
        <v>1</v>
      </c>
      <c r="R38" s="42" t="s">
        <v>35</v>
      </c>
      <c r="S38" s="156">
        <v>250000</v>
      </c>
      <c r="T38" s="238">
        <v>237500</v>
      </c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69">
        <f t="shared" si="159"/>
        <v>250000</v>
      </c>
      <c r="AG38" s="1128">
        <f t="shared" si="195"/>
        <v>237500</v>
      </c>
      <c r="AH38" s="70">
        <f t="shared" si="196"/>
        <v>0</v>
      </c>
      <c r="AI38" s="70">
        <f t="shared" si="197"/>
        <v>0</v>
      </c>
      <c r="AJ38" s="70">
        <f t="shared" si="198"/>
        <v>0</v>
      </c>
      <c r="AK38" s="70">
        <f t="shared" si="199"/>
        <v>0</v>
      </c>
      <c r="AL38" s="70">
        <f t="shared" si="200"/>
        <v>0</v>
      </c>
      <c r="AM38" s="70">
        <f t="shared" si="201"/>
        <v>0</v>
      </c>
      <c r="AN38" s="70">
        <f t="shared" si="202"/>
        <v>0</v>
      </c>
      <c r="AO38" s="70">
        <f t="shared" si="203"/>
        <v>0</v>
      </c>
      <c r="AP38" s="70">
        <f t="shared" si="204"/>
        <v>0</v>
      </c>
      <c r="AQ38" s="70">
        <f t="shared" si="205"/>
        <v>0</v>
      </c>
      <c r="AR38" s="70">
        <f t="shared" si="206"/>
        <v>0</v>
      </c>
      <c r="AS38" s="71">
        <f t="shared" si="207"/>
        <v>237500</v>
      </c>
      <c r="AT38" s="70">
        <v>12500</v>
      </c>
      <c r="AU38" s="70"/>
      <c r="AV38" s="70"/>
      <c r="AW38" s="70"/>
      <c r="AX38" s="70"/>
      <c r="AY38" s="70"/>
      <c r="AZ38" s="70"/>
      <c r="BA38" s="70"/>
      <c r="BB38" s="70">
        <f t="shared" si="208"/>
        <v>0</v>
      </c>
      <c r="BC38" s="70">
        <f t="shared" si="209"/>
        <v>0</v>
      </c>
      <c r="BD38" s="70">
        <f t="shared" si="210"/>
        <v>0</v>
      </c>
      <c r="BE38" s="70">
        <f t="shared" si="211"/>
        <v>0</v>
      </c>
      <c r="BF38" s="72">
        <f t="shared" si="212"/>
        <v>12500</v>
      </c>
      <c r="BG38" s="98">
        <f>AF38-AS38-BF38</f>
        <v>0</v>
      </c>
      <c r="BH38" s="99">
        <f t="shared" si="213"/>
        <v>500000</v>
      </c>
      <c r="BI38" s="100">
        <f t="shared" si="214"/>
        <v>250000</v>
      </c>
      <c r="BJ38" s="163">
        <f t="shared" si="215"/>
        <v>0.5</v>
      </c>
      <c r="BK38" s="1081"/>
      <c r="BL38" s="1081"/>
      <c r="BM38" s="1083"/>
      <c r="BN38" s="1084"/>
      <c r="BO38" s="862"/>
      <c r="BP38" s="862"/>
      <c r="BQ38" s="862"/>
      <c r="BR38" s="862"/>
      <c r="BS38" s="862"/>
      <c r="BT38" s="862"/>
      <c r="BU38" s="862"/>
      <c r="BV38" s="862"/>
      <c r="BW38" s="1081">
        <f t="shared" si="183"/>
        <v>0</v>
      </c>
      <c r="BX38" s="862"/>
      <c r="BY38" s="862"/>
      <c r="BZ38" s="862"/>
      <c r="CA38" s="73">
        <f t="shared" si="184"/>
        <v>0</v>
      </c>
      <c r="CB38" s="862"/>
      <c r="CC38" s="862"/>
      <c r="CD38" s="862"/>
      <c r="CE38" s="862"/>
      <c r="CF38" s="862"/>
      <c r="CG38" s="862"/>
      <c r="CH38" s="862"/>
      <c r="CI38" s="862"/>
      <c r="CJ38" s="1081"/>
      <c r="CK38" s="862"/>
      <c r="CL38" s="862"/>
      <c r="CM38" s="862"/>
      <c r="CN38" s="73">
        <f t="shared" si="185"/>
        <v>0</v>
      </c>
    </row>
    <row r="39" spans="1:98" s="38" customFormat="1" ht="24.75" customHeight="1" thickBot="1" x14ac:dyDescent="0.25">
      <c r="A39" s="577">
        <v>3</v>
      </c>
      <c r="B39" s="1386" t="s">
        <v>4</v>
      </c>
      <c r="C39" s="44"/>
      <c r="D39" s="97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7"/>
      <c r="R39" s="77"/>
      <c r="S39" s="234"/>
      <c r="T39" s="235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3">
        <f>SUM(AF31:AF38)</f>
        <v>5860000</v>
      </c>
      <c r="AG39" s="1051">
        <f>SUM(AG31:AG38)-1000000</f>
        <v>3421000</v>
      </c>
      <c r="AH39" s="103">
        <f t="shared" ref="AH39:BE39" si="216">SUM(AH31:AH34)</f>
        <v>0</v>
      </c>
      <c r="AI39" s="103">
        <f t="shared" si="216"/>
        <v>0</v>
      </c>
      <c r="AJ39" s="103">
        <f t="shared" si="216"/>
        <v>0</v>
      </c>
      <c r="AK39" s="103">
        <f t="shared" si="216"/>
        <v>0</v>
      </c>
      <c r="AL39" s="103">
        <f t="shared" si="216"/>
        <v>0</v>
      </c>
      <c r="AM39" s="103">
        <f t="shared" si="216"/>
        <v>0</v>
      </c>
      <c r="AN39" s="103">
        <f t="shared" si="216"/>
        <v>0</v>
      </c>
      <c r="AO39" s="103">
        <f t="shared" si="216"/>
        <v>0</v>
      </c>
      <c r="AP39" s="103">
        <f t="shared" si="216"/>
        <v>0</v>
      </c>
      <c r="AQ39" s="103">
        <f t="shared" si="216"/>
        <v>0</v>
      </c>
      <c r="AR39" s="103">
        <f t="shared" si="216"/>
        <v>0</v>
      </c>
      <c r="AS39" s="103">
        <f>SUM(AS31:AS38)-1000000</f>
        <v>3421000</v>
      </c>
      <c r="AT39" s="103">
        <f>SUM(AT31:AT38)</f>
        <v>187900</v>
      </c>
      <c r="AU39" s="103">
        <f t="shared" si="216"/>
        <v>0</v>
      </c>
      <c r="AV39" s="103">
        <f t="shared" si="216"/>
        <v>0</v>
      </c>
      <c r="AW39" s="103">
        <f t="shared" si="216"/>
        <v>0</v>
      </c>
      <c r="AX39" s="103">
        <f t="shared" si="216"/>
        <v>0</v>
      </c>
      <c r="AY39" s="103">
        <f t="shared" si="216"/>
        <v>0</v>
      </c>
      <c r="AZ39" s="103">
        <f t="shared" si="216"/>
        <v>0</v>
      </c>
      <c r="BA39" s="103">
        <f t="shared" si="216"/>
        <v>0</v>
      </c>
      <c r="BB39" s="103">
        <f t="shared" si="216"/>
        <v>0</v>
      </c>
      <c r="BC39" s="103">
        <f t="shared" si="216"/>
        <v>0</v>
      </c>
      <c r="BD39" s="103">
        <f t="shared" si="216"/>
        <v>0</v>
      </c>
      <c r="BE39" s="103">
        <f t="shared" si="216"/>
        <v>0</v>
      </c>
      <c r="BF39" s="103">
        <f>SUM(BF31:BF38)</f>
        <v>187900</v>
      </c>
      <c r="BG39" s="104">
        <f>SUM(BG31:BG38)</f>
        <v>1251100</v>
      </c>
      <c r="BH39" s="103">
        <f>SUM(BH31:BH38)</f>
        <v>6460000</v>
      </c>
      <c r="BI39" s="103">
        <f>SUM(BI31:BI38)</f>
        <v>1851100</v>
      </c>
      <c r="BJ39" s="164">
        <v>1</v>
      </c>
      <c r="BK39" s="1081"/>
      <c r="BL39" s="1081"/>
      <c r="BM39" s="1083"/>
      <c r="BN39" s="1084"/>
      <c r="BO39" s="862"/>
      <c r="BP39" s="862"/>
      <c r="BQ39" s="862"/>
      <c r="BR39" s="862"/>
      <c r="BS39" s="862"/>
      <c r="BT39" s="862"/>
      <c r="BU39" s="862"/>
      <c r="BV39" s="862"/>
      <c r="BW39" s="1081">
        <f t="shared" si="183"/>
        <v>0</v>
      </c>
      <c r="BX39" s="862"/>
      <c r="BY39" s="862"/>
      <c r="BZ39" s="862"/>
      <c r="CA39" s="73">
        <f t="shared" si="184"/>
        <v>0</v>
      </c>
      <c r="CB39" s="862"/>
      <c r="CC39" s="862"/>
      <c r="CD39" s="862"/>
      <c r="CE39" s="862"/>
      <c r="CF39" s="862"/>
      <c r="CG39" s="862"/>
      <c r="CH39" s="862"/>
      <c r="CI39" s="862"/>
      <c r="CJ39" s="1081"/>
      <c r="CK39" s="862"/>
      <c r="CL39" s="862"/>
      <c r="CM39" s="862"/>
      <c r="CN39" s="73">
        <f t="shared" si="185"/>
        <v>0</v>
      </c>
    </row>
    <row r="40" spans="1:98" s="20" customFormat="1" ht="24.75" customHeight="1" x14ac:dyDescent="0.2">
      <c r="A40" s="50"/>
      <c r="B40" s="1274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236"/>
      <c r="T40" s="236"/>
      <c r="AE40" s="40"/>
      <c r="AS40" s="51"/>
      <c r="BF40" s="52">
        <f>SUM(AS39+BF39)</f>
        <v>3608900</v>
      </c>
      <c r="BG40" s="53">
        <f>AF39-AS39-BF39</f>
        <v>2251100</v>
      </c>
      <c r="BH40" s="54">
        <f>SUM(BI39+AS39+BF39)</f>
        <v>5460000</v>
      </c>
      <c r="BI40" s="55">
        <f>SUM(BG39)</f>
        <v>1251100</v>
      </c>
      <c r="BJ40" s="40" t="s">
        <v>38</v>
      </c>
      <c r="BK40" s="171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</row>
    <row r="41" spans="1:98" s="20" customFormat="1" ht="24.75" customHeight="1" x14ac:dyDescent="0.2">
      <c r="A41" s="50"/>
      <c r="B41" s="1274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236"/>
      <c r="T41" s="236"/>
      <c r="AE41" s="40"/>
      <c r="AS41" s="40"/>
      <c r="AT41" s="123">
        <f>SUM(AG39+AT39)</f>
        <v>3608900</v>
      </c>
      <c r="AU41" s="123">
        <f t="shared" ref="AU41" si="217">SUM(AH39+AU39)</f>
        <v>0</v>
      </c>
      <c r="AV41" s="123">
        <f t="shared" ref="AV41" si="218">SUM(AI39+AV39)</f>
        <v>0</v>
      </c>
      <c r="AW41" s="123">
        <f t="shared" ref="AW41" si="219">SUM(AJ39+AW39)</f>
        <v>0</v>
      </c>
      <c r="AX41" s="123">
        <f t="shared" ref="AX41" si="220">SUM(AK39+AX39)</f>
        <v>0</v>
      </c>
      <c r="AY41" s="123">
        <f t="shared" ref="AY41" si="221">SUM(AL39+AY39)</f>
        <v>0</v>
      </c>
      <c r="AZ41" s="123">
        <f t="shared" ref="AZ41" si="222">SUM(AM39+AZ39)</f>
        <v>0</v>
      </c>
      <c r="BA41" s="123">
        <f t="shared" ref="BA41" si="223">SUM(AN39+BA39)</f>
        <v>0</v>
      </c>
      <c r="BB41" s="123">
        <f t="shared" ref="BB41" si="224">SUM(AO39+BB39)</f>
        <v>0</v>
      </c>
      <c r="BC41" s="123">
        <f t="shared" ref="BC41" si="225">SUM(AP39+BC39)</f>
        <v>0</v>
      </c>
      <c r="BD41" s="123">
        <f t="shared" ref="BD41" si="226">SUM(AQ39+BD39)</f>
        <v>0</v>
      </c>
      <c r="BE41" s="123">
        <f t="shared" ref="BE41" si="227">SUM(AR39+BE39)</f>
        <v>0</v>
      </c>
      <c r="BF41" s="123">
        <f>SUM(AT41:BE41)</f>
        <v>3608900</v>
      </c>
      <c r="BG41" s="40"/>
      <c r="BH41" s="56"/>
      <c r="BI41" s="57">
        <f>SUM(BI39-BI40)</f>
        <v>600000</v>
      </c>
      <c r="BJ41" s="40" t="s">
        <v>37</v>
      </c>
      <c r="BK41" s="171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</row>
    <row r="42" spans="1:98" s="114" customFormat="1" ht="24.75" customHeight="1" x14ac:dyDescent="0.2">
      <c r="A42" s="1699" t="s">
        <v>8</v>
      </c>
      <c r="B42" s="1700"/>
      <c r="C42" s="106" t="s">
        <v>403</v>
      </c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23"/>
      <c r="S42" s="224"/>
      <c r="T42" s="237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9"/>
      <c r="AF42" s="107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10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10"/>
      <c r="BG42" s="110"/>
      <c r="BH42" s="105"/>
      <c r="BI42" s="111"/>
      <c r="BJ42" s="107"/>
      <c r="BK42" s="168"/>
      <c r="BL42" s="108"/>
      <c r="BM42" s="108"/>
      <c r="BN42" s="108"/>
      <c r="BO42" s="108"/>
      <c r="BP42" s="109"/>
      <c r="BQ42" s="108"/>
      <c r="BR42" s="108"/>
      <c r="BS42" s="108"/>
      <c r="BT42" s="108"/>
      <c r="BU42" s="108"/>
      <c r="BV42" s="110"/>
      <c r="BW42" s="110"/>
      <c r="BX42" s="110"/>
      <c r="BY42" s="105"/>
      <c r="BZ42" s="111"/>
      <c r="CA42" s="110"/>
      <c r="CB42" s="110"/>
      <c r="CC42" s="112"/>
      <c r="CD42" s="112"/>
      <c r="CE42" s="112"/>
      <c r="CF42" s="112"/>
      <c r="CG42" s="112"/>
      <c r="CH42" s="113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</row>
    <row r="43" spans="1:98" s="8" customFormat="1" ht="48.75" customHeight="1" x14ac:dyDescent="0.2">
      <c r="A43" s="1703" t="s">
        <v>10</v>
      </c>
      <c r="B43" s="1787" t="s">
        <v>11</v>
      </c>
      <c r="C43" s="1706" t="s">
        <v>22</v>
      </c>
      <c r="D43" s="1721" t="s">
        <v>12</v>
      </c>
      <c r="E43" s="1721"/>
      <c r="F43" s="1721"/>
      <c r="G43" s="1721"/>
      <c r="H43" s="1721"/>
      <c r="I43" s="1721"/>
      <c r="J43" s="1721"/>
      <c r="K43" s="1721"/>
      <c r="L43" s="1721"/>
      <c r="M43" s="1721"/>
      <c r="N43" s="1721"/>
      <c r="O43" s="1721"/>
      <c r="P43" s="1721"/>
      <c r="Q43" s="1721"/>
      <c r="R43" s="1706" t="s">
        <v>20</v>
      </c>
      <c r="S43" s="1717" t="s">
        <v>17</v>
      </c>
      <c r="T43" s="1718"/>
      <c r="U43" s="1718"/>
      <c r="V43" s="1718"/>
      <c r="W43" s="1718"/>
      <c r="X43" s="1718"/>
      <c r="Y43" s="1718"/>
      <c r="Z43" s="1718"/>
      <c r="AA43" s="1718"/>
      <c r="AB43" s="1718"/>
      <c r="AC43" s="1718"/>
      <c r="AD43" s="1718"/>
      <c r="AE43" s="1719"/>
      <c r="AF43" s="1720" t="s">
        <v>6</v>
      </c>
      <c r="AG43" s="1720"/>
      <c r="AH43" s="1720"/>
      <c r="AI43" s="1720"/>
      <c r="AJ43" s="1720"/>
      <c r="AK43" s="1720"/>
      <c r="AL43" s="1720"/>
      <c r="AM43" s="1720"/>
      <c r="AN43" s="1720"/>
      <c r="AO43" s="1720"/>
      <c r="AP43" s="1720"/>
      <c r="AQ43" s="1720"/>
      <c r="AR43" s="1720"/>
      <c r="AS43" s="1720"/>
      <c r="AT43" s="1722" t="s">
        <v>41</v>
      </c>
      <c r="AU43" s="1723"/>
      <c r="AV43" s="1723"/>
      <c r="AW43" s="1723"/>
      <c r="AX43" s="1723"/>
      <c r="AY43" s="1723"/>
      <c r="AZ43" s="1723"/>
      <c r="BA43" s="1723"/>
      <c r="BB43" s="1723"/>
      <c r="BC43" s="1723"/>
      <c r="BD43" s="1723"/>
      <c r="BE43" s="1723"/>
      <c r="BF43" s="1724"/>
      <c r="BG43" s="1706" t="s">
        <v>38</v>
      </c>
      <c r="BH43" s="1706" t="s">
        <v>256</v>
      </c>
      <c r="BI43" s="1709" t="s">
        <v>39</v>
      </c>
      <c r="BJ43" s="135"/>
      <c r="BK43" s="135"/>
      <c r="BL43" s="135"/>
      <c r="BM43" s="135"/>
      <c r="BN43" s="135"/>
      <c r="BO43" s="1733" t="s">
        <v>41</v>
      </c>
      <c r="BP43" s="1734"/>
      <c r="BQ43" s="1734"/>
      <c r="BR43" s="1734"/>
      <c r="BS43" s="1734"/>
      <c r="BT43" s="1734"/>
      <c r="BU43" s="1734"/>
      <c r="BV43" s="1734"/>
      <c r="BW43" s="1734"/>
      <c r="BX43" s="1734"/>
      <c r="BY43" s="1734"/>
      <c r="BZ43" s="1734"/>
      <c r="CA43" s="1734"/>
      <c r="CB43" s="1734"/>
      <c r="CC43" s="1734"/>
      <c r="CD43" s="1734"/>
      <c r="CE43" s="1734"/>
      <c r="CF43" s="1734"/>
      <c r="CG43" s="1734"/>
      <c r="CH43" s="1734"/>
      <c r="CI43" s="1734"/>
      <c r="CJ43" s="1734"/>
      <c r="CK43" s="1734"/>
      <c r="CL43" s="1734"/>
      <c r="CM43" s="1734"/>
      <c r="CN43" s="1735"/>
    </row>
    <row r="44" spans="1:98" s="8" customFormat="1" ht="48.75" customHeight="1" x14ac:dyDescent="0.2">
      <c r="A44" s="1704"/>
      <c r="B44" s="1788"/>
      <c r="C44" s="1707"/>
      <c r="D44" s="1712" t="s">
        <v>18</v>
      </c>
      <c r="E44" s="1714">
        <v>2</v>
      </c>
      <c r="F44" s="1715"/>
      <c r="G44" s="1715"/>
      <c r="H44" s="1715"/>
      <c r="I44" s="1715"/>
      <c r="J44" s="1715"/>
      <c r="K44" s="1715"/>
      <c r="L44" s="1715"/>
      <c r="M44" s="1715"/>
      <c r="N44" s="1715"/>
      <c r="O44" s="1715"/>
      <c r="P44" s="1715"/>
      <c r="Q44" s="1715"/>
      <c r="R44" s="1707"/>
      <c r="S44" s="1728" t="s">
        <v>18</v>
      </c>
      <c r="T44" s="1714" t="s">
        <v>19</v>
      </c>
      <c r="U44" s="1715"/>
      <c r="V44" s="1715"/>
      <c r="W44" s="1715"/>
      <c r="X44" s="1715"/>
      <c r="Y44" s="1715"/>
      <c r="Z44" s="1715"/>
      <c r="AA44" s="1715"/>
      <c r="AB44" s="1715"/>
      <c r="AC44" s="1715"/>
      <c r="AD44" s="1715"/>
      <c r="AE44" s="1716"/>
      <c r="AF44" s="1712" t="s">
        <v>18</v>
      </c>
      <c r="AG44" s="1714" t="s">
        <v>19</v>
      </c>
      <c r="AH44" s="1715"/>
      <c r="AI44" s="1715"/>
      <c r="AJ44" s="1715"/>
      <c r="AK44" s="1715"/>
      <c r="AL44" s="1715"/>
      <c r="AM44" s="1715"/>
      <c r="AN44" s="1715"/>
      <c r="AO44" s="1715"/>
      <c r="AP44" s="1715"/>
      <c r="AQ44" s="1715"/>
      <c r="AR44" s="1715"/>
      <c r="AS44" s="1716"/>
      <c r="AT44" s="1725"/>
      <c r="AU44" s="1726"/>
      <c r="AV44" s="1726"/>
      <c r="AW44" s="1726"/>
      <c r="AX44" s="1726"/>
      <c r="AY44" s="1726"/>
      <c r="AZ44" s="1726"/>
      <c r="BA44" s="1726"/>
      <c r="BB44" s="1726"/>
      <c r="BC44" s="1726"/>
      <c r="BD44" s="1726"/>
      <c r="BE44" s="1726"/>
      <c r="BF44" s="1727"/>
      <c r="BG44" s="1707"/>
      <c r="BH44" s="1707"/>
      <c r="BI44" s="1710"/>
      <c r="BJ44" s="135"/>
      <c r="BK44" s="1736">
        <f>SUM(BK46/60)</f>
        <v>0</v>
      </c>
      <c r="BL44" s="1736"/>
      <c r="BM44" s="1736"/>
      <c r="BN44" s="23"/>
      <c r="BO44" s="1737" t="s">
        <v>686</v>
      </c>
      <c r="BP44" s="1738"/>
      <c r="BQ44" s="1738"/>
      <c r="BR44" s="1738"/>
      <c r="BS44" s="1738"/>
      <c r="BT44" s="1738"/>
      <c r="BU44" s="1738"/>
      <c r="BV44" s="1738"/>
      <c r="BW44" s="1738"/>
      <c r="BX44" s="1738"/>
      <c r="BY44" s="1738"/>
      <c r="BZ44" s="1738"/>
      <c r="CA44" s="1739"/>
      <c r="CB44" s="1740" t="s">
        <v>687</v>
      </c>
      <c r="CC44" s="1741"/>
      <c r="CD44" s="1741"/>
      <c r="CE44" s="1741"/>
      <c r="CF44" s="1741"/>
      <c r="CG44" s="1741"/>
      <c r="CH44" s="1741"/>
      <c r="CI44" s="1741"/>
      <c r="CJ44" s="1741"/>
      <c r="CK44" s="1741"/>
      <c r="CL44" s="1741"/>
      <c r="CM44" s="1741"/>
      <c r="CN44" s="1742"/>
    </row>
    <row r="45" spans="1:98" s="6" customFormat="1" ht="28.5" customHeight="1" x14ac:dyDescent="0.2">
      <c r="A45" s="1705"/>
      <c r="B45" s="1789"/>
      <c r="C45" s="1708"/>
      <c r="D45" s="1713"/>
      <c r="E45" s="26">
        <v>1</v>
      </c>
      <c r="F45" s="26">
        <v>2</v>
      </c>
      <c r="G45" s="26">
        <v>3</v>
      </c>
      <c r="H45" s="26">
        <v>4</v>
      </c>
      <c r="I45" s="26">
        <v>5</v>
      </c>
      <c r="J45" s="26">
        <v>6</v>
      </c>
      <c r="K45" s="26">
        <v>7</v>
      </c>
      <c r="L45" s="26">
        <v>8</v>
      </c>
      <c r="M45" s="26">
        <v>9</v>
      </c>
      <c r="N45" s="26">
        <v>10</v>
      </c>
      <c r="O45" s="26">
        <v>11</v>
      </c>
      <c r="P45" s="26">
        <v>12</v>
      </c>
      <c r="Q45" s="26" t="s">
        <v>21</v>
      </c>
      <c r="R45" s="1708"/>
      <c r="S45" s="1729"/>
      <c r="T45" s="26">
        <v>1</v>
      </c>
      <c r="U45" s="26">
        <v>2</v>
      </c>
      <c r="V45" s="26">
        <v>3</v>
      </c>
      <c r="W45" s="26">
        <v>4</v>
      </c>
      <c r="X45" s="26">
        <v>5</v>
      </c>
      <c r="Y45" s="26">
        <v>6</v>
      </c>
      <c r="Z45" s="26">
        <v>7</v>
      </c>
      <c r="AA45" s="26">
        <v>8</v>
      </c>
      <c r="AB45" s="26">
        <v>9</v>
      </c>
      <c r="AC45" s="26">
        <v>10</v>
      </c>
      <c r="AD45" s="26">
        <v>11</v>
      </c>
      <c r="AE45" s="26">
        <v>12</v>
      </c>
      <c r="AF45" s="1713"/>
      <c r="AG45" s="26">
        <v>1</v>
      </c>
      <c r="AH45" s="26">
        <v>2</v>
      </c>
      <c r="AI45" s="26">
        <v>3</v>
      </c>
      <c r="AJ45" s="26">
        <v>4</v>
      </c>
      <c r="AK45" s="26">
        <v>5</v>
      </c>
      <c r="AL45" s="26">
        <v>6</v>
      </c>
      <c r="AM45" s="26">
        <v>7</v>
      </c>
      <c r="AN45" s="26">
        <v>8</v>
      </c>
      <c r="AO45" s="26">
        <v>9</v>
      </c>
      <c r="AP45" s="26">
        <v>10</v>
      </c>
      <c r="AQ45" s="26">
        <v>11</v>
      </c>
      <c r="AR45" s="26">
        <v>12</v>
      </c>
      <c r="AS45" s="26" t="s">
        <v>13</v>
      </c>
      <c r="AT45" s="173">
        <v>1</v>
      </c>
      <c r="AU45" s="173">
        <v>2</v>
      </c>
      <c r="AV45" s="173">
        <v>3</v>
      </c>
      <c r="AW45" s="173">
        <v>4</v>
      </c>
      <c r="AX45" s="173">
        <v>5</v>
      </c>
      <c r="AY45" s="173">
        <v>6</v>
      </c>
      <c r="AZ45" s="173">
        <v>7</v>
      </c>
      <c r="BA45" s="173">
        <v>8</v>
      </c>
      <c r="BB45" s="173">
        <v>9</v>
      </c>
      <c r="BC45" s="173">
        <v>10</v>
      </c>
      <c r="BD45" s="173">
        <v>11</v>
      </c>
      <c r="BE45" s="173">
        <v>12</v>
      </c>
      <c r="BF45" s="26" t="s">
        <v>13</v>
      </c>
      <c r="BG45" s="1708"/>
      <c r="BH45" s="1708"/>
      <c r="BI45" s="1711"/>
      <c r="BJ45" s="7"/>
      <c r="BK45" s="1743" t="s">
        <v>19</v>
      </c>
      <c r="BL45" s="1744"/>
      <c r="BM45" s="1745"/>
      <c r="BN45" s="621"/>
      <c r="BO45" s="173">
        <v>1</v>
      </c>
      <c r="BP45" s="173">
        <v>2</v>
      </c>
      <c r="BQ45" s="173">
        <v>3</v>
      </c>
      <c r="BR45" s="173">
        <v>4</v>
      </c>
      <c r="BS45" s="173">
        <v>5</v>
      </c>
      <c r="BT45" s="173">
        <v>6</v>
      </c>
      <c r="BU45" s="173">
        <v>7</v>
      </c>
      <c r="BV45" s="173">
        <v>8</v>
      </c>
      <c r="BW45" s="173">
        <v>9</v>
      </c>
      <c r="BX45" s="173">
        <v>10</v>
      </c>
      <c r="BY45" s="173">
        <v>11</v>
      </c>
      <c r="BZ45" s="173">
        <v>12</v>
      </c>
      <c r="CA45" s="26" t="s">
        <v>13</v>
      </c>
      <c r="CB45" s="173">
        <v>1</v>
      </c>
      <c r="CC45" s="173">
        <v>2</v>
      </c>
      <c r="CD45" s="173">
        <v>3</v>
      </c>
      <c r="CE45" s="173">
        <v>4</v>
      </c>
      <c r="CF45" s="173">
        <v>5</v>
      </c>
      <c r="CG45" s="173">
        <v>6</v>
      </c>
      <c r="CH45" s="173">
        <v>7</v>
      </c>
      <c r="CI45" s="173">
        <v>8</v>
      </c>
      <c r="CJ45" s="173">
        <v>9</v>
      </c>
      <c r="CK45" s="173">
        <v>10</v>
      </c>
      <c r="CL45" s="173">
        <v>11</v>
      </c>
      <c r="CM45" s="173">
        <v>12</v>
      </c>
      <c r="CN45" s="26" t="s">
        <v>13</v>
      </c>
    </row>
    <row r="46" spans="1:98" s="92" customFormat="1" ht="24.75" customHeight="1" x14ac:dyDescent="0.2">
      <c r="A46" s="85"/>
      <c r="B46" s="1388" t="s">
        <v>400</v>
      </c>
      <c r="C46" s="154"/>
      <c r="D46" s="973"/>
      <c r="E46" s="391"/>
      <c r="F46" s="1200"/>
      <c r="G46" s="88"/>
      <c r="H46" s="1324"/>
      <c r="I46" s="1566"/>
      <c r="J46" s="88"/>
      <c r="K46" s="88"/>
      <c r="L46" s="88"/>
      <c r="M46" s="88"/>
      <c r="N46" s="88"/>
      <c r="O46" s="88"/>
      <c r="P46" s="88"/>
      <c r="Q46" s="89"/>
      <c r="R46" s="377"/>
      <c r="S46" s="613"/>
      <c r="T46" s="240"/>
      <c r="U46" s="1325"/>
      <c r="V46" s="94"/>
      <c r="W46" s="94"/>
      <c r="X46" s="1567"/>
      <c r="Y46" s="94"/>
      <c r="Z46" s="94"/>
      <c r="AA46" s="94"/>
      <c r="AB46" s="94"/>
      <c r="AC46" s="94"/>
      <c r="AD46" s="94"/>
      <c r="AE46" s="94"/>
      <c r="AF46" s="69">
        <f t="shared" ref="AF46:AF65" si="228">SUM(Q46*S46)</f>
        <v>0</v>
      </c>
      <c r="AG46" s="70">
        <f t="shared" ref="AG46:AG65" si="229">T46*E46</f>
        <v>0</v>
      </c>
      <c r="AH46" s="1128">
        <f t="shared" ref="AH46:AH65" si="230">U46*F46</f>
        <v>0</v>
      </c>
      <c r="AI46" s="70">
        <f t="shared" ref="AI46:AI65" si="231">V46*G46</f>
        <v>0</v>
      </c>
      <c r="AJ46" s="1128">
        <f t="shared" ref="AJ46:AJ65" si="232">W46*H46</f>
        <v>0</v>
      </c>
      <c r="AK46" s="1106">
        <f t="shared" ref="AK46:AK65" si="233">X46*I46</f>
        <v>0</v>
      </c>
      <c r="AL46" s="70">
        <f t="shared" ref="AL46:AL65" si="234">Y46*J46</f>
        <v>0</v>
      </c>
      <c r="AM46" s="70">
        <f t="shared" ref="AM46:AM65" si="235">Z46*K46</f>
        <v>0</v>
      </c>
      <c r="AN46" s="70">
        <f t="shared" ref="AN46:AN65" si="236">AA46*L46</f>
        <v>0</v>
      </c>
      <c r="AO46" s="70">
        <f t="shared" ref="AO46:AO65" si="237">AB46*M46</f>
        <v>0</v>
      </c>
      <c r="AP46" s="70">
        <f t="shared" ref="AP46:AP65" si="238">AC46*N46</f>
        <v>0</v>
      </c>
      <c r="AQ46" s="70">
        <f t="shared" ref="AQ46:AQ65" si="239">AD46*O46</f>
        <v>0</v>
      </c>
      <c r="AR46" s="70">
        <f t="shared" ref="AR46:AR65" si="240">AE46*P46</f>
        <v>0</v>
      </c>
      <c r="AS46" s="71">
        <f t="shared" ref="AS46:AS65" si="241">SUM(AG46:AR46)</f>
        <v>0</v>
      </c>
      <c r="AT46" s="70">
        <f t="shared" ref="AT46:AT65" si="242">SUM(AG46*14%)</f>
        <v>0</v>
      </c>
      <c r="AU46" s="1128">
        <f t="shared" ref="AU46" si="243">SUM(AH46*14%)</f>
        <v>0</v>
      </c>
      <c r="AV46" s="70"/>
      <c r="AW46" s="70">
        <f t="shared" ref="AW46" si="244">SUM(AJ46*14%)</f>
        <v>0</v>
      </c>
      <c r="AX46" s="70"/>
      <c r="AY46" s="70">
        <f t="shared" ref="AY46" si="245">SUM(AL46*14%)</f>
        <v>0</v>
      </c>
      <c r="AZ46" s="70">
        <f t="shared" ref="AZ46" si="246">SUM(AM46*14%)</f>
        <v>0</v>
      </c>
      <c r="BA46" s="70">
        <f t="shared" ref="BA46" si="247">SUM(AN46*14%)</f>
        <v>0</v>
      </c>
      <c r="BB46" s="70">
        <f t="shared" ref="BB46" si="248">SUM(AO46*14%)</f>
        <v>0</v>
      </c>
      <c r="BC46" s="70">
        <f t="shared" ref="BC46" si="249">SUM(AP46*14%)</f>
        <v>0</v>
      </c>
      <c r="BD46" s="70">
        <f t="shared" ref="BD46" si="250">SUM(AQ46*14%)</f>
        <v>0</v>
      </c>
      <c r="BE46" s="70">
        <f t="shared" ref="BE46" si="251">SUM(AR46*14%)</f>
        <v>0</v>
      </c>
      <c r="BF46" s="72">
        <f t="shared" ref="BF46" si="252">SUM(AT46:BE46)</f>
        <v>0</v>
      </c>
      <c r="BG46" s="98">
        <f t="shared" ref="BG46:BG65" si="253">AF46-AS46-BF46</f>
        <v>0</v>
      </c>
      <c r="BH46" s="99">
        <f t="shared" ref="BH46" si="254">S46*D46</f>
        <v>0</v>
      </c>
      <c r="BI46" s="100">
        <f t="shared" ref="BI46:BI65" si="255">BH46-AS46-BF46</f>
        <v>0</v>
      </c>
      <c r="BJ46" s="163"/>
      <c r="BK46" s="1081"/>
      <c r="BL46" s="1081"/>
      <c r="BM46" s="1083"/>
      <c r="BN46" s="1084"/>
      <c r="BO46" s="862"/>
      <c r="BP46" s="862"/>
      <c r="BQ46" s="862"/>
      <c r="BR46" s="862"/>
      <c r="BS46" s="862"/>
      <c r="BT46" s="862"/>
      <c r="BU46" s="862"/>
      <c r="BV46" s="862"/>
      <c r="BW46" s="1081">
        <f t="shared" ref="BW46:BW47" si="256">SUM(AN46*12.5%)</f>
        <v>0</v>
      </c>
      <c r="BX46" s="862"/>
      <c r="BY46" s="862"/>
      <c r="BZ46" s="862"/>
      <c r="CA46" s="73">
        <f t="shared" ref="CA46" si="257">SUM(BO46:BZ46)</f>
        <v>0</v>
      </c>
      <c r="CB46" s="862"/>
      <c r="CC46" s="862"/>
      <c r="CD46" s="862"/>
      <c r="CE46" s="862"/>
      <c r="CF46" s="862"/>
      <c r="CG46" s="862"/>
      <c r="CH46" s="862"/>
      <c r="CI46" s="862"/>
      <c r="CJ46" s="1081"/>
      <c r="CK46" s="862"/>
      <c r="CL46" s="862"/>
      <c r="CM46" s="862"/>
      <c r="CN46" s="73">
        <f t="shared" ref="CN46:CN51" si="258">SUM(CB46:CM46)</f>
        <v>0</v>
      </c>
    </row>
    <row r="47" spans="1:98" s="92" customFormat="1" ht="32.25" customHeight="1" x14ac:dyDescent="0.2">
      <c r="A47" s="85">
        <v>1</v>
      </c>
      <c r="B47" s="1500" t="s">
        <v>401</v>
      </c>
      <c r="C47" s="153" t="s">
        <v>24</v>
      </c>
      <c r="D47" s="1501">
        <v>2000</v>
      </c>
      <c r="E47" s="87">
        <v>2000</v>
      </c>
      <c r="F47" s="1127"/>
      <c r="G47" s="88"/>
      <c r="H47" s="88"/>
      <c r="I47" s="1566"/>
      <c r="J47" s="88"/>
      <c r="K47" s="88"/>
      <c r="L47" s="88"/>
      <c r="M47" s="88"/>
      <c r="N47" s="88"/>
      <c r="O47" s="88"/>
      <c r="P47" s="88"/>
      <c r="Q47" s="89">
        <f t="shared" ref="Q47:Q62" si="259">SUM(E47:P47)</f>
        <v>2000</v>
      </c>
      <c r="R47" s="902" t="s">
        <v>140</v>
      </c>
      <c r="S47" s="1062">
        <v>5700</v>
      </c>
      <c r="T47" s="238">
        <v>3500</v>
      </c>
      <c r="U47" s="427"/>
      <c r="V47" s="427"/>
      <c r="W47" s="427"/>
      <c r="X47" s="1567"/>
      <c r="Y47" s="427"/>
      <c r="Z47" s="427"/>
      <c r="AA47" s="427"/>
      <c r="AB47" s="427"/>
      <c r="AC47" s="427"/>
      <c r="AD47" s="427"/>
      <c r="AE47" s="427"/>
      <c r="AF47" s="69">
        <f t="shared" si="228"/>
        <v>11400000</v>
      </c>
      <c r="AG47" s="862">
        <f t="shared" si="229"/>
        <v>7000000</v>
      </c>
      <c r="AH47" s="862">
        <f t="shared" si="230"/>
        <v>0</v>
      </c>
      <c r="AI47" s="862">
        <f>V47*G47</f>
        <v>0</v>
      </c>
      <c r="AJ47" s="862">
        <f t="shared" si="232"/>
        <v>0</v>
      </c>
      <c r="AK47" s="1106">
        <f t="shared" si="233"/>
        <v>0</v>
      </c>
      <c r="AL47" s="862">
        <f t="shared" si="234"/>
        <v>0</v>
      </c>
      <c r="AM47" s="862">
        <f t="shared" si="235"/>
        <v>0</v>
      </c>
      <c r="AN47" s="862">
        <f t="shared" si="236"/>
        <v>0</v>
      </c>
      <c r="AO47" s="862">
        <f t="shared" si="237"/>
        <v>0</v>
      </c>
      <c r="AP47" s="862">
        <f t="shared" si="238"/>
        <v>0</v>
      </c>
      <c r="AQ47" s="862">
        <f t="shared" si="239"/>
        <v>0</v>
      </c>
      <c r="AR47" s="862">
        <f t="shared" si="240"/>
        <v>0</v>
      </c>
      <c r="AS47" s="863">
        <f t="shared" si="241"/>
        <v>7000000</v>
      </c>
      <c r="AT47" s="862">
        <f t="shared" si="242"/>
        <v>980000.00000000012</v>
      </c>
      <c r="AU47" s="862"/>
      <c r="AV47" s="862"/>
      <c r="AW47" s="862"/>
      <c r="AX47" s="862"/>
      <c r="AY47" s="862"/>
      <c r="AZ47" s="862"/>
      <c r="BA47" s="862"/>
      <c r="BB47" s="862">
        <f t="shared" ref="BB47:BB65" si="260">SUM(AO47*14%)</f>
        <v>0</v>
      </c>
      <c r="BC47" s="862">
        <f t="shared" ref="BC47:BC65" si="261">SUM(AP47*14%)</f>
        <v>0</v>
      </c>
      <c r="BD47" s="862">
        <f t="shared" ref="BD47:BD65" si="262">SUM(AQ47*14%)</f>
        <v>0</v>
      </c>
      <c r="BE47" s="862">
        <f t="shared" ref="BE47:BE65" si="263">SUM(AR47*14%)</f>
        <v>0</v>
      </c>
      <c r="BF47" s="73">
        <f t="shared" ref="BF47:BF59" si="264">SUM(AT47:BE47)</f>
        <v>980000.00000000012</v>
      </c>
      <c r="BG47" s="98">
        <f t="shared" si="253"/>
        <v>3420000</v>
      </c>
      <c r="BH47" s="99">
        <f>S47*D47</f>
        <v>11400000</v>
      </c>
      <c r="BI47" s="100">
        <f t="shared" si="255"/>
        <v>3420000</v>
      </c>
      <c r="BJ47" s="163">
        <f t="shared" ref="BJ47:BJ60" si="265">SUM(Q47/D47)</f>
        <v>1</v>
      </c>
      <c r="BK47" s="862"/>
      <c r="BL47" s="862"/>
      <c r="BM47" s="1102"/>
      <c r="BN47" s="1084"/>
      <c r="BO47" s="862"/>
      <c r="BP47" s="862"/>
      <c r="BQ47" s="862"/>
      <c r="BR47" s="862"/>
      <c r="BS47" s="862"/>
      <c r="BT47" s="862"/>
      <c r="BU47" s="862"/>
      <c r="BV47" s="862"/>
      <c r="BW47" s="862">
        <f t="shared" si="256"/>
        <v>0</v>
      </c>
      <c r="BX47" s="862"/>
      <c r="BY47" s="862"/>
      <c r="BZ47" s="862"/>
      <c r="CA47" s="73">
        <f t="shared" ref="CA47" si="266">SUM(BO47:BZ47)</f>
        <v>0</v>
      </c>
      <c r="CB47" s="862"/>
      <c r="CC47" s="862"/>
      <c r="CD47" s="862"/>
      <c r="CE47" s="862"/>
      <c r="CF47" s="862"/>
      <c r="CG47" s="862"/>
      <c r="CH47" s="862"/>
      <c r="CI47" s="862"/>
      <c r="CJ47" s="862"/>
      <c r="CK47" s="862"/>
      <c r="CL47" s="862"/>
      <c r="CM47" s="862"/>
      <c r="CN47" s="73">
        <f t="shared" si="258"/>
        <v>0</v>
      </c>
    </row>
    <row r="48" spans="1:98" s="92" customFormat="1" ht="32.25" customHeight="1" x14ac:dyDescent="0.2">
      <c r="A48" s="85">
        <v>2</v>
      </c>
      <c r="B48" s="1384" t="s">
        <v>404</v>
      </c>
      <c r="C48" s="153" t="s">
        <v>24</v>
      </c>
      <c r="D48" s="902">
        <v>1</v>
      </c>
      <c r="E48" s="87"/>
      <c r="F48" s="1200"/>
      <c r="G48" s="1324"/>
      <c r="H48" s="1324"/>
      <c r="I48" s="1566"/>
      <c r="J48" s="88"/>
      <c r="K48" s="88"/>
      <c r="L48" s="88"/>
      <c r="M48" s="88"/>
      <c r="N48" s="88"/>
      <c r="O48" s="88"/>
      <c r="P48" s="88"/>
      <c r="Q48" s="89">
        <f t="shared" si="259"/>
        <v>0</v>
      </c>
      <c r="R48" s="902" t="s">
        <v>28</v>
      </c>
      <c r="S48" s="1062">
        <v>50000000</v>
      </c>
      <c r="T48" s="238"/>
      <c r="U48" s="1325"/>
      <c r="V48" s="1325"/>
      <c r="W48" s="1325"/>
      <c r="X48" s="1567"/>
      <c r="Y48" s="427"/>
      <c r="Z48" s="427"/>
      <c r="AA48" s="427"/>
      <c r="AB48" s="427"/>
      <c r="AC48" s="427"/>
      <c r="AD48" s="427"/>
      <c r="AE48" s="427"/>
      <c r="AF48" s="69">
        <f t="shared" ref="AF48" si="267">SUM(Q48*S48)</f>
        <v>0</v>
      </c>
      <c r="AG48" s="862">
        <f t="shared" ref="AG48:AG51" si="268">T48*E48</f>
        <v>0</v>
      </c>
      <c r="AH48" s="1128">
        <f t="shared" ref="AH48:AH62" si="269">U48*F48</f>
        <v>0</v>
      </c>
      <c r="AI48" s="1128">
        <f t="shared" ref="AI48:AI51" si="270">V48*G48</f>
        <v>0</v>
      </c>
      <c r="AJ48" s="1128">
        <f t="shared" ref="AJ48:AJ51" si="271">W48*H48</f>
        <v>0</v>
      </c>
      <c r="AK48" s="1106">
        <f t="shared" ref="AK48:AK51" si="272">X48*I48</f>
        <v>0</v>
      </c>
      <c r="AL48" s="862">
        <f t="shared" ref="AL48:AL51" si="273">Y48*J48</f>
        <v>0</v>
      </c>
      <c r="AM48" s="862">
        <f t="shared" ref="AM48:AM51" si="274">Z48*K48</f>
        <v>0</v>
      </c>
      <c r="AN48" s="862">
        <f t="shared" ref="AN48:AN51" si="275">AA48*L48</f>
        <v>0</v>
      </c>
      <c r="AO48" s="862">
        <f t="shared" ref="AO48:AO51" si="276">AB48*M48</f>
        <v>0</v>
      </c>
      <c r="AP48" s="862">
        <f t="shared" ref="AP48:AP51" si="277">AC48*N48</f>
        <v>0</v>
      </c>
      <c r="AQ48" s="862">
        <f t="shared" ref="AQ48:AQ51" si="278">AD48*O48</f>
        <v>0</v>
      </c>
      <c r="AR48" s="862">
        <f t="shared" ref="AR48:AR51" si="279">AE48*P48</f>
        <v>0</v>
      </c>
      <c r="AS48" s="863">
        <f t="shared" ref="AS48:AS51" si="280">SUM(AG48:AR48)</f>
        <v>0</v>
      </c>
      <c r="AT48" s="862">
        <f t="shared" ref="AT48:AT51" si="281">SUM(AG48*14%)</f>
        <v>0</v>
      </c>
      <c r="AU48" s="1128">
        <f t="shared" ref="AU48:AU63" si="282">AH48*12.5%</f>
        <v>0</v>
      </c>
      <c r="AV48" s="1128"/>
      <c r="AW48" s="1128"/>
      <c r="AX48" s="862"/>
      <c r="AY48" s="862"/>
      <c r="AZ48" s="862"/>
      <c r="BA48" s="862"/>
      <c r="BB48" s="862">
        <f t="shared" ref="BB48:BB51" si="283">SUM(AO48*14%)</f>
        <v>0</v>
      </c>
      <c r="BC48" s="862">
        <f t="shared" ref="BC48:BC51" si="284">SUM(AP48*14%)</f>
        <v>0</v>
      </c>
      <c r="BD48" s="862">
        <f t="shared" ref="BD48:BD51" si="285">SUM(AQ48*14%)</f>
        <v>0</v>
      </c>
      <c r="BE48" s="862">
        <f t="shared" ref="BE48:BE51" si="286">SUM(AR48*14%)</f>
        <v>0</v>
      </c>
      <c r="BF48" s="73">
        <f t="shared" si="264"/>
        <v>0</v>
      </c>
      <c r="BG48" s="98">
        <f t="shared" ref="BG48" si="287">AF48-AS48-BF48</f>
        <v>0</v>
      </c>
      <c r="BH48" s="99">
        <f>S48*D48</f>
        <v>50000000</v>
      </c>
      <c r="BI48" s="100">
        <f>BH48-AJ68</f>
        <v>1569000</v>
      </c>
      <c r="BJ48" s="163">
        <f t="shared" si="265"/>
        <v>0</v>
      </c>
      <c r="BK48" s="1081"/>
      <c r="BL48" s="1081"/>
      <c r="BM48" s="1083"/>
      <c r="BN48" s="1084"/>
      <c r="BO48" s="862"/>
      <c r="BP48" s="862"/>
      <c r="BQ48" s="862"/>
      <c r="BR48" s="862"/>
      <c r="BS48" s="862"/>
      <c r="BT48" s="862"/>
      <c r="BU48" s="862"/>
      <c r="BV48" s="862"/>
      <c r="BW48" s="1081">
        <f t="shared" ref="BW48:BW51" si="288">SUM(AN48*12.5%)</f>
        <v>0</v>
      </c>
      <c r="BX48" s="862"/>
      <c r="BY48" s="862"/>
      <c r="BZ48" s="862"/>
      <c r="CA48" s="73">
        <f t="shared" ref="CA48:CA51" si="289">SUM(BO48:BZ48)</f>
        <v>0</v>
      </c>
      <c r="CB48" s="862"/>
      <c r="CC48" s="862"/>
      <c r="CD48" s="862"/>
      <c r="CE48" s="862"/>
      <c r="CF48" s="862"/>
      <c r="CG48" s="862"/>
      <c r="CH48" s="862"/>
      <c r="CI48" s="862"/>
      <c r="CJ48" s="1081"/>
      <c r="CK48" s="862"/>
      <c r="CL48" s="862"/>
      <c r="CM48" s="862"/>
      <c r="CN48" s="73">
        <f t="shared" si="258"/>
        <v>0</v>
      </c>
    </row>
    <row r="49" spans="1:92" s="92" customFormat="1" ht="32.25" customHeight="1" x14ac:dyDescent="0.2">
      <c r="A49" s="85"/>
      <c r="B49" s="1384" t="s">
        <v>709</v>
      </c>
      <c r="C49" s="153" t="s">
        <v>24</v>
      </c>
      <c r="D49" s="902">
        <v>15</v>
      </c>
      <c r="E49" s="87"/>
      <c r="F49" s="1328">
        <v>15</v>
      </c>
      <c r="G49" s="1324"/>
      <c r="H49" s="1324"/>
      <c r="I49" s="1566"/>
      <c r="J49" s="88"/>
      <c r="K49" s="88"/>
      <c r="L49" s="88"/>
      <c r="M49" s="88"/>
      <c r="N49" s="88"/>
      <c r="O49" s="88"/>
      <c r="P49" s="88"/>
      <c r="Q49" s="89">
        <f t="shared" si="259"/>
        <v>15</v>
      </c>
      <c r="R49" s="902" t="s">
        <v>28</v>
      </c>
      <c r="S49" s="1062">
        <f>SUM(U49)</f>
        <v>46000</v>
      </c>
      <c r="T49" s="238"/>
      <c r="U49" s="1325">
        <v>46000</v>
      </c>
      <c r="V49" s="1325"/>
      <c r="W49" s="1325"/>
      <c r="X49" s="1567"/>
      <c r="Y49" s="427"/>
      <c r="Z49" s="427"/>
      <c r="AA49" s="427"/>
      <c r="AB49" s="427"/>
      <c r="AC49" s="427"/>
      <c r="AD49" s="427"/>
      <c r="AE49" s="427"/>
      <c r="AF49" s="69">
        <f>SUM(Q49*S49)</f>
        <v>690000</v>
      </c>
      <c r="AG49" s="862">
        <f t="shared" ref="AG49:AG50" si="290">T49*E49</f>
        <v>0</v>
      </c>
      <c r="AH49" s="1128">
        <f t="shared" ref="AH49:AH50" si="291">U49*F49</f>
        <v>690000</v>
      </c>
      <c r="AI49" s="1128">
        <f t="shared" ref="AI49:AI50" si="292">V49*G49</f>
        <v>0</v>
      </c>
      <c r="AJ49" s="1128">
        <f t="shared" ref="AJ49:AJ50" si="293">W49*H49</f>
        <v>0</v>
      </c>
      <c r="AK49" s="1106">
        <f t="shared" ref="AK49:AK50" si="294">X49*I49</f>
        <v>0</v>
      </c>
      <c r="AL49" s="862">
        <f t="shared" ref="AL49:AL50" si="295">Y49*J49</f>
        <v>0</v>
      </c>
      <c r="AM49" s="862">
        <f t="shared" ref="AM49:AM50" si="296">Z49*K49</f>
        <v>0</v>
      </c>
      <c r="AN49" s="862">
        <f t="shared" ref="AN49:AN50" si="297">AA49*L49</f>
        <v>0</v>
      </c>
      <c r="AO49" s="862">
        <f t="shared" ref="AO49:AO50" si="298">AB49*M49</f>
        <v>0</v>
      </c>
      <c r="AP49" s="862">
        <f t="shared" ref="AP49:AP50" si="299">AC49*N49</f>
        <v>0</v>
      </c>
      <c r="AQ49" s="862">
        <f t="shared" ref="AQ49:AQ50" si="300">AD49*O49</f>
        <v>0</v>
      </c>
      <c r="AR49" s="862">
        <f t="shared" ref="AR49:AR50" si="301">AE49*P49</f>
        <v>0</v>
      </c>
      <c r="AS49" s="863">
        <f t="shared" ref="AS49:AS50" si="302">SUM(AG49:AR49)</f>
        <v>690000</v>
      </c>
      <c r="AT49" s="862">
        <f t="shared" ref="AT49:AT50" si="303">SUM(AG49*14%)</f>
        <v>0</v>
      </c>
      <c r="AU49" s="1128">
        <f t="shared" si="282"/>
        <v>86250</v>
      </c>
      <c r="AV49" s="1128"/>
      <c r="AW49" s="1128"/>
      <c r="AX49" s="862"/>
      <c r="AY49" s="862"/>
      <c r="AZ49" s="862"/>
      <c r="BA49" s="862"/>
      <c r="BB49" s="862">
        <f t="shared" ref="BB49:BB50" si="304">SUM(AO49*14%)</f>
        <v>0</v>
      </c>
      <c r="BC49" s="862">
        <f t="shared" ref="BC49:BC50" si="305">SUM(AP49*14%)</f>
        <v>0</v>
      </c>
      <c r="BD49" s="862">
        <f t="shared" ref="BD49:BD50" si="306">SUM(AQ49*14%)</f>
        <v>0</v>
      </c>
      <c r="BE49" s="862">
        <f t="shared" ref="BE49:BE50" si="307">SUM(AR49*14%)</f>
        <v>0</v>
      </c>
      <c r="BF49" s="73">
        <f t="shared" si="264"/>
        <v>86250</v>
      </c>
      <c r="BG49" s="98">
        <f t="shared" ref="BG49:BG63" si="308">AF49-AS49</f>
        <v>0</v>
      </c>
      <c r="BH49" s="99"/>
      <c r="BI49" s="100"/>
      <c r="BJ49" s="163">
        <f t="shared" si="265"/>
        <v>1</v>
      </c>
      <c r="BK49" s="1081"/>
      <c r="BL49" s="1081"/>
      <c r="BM49" s="1083"/>
      <c r="BN49" s="1084"/>
      <c r="BO49" s="862"/>
      <c r="BP49" s="862"/>
      <c r="BQ49" s="862"/>
      <c r="BR49" s="862"/>
      <c r="BS49" s="862"/>
      <c r="BT49" s="862"/>
      <c r="BU49" s="862"/>
      <c r="BV49" s="862"/>
      <c r="BW49" s="1081">
        <f t="shared" ref="BW49:BW50" si="309">SUM(AN49*12.5%)</f>
        <v>0</v>
      </c>
      <c r="BX49" s="862"/>
      <c r="BY49" s="862"/>
      <c r="BZ49" s="862"/>
      <c r="CA49" s="73">
        <f t="shared" ref="CA49:CA50" si="310">SUM(BO49:BZ49)</f>
        <v>0</v>
      </c>
      <c r="CB49" s="862"/>
      <c r="CC49" s="862"/>
      <c r="CD49" s="862"/>
      <c r="CE49" s="862"/>
      <c r="CF49" s="862"/>
      <c r="CG49" s="862"/>
      <c r="CH49" s="862"/>
      <c r="CI49" s="862"/>
      <c r="CJ49" s="1081"/>
      <c r="CK49" s="862"/>
      <c r="CL49" s="862"/>
      <c r="CM49" s="862"/>
      <c r="CN49" s="73">
        <f t="shared" ref="CN49:CN50" si="311">SUM(CB49:CM49)</f>
        <v>0</v>
      </c>
    </row>
    <row r="50" spans="1:92" s="92" customFormat="1" ht="32.25" customHeight="1" x14ac:dyDescent="0.2">
      <c r="A50" s="85"/>
      <c r="B50" s="1384" t="s">
        <v>710</v>
      </c>
      <c r="C50" s="153" t="s">
        <v>24</v>
      </c>
      <c r="D50" s="902">
        <v>20</v>
      </c>
      <c r="E50" s="87"/>
      <c r="F50" s="1328">
        <v>20</v>
      </c>
      <c r="G50" s="1324"/>
      <c r="H50" s="1324"/>
      <c r="I50" s="1566"/>
      <c r="J50" s="88"/>
      <c r="K50" s="88"/>
      <c r="L50" s="88"/>
      <c r="M50" s="88"/>
      <c r="N50" s="88"/>
      <c r="O50" s="88"/>
      <c r="P50" s="88"/>
      <c r="Q50" s="89">
        <f t="shared" si="259"/>
        <v>20</v>
      </c>
      <c r="R50" s="902" t="s">
        <v>28</v>
      </c>
      <c r="S50" s="1062">
        <f t="shared" ref="S50:S52" si="312">SUM(U50)</f>
        <v>86000</v>
      </c>
      <c r="T50" s="238"/>
      <c r="U50" s="1325">
        <v>86000</v>
      </c>
      <c r="V50" s="1325"/>
      <c r="W50" s="1325"/>
      <c r="X50" s="1567"/>
      <c r="Y50" s="427"/>
      <c r="Z50" s="427"/>
      <c r="AA50" s="427"/>
      <c r="AB50" s="427"/>
      <c r="AC50" s="427"/>
      <c r="AD50" s="427"/>
      <c r="AE50" s="427"/>
      <c r="AF50" s="69">
        <f t="shared" ref="AF50:AF52" si="313">SUM(Q50*S50)</f>
        <v>1720000</v>
      </c>
      <c r="AG50" s="862">
        <f t="shared" si="290"/>
        <v>0</v>
      </c>
      <c r="AH50" s="1128">
        <f t="shared" si="291"/>
        <v>1720000</v>
      </c>
      <c r="AI50" s="1128">
        <f t="shared" si="292"/>
        <v>0</v>
      </c>
      <c r="AJ50" s="1128">
        <f t="shared" si="293"/>
        <v>0</v>
      </c>
      <c r="AK50" s="1106">
        <f t="shared" si="294"/>
        <v>0</v>
      </c>
      <c r="AL50" s="862">
        <f t="shared" si="295"/>
        <v>0</v>
      </c>
      <c r="AM50" s="862">
        <f t="shared" si="296"/>
        <v>0</v>
      </c>
      <c r="AN50" s="862">
        <f t="shared" si="297"/>
        <v>0</v>
      </c>
      <c r="AO50" s="862">
        <f t="shared" si="298"/>
        <v>0</v>
      </c>
      <c r="AP50" s="862">
        <f t="shared" si="299"/>
        <v>0</v>
      </c>
      <c r="AQ50" s="862">
        <f t="shared" si="300"/>
        <v>0</v>
      </c>
      <c r="AR50" s="862">
        <f t="shared" si="301"/>
        <v>0</v>
      </c>
      <c r="AS50" s="863">
        <f t="shared" si="302"/>
        <v>1720000</v>
      </c>
      <c r="AT50" s="862">
        <f t="shared" si="303"/>
        <v>0</v>
      </c>
      <c r="AU50" s="1128">
        <f t="shared" si="282"/>
        <v>215000</v>
      </c>
      <c r="AV50" s="1128"/>
      <c r="AW50" s="1128"/>
      <c r="AX50" s="862"/>
      <c r="AY50" s="862"/>
      <c r="AZ50" s="862"/>
      <c r="BA50" s="862"/>
      <c r="BB50" s="862">
        <f t="shared" si="304"/>
        <v>0</v>
      </c>
      <c r="BC50" s="862">
        <f t="shared" si="305"/>
        <v>0</v>
      </c>
      <c r="BD50" s="862">
        <f t="shared" si="306"/>
        <v>0</v>
      </c>
      <c r="BE50" s="862">
        <f t="shared" si="307"/>
        <v>0</v>
      </c>
      <c r="BF50" s="73">
        <f t="shared" si="264"/>
        <v>215000</v>
      </c>
      <c r="BG50" s="98">
        <f t="shared" si="308"/>
        <v>0</v>
      </c>
      <c r="BH50" s="99"/>
      <c r="BI50" s="100"/>
      <c r="BJ50" s="163">
        <f t="shared" si="265"/>
        <v>1</v>
      </c>
      <c r="BK50" s="1081"/>
      <c r="BL50" s="1081"/>
      <c r="BM50" s="1083"/>
      <c r="BN50" s="1084"/>
      <c r="BO50" s="862"/>
      <c r="BP50" s="862"/>
      <c r="BQ50" s="862"/>
      <c r="BR50" s="862"/>
      <c r="BS50" s="862"/>
      <c r="BT50" s="862"/>
      <c r="BU50" s="862"/>
      <c r="BV50" s="862"/>
      <c r="BW50" s="1081">
        <f t="shared" si="309"/>
        <v>0</v>
      </c>
      <c r="BX50" s="862"/>
      <c r="BY50" s="862"/>
      <c r="BZ50" s="862"/>
      <c r="CA50" s="73">
        <f t="shared" si="310"/>
        <v>0</v>
      </c>
      <c r="CB50" s="862"/>
      <c r="CC50" s="862"/>
      <c r="CD50" s="862"/>
      <c r="CE50" s="862"/>
      <c r="CF50" s="862"/>
      <c r="CG50" s="862"/>
      <c r="CH50" s="862"/>
      <c r="CI50" s="862"/>
      <c r="CJ50" s="1081"/>
      <c r="CK50" s="862"/>
      <c r="CL50" s="862"/>
      <c r="CM50" s="862"/>
      <c r="CN50" s="73">
        <f t="shared" si="311"/>
        <v>0</v>
      </c>
    </row>
    <row r="51" spans="1:92" s="92" customFormat="1" ht="32.25" customHeight="1" x14ac:dyDescent="0.2">
      <c r="A51" s="85"/>
      <c r="B51" s="1384" t="s">
        <v>711</v>
      </c>
      <c r="C51" s="153" t="s">
        <v>24</v>
      </c>
      <c r="D51" s="902">
        <v>1</v>
      </c>
      <c r="E51" s="87"/>
      <c r="F51" s="1328">
        <v>1</v>
      </c>
      <c r="G51" s="1324"/>
      <c r="H51" s="1324"/>
      <c r="I51" s="1566"/>
      <c r="J51" s="88"/>
      <c r="K51" s="88"/>
      <c r="L51" s="88"/>
      <c r="M51" s="88"/>
      <c r="N51" s="88"/>
      <c r="O51" s="88"/>
      <c r="P51" s="88"/>
      <c r="Q51" s="89">
        <f t="shared" si="259"/>
        <v>1</v>
      </c>
      <c r="R51" s="902" t="s">
        <v>28</v>
      </c>
      <c r="S51" s="1062">
        <f t="shared" si="312"/>
        <v>35000</v>
      </c>
      <c r="T51" s="238"/>
      <c r="U51" s="1325">
        <v>35000</v>
      </c>
      <c r="V51" s="1325"/>
      <c r="W51" s="1325"/>
      <c r="X51" s="1567"/>
      <c r="Y51" s="427"/>
      <c r="Z51" s="427"/>
      <c r="AA51" s="427"/>
      <c r="AB51" s="427"/>
      <c r="AC51" s="427"/>
      <c r="AD51" s="427"/>
      <c r="AE51" s="427"/>
      <c r="AF51" s="69">
        <f t="shared" si="313"/>
        <v>35000</v>
      </c>
      <c r="AG51" s="862">
        <f t="shared" si="268"/>
        <v>0</v>
      </c>
      <c r="AH51" s="1128">
        <f t="shared" si="269"/>
        <v>35000</v>
      </c>
      <c r="AI51" s="1128">
        <f t="shared" si="270"/>
        <v>0</v>
      </c>
      <c r="AJ51" s="1128">
        <f t="shared" si="271"/>
        <v>0</v>
      </c>
      <c r="AK51" s="1106">
        <f t="shared" si="272"/>
        <v>0</v>
      </c>
      <c r="AL51" s="862">
        <f t="shared" si="273"/>
        <v>0</v>
      </c>
      <c r="AM51" s="862">
        <f t="shared" si="274"/>
        <v>0</v>
      </c>
      <c r="AN51" s="862">
        <f t="shared" si="275"/>
        <v>0</v>
      </c>
      <c r="AO51" s="862">
        <f t="shared" si="276"/>
        <v>0</v>
      </c>
      <c r="AP51" s="862">
        <f t="shared" si="277"/>
        <v>0</v>
      </c>
      <c r="AQ51" s="862">
        <f t="shared" si="278"/>
        <v>0</v>
      </c>
      <c r="AR51" s="862">
        <f t="shared" si="279"/>
        <v>0</v>
      </c>
      <c r="AS51" s="863">
        <f t="shared" si="280"/>
        <v>35000</v>
      </c>
      <c r="AT51" s="862">
        <f t="shared" si="281"/>
        <v>0</v>
      </c>
      <c r="AU51" s="1128">
        <f t="shared" si="282"/>
        <v>4375</v>
      </c>
      <c r="AV51" s="1128"/>
      <c r="AW51" s="1128"/>
      <c r="AX51" s="862"/>
      <c r="AY51" s="862"/>
      <c r="AZ51" s="862"/>
      <c r="BA51" s="862"/>
      <c r="BB51" s="862">
        <f t="shared" si="283"/>
        <v>0</v>
      </c>
      <c r="BC51" s="862">
        <f t="shared" si="284"/>
        <v>0</v>
      </c>
      <c r="BD51" s="862">
        <f t="shared" si="285"/>
        <v>0</v>
      </c>
      <c r="BE51" s="862">
        <f t="shared" si="286"/>
        <v>0</v>
      </c>
      <c r="BF51" s="73">
        <f t="shared" si="264"/>
        <v>4375</v>
      </c>
      <c r="BG51" s="98">
        <f t="shared" si="308"/>
        <v>0</v>
      </c>
      <c r="BH51" s="99"/>
      <c r="BI51" s="100"/>
      <c r="BJ51" s="163">
        <f t="shared" si="265"/>
        <v>1</v>
      </c>
      <c r="BK51" s="1081"/>
      <c r="BL51" s="1081"/>
      <c r="BM51" s="1083"/>
      <c r="BN51" s="1084"/>
      <c r="BO51" s="862"/>
      <c r="BP51" s="862"/>
      <c r="BQ51" s="862"/>
      <c r="BR51" s="862"/>
      <c r="BS51" s="862"/>
      <c r="BT51" s="862"/>
      <c r="BU51" s="862"/>
      <c r="BV51" s="862"/>
      <c r="BW51" s="1081">
        <f t="shared" si="288"/>
        <v>0</v>
      </c>
      <c r="BX51" s="862"/>
      <c r="BY51" s="862"/>
      <c r="BZ51" s="862"/>
      <c r="CA51" s="73">
        <f t="shared" si="289"/>
        <v>0</v>
      </c>
      <c r="CB51" s="862"/>
      <c r="CC51" s="862"/>
      <c r="CD51" s="862"/>
      <c r="CE51" s="862"/>
      <c r="CF51" s="862"/>
      <c r="CG51" s="862"/>
      <c r="CH51" s="862"/>
      <c r="CI51" s="862"/>
      <c r="CJ51" s="1081"/>
      <c r="CK51" s="862"/>
      <c r="CL51" s="862"/>
      <c r="CM51" s="862"/>
      <c r="CN51" s="73">
        <f t="shared" si="258"/>
        <v>0</v>
      </c>
    </row>
    <row r="52" spans="1:92" s="92" customFormat="1" ht="32.25" customHeight="1" x14ac:dyDescent="0.2">
      <c r="A52" s="85"/>
      <c r="B52" s="1384" t="s">
        <v>712</v>
      </c>
      <c r="C52" s="153" t="s">
        <v>24</v>
      </c>
      <c r="D52" s="902">
        <v>1</v>
      </c>
      <c r="E52" s="87"/>
      <c r="F52" s="1328">
        <v>1</v>
      </c>
      <c r="G52" s="1324"/>
      <c r="H52" s="1324"/>
      <c r="I52" s="1566"/>
      <c r="J52" s="88"/>
      <c r="K52" s="88"/>
      <c r="L52" s="88"/>
      <c r="M52" s="88"/>
      <c r="N52" s="88"/>
      <c r="O52" s="88"/>
      <c r="P52" s="88"/>
      <c r="Q52" s="89">
        <f t="shared" si="259"/>
        <v>1</v>
      </c>
      <c r="R52" s="902" t="s">
        <v>28</v>
      </c>
      <c r="S52" s="1062">
        <f t="shared" si="312"/>
        <v>52000</v>
      </c>
      <c r="T52" s="238"/>
      <c r="U52" s="1325">
        <v>52000</v>
      </c>
      <c r="V52" s="1325"/>
      <c r="W52" s="1325"/>
      <c r="X52" s="1567"/>
      <c r="Y52" s="427"/>
      <c r="Z52" s="427"/>
      <c r="AA52" s="427"/>
      <c r="AB52" s="427"/>
      <c r="AC52" s="427"/>
      <c r="AD52" s="427"/>
      <c r="AE52" s="427"/>
      <c r="AF52" s="69">
        <f t="shared" si="313"/>
        <v>52000</v>
      </c>
      <c r="AG52" s="862">
        <f t="shared" si="229"/>
        <v>0</v>
      </c>
      <c r="AH52" s="1128">
        <f t="shared" si="269"/>
        <v>52000</v>
      </c>
      <c r="AI52" s="1128">
        <f t="shared" si="231"/>
        <v>0</v>
      </c>
      <c r="AJ52" s="1128">
        <f t="shared" si="232"/>
        <v>0</v>
      </c>
      <c r="AK52" s="1106">
        <f t="shared" si="233"/>
        <v>0</v>
      </c>
      <c r="AL52" s="862">
        <f t="shared" si="234"/>
        <v>0</v>
      </c>
      <c r="AM52" s="862">
        <f t="shared" si="235"/>
        <v>0</v>
      </c>
      <c r="AN52" s="862">
        <f t="shared" si="236"/>
        <v>0</v>
      </c>
      <c r="AO52" s="862">
        <f t="shared" si="237"/>
        <v>0</v>
      </c>
      <c r="AP52" s="862">
        <f t="shared" si="238"/>
        <v>0</v>
      </c>
      <c r="AQ52" s="862">
        <f t="shared" si="239"/>
        <v>0</v>
      </c>
      <c r="AR52" s="862">
        <f t="shared" si="240"/>
        <v>0</v>
      </c>
      <c r="AS52" s="863">
        <f t="shared" si="241"/>
        <v>52000</v>
      </c>
      <c r="AT52" s="862">
        <f t="shared" si="242"/>
        <v>0</v>
      </c>
      <c r="AU52" s="1128">
        <f t="shared" si="282"/>
        <v>6500</v>
      </c>
      <c r="AV52" s="1128"/>
      <c r="AW52" s="1128"/>
      <c r="AX52" s="862"/>
      <c r="AY52" s="862"/>
      <c r="AZ52" s="862"/>
      <c r="BA52" s="862"/>
      <c r="BB52" s="862">
        <f t="shared" si="260"/>
        <v>0</v>
      </c>
      <c r="BC52" s="862">
        <f t="shared" si="261"/>
        <v>0</v>
      </c>
      <c r="BD52" s="862">
        <f t="shared" si="262"/>
        <v>0</v>
      </c>
      <c r="BE52" s="862">
        <f t="shared" si="263"/>
        <v>0</v>
      </c>
      <c r="BF52" s="73">
        <f t="shared" si="264"/>
        <v>6500</v>
      </c>
      <c r="BG52" s="98">
        <f t="shared" si="308"/>
        <v>0</v>
      </c>
      <c r="BH52" s="99"/>
      <c r="BI52" s="100"/>
      <c r="BJ52" s="163">
        <f t="shared" si="265"/>
        <v>1</v>
      </c>
      <c r="BK52" s="1081"/>
      <c r="BL52" s="1081"/>
      <c r="BM52" s="1083"/>
      <c r="BN52" s="1084"/>
      <c r="BO52" s="862"/>
      <c r="BP52" s="862"/>
      <c r="BQ52" s="862"/>
      <c r="BR52" s="862"/>
      <c r="BS52" s="862"/>
      <c r="BT52" s="862"/>
      <c r="BU52" s="862"/>
      <c r="BV52" s="862"/>
      <c r="BW52" s="1081">
        <f t="shared" ref="BW52:BW66" si="314">SUM(AN52*12.5%)</f>
        <v>0</v>
      </c>
      <c r="BX52" s="862"/>
      <c r="BY52" s="862"/>
      <c r="BZ52" s="862"/>
      <c r="CA52" s="73">
        <f t="shared" ref="CA52:CA66" si="315">SUM(BO52:BZ52)</f>
        <v>0</v>
      </c>
      <c r="CB52" s="862"/>
      <c r="CC52" s="862"/>
      <c r="CD52" s="862"/>
      <c r="CE52" s="862"/>
      <c r="CF52" s="862"/>
      <c r="CG52" s="862"/>
      <c r="CH52" s="862"/>
      <c r="CI52" s="862"/>
      <c r="CJ52" s="1081"/>
      <c r="CK52" s="862"/>
      <c r="CL52" s="862"/>
      <c r="CM52" s="862"/>
      <c r="CN52" s="73">
        <f t="shared" ref="CN52:CN66" si="316">SUM(CB52:CM52)</f>
        <v>0</v>
      </c>
    </row>
    <row r="53" spans="1:92" s="92" customFormat="1" ht="32.25" customHeight="1" x14ac:dyDescent="0.2">
      <c r="A53" s="85"/>
      <c r="B53" s="1384" t="s">
        <v>713</v>
      </c>
      <c r="C53" s="153" t="s">
        <v>24</v>
      </c>
      <c r="D53" s="902">
        <v>64</v>
      </c>
      <c r="E53" s="87"/>
      <c r="F53" s="1328"/>
      <c r="G53" s="1402">
        <v>64</v>
      </c>
      <c r="H53" s="1324"/>
      <c r="I53" s="1566"/>
      <c r="J53" s="88"/>
      <c r="K53" s="88"/>
      <c r="L53" s="88"/>
      <c r="M53" s="88"/>
      <c r="N53" s="88"/>
      <c r="O53" s="88"/>
      <c r="P53" s="88"/>
      <c r="Q53" s="89">
        <f t="shared" ref="Q53:Q54" si="317">SUM(E53:P53)</f>
        <v>64</v>
      </c>
      <c r="R53" s="902" t="s">
        <v>28</v>
      </c>
      <c r="S53" s="1062">
        <v>202000</v>
      </c>
      <c r="T53" s="238"/>
      <c r="U53" s="1062"/>
      <c r="V53" s="1403">
        <f t="shared" ref="V53:V58" si="318">S53</f>
        <v>202000</v>
      </c>
      <c r="W53" s="1325"/>
      <c r="X53" s="1567"/>
      <c r="Y53" s="427"/>
      <c r="Z53" s="427"/>
      <c r="AA53" s="427"/>
      <c r="AB53" s="427"/>
      <c r="AC53" s="427"/>
      <c r="AD53" s="427"/>
      <c r="AE53" s="427"/>
      <c r="AF53" s="69">
        <f t="shared" ref="AF53" si="319">SUM(Q53*S53)</f>
        <v>12928000</v>
      </c>
      <c r="AG53" s="862">
        <f t="shared" ref="AG53:AG54" si="320">T53*E53</f>
        <v>0</v>
      </c>
      <c r="AH53" s="1128">
        <f t="shared" ref="AH53:AH54" si="321">U53*F53</f>
        <v>0</v>
      </c>
      <c r="AI53" s="1128">
        <f t="shared" ref="AI53:AI54" si="322">V53*G53</f>
        <v>12928000</v>
      </c>
      <c r="AJ53" s="1128">
        <f t="shared" ref="AJ53:AJ54" si="323">W53*H53</f>
        <v>0</v>
      </c>
      <c r="AK53" s="1106">
        <f t="shared" ref="AK53:AK54" si="324">X53*I53</f>
        <v>0</v>
      </c>
      <c r="AL53" s="862">
        <f t="shared" ref="AL53:AL54" si="325">Y53*J53</f>
        <v>0</v>
      </c>
      <c r="AM53" s="862">
        <f t="shared" ref="AM53:AM54" si="326">Z53*K53</f>
        <v>0</v>
      </c>
      <c r="AN53" s="862">
        <f t="shared" ref="AN53:AN54" si="327">AA53*L53</f>
        <v>0</v>
      </c>
      <c r="AO53" s="862">
        <f t="shared" ref="AO53:AO54" si="328">AB53*M53</f>
        <v>0</v>
      </c>
      <c r="AP53" s="862">
        <f t="shared" ref="AP53:AP54" si="329">AC53*N53</f>
        <v>0</v>
      </c>
      <c r="AQ53" s="862">
        <f t="shared" ref="AQ53:AQ54" si="330">AD53*O53</f>
        <v>0</v>
      </c>
      <c r="AR53" s="862">
        <f t="shared" ref="AR53:AR54" si="331">AE53*P53</f>
        <v>0</v>
      </c>
      <c r="AS53" s="863">
        <f t="shared" ref="AS53:AS54" si="332">SUM(AG53:AR53)</f>
        <v>12928000</v>
      </c>
      <c r="AT53" s="862">
        <f t="shared" ref="AT53:AT54" si="333">SUM(AG53*14%)</f>
        <v>0</v>
      </c>
      <c r="AU53" s="1128">
        <f t="shared" si="282"/>
        <v>0</v>
      </c>
      <c r="AV53" s="1128">
        <f>AI53*12.5%</f>
        <v>1616000</v>
      </c>
      <c r="AW53" s="1128"/>
      <c r="AX53" s="862"/>
      <c r="AY53" s="862"/>
      <c r="AZ53" s="862"/>
      <c r="BA53" s="862"/>
      <c r="BB53" s="862">
        <f t="shared" ref="BB53:BB54" si="334">SUM(AO53*14%)</f>
        <v>0</v>
      </c>
      <c r="BC53" s="862">
        <f t="shared" ref="BC53:BC54" si="335">SUM(AP53*14%)</f>
        <v>0</v>
      </c>
      <c r="BD53" s="862">
        <f t="shared" ref="BD53:BD54" si="336">SUM(AQ53*14%)</f>
        <v>0</v>
      </c>
      <c r="BE53" s="862">
        <f t="shared" ref="BE53:BE54" si="337">SUM(AR53*14%)</f>
        <v>0</v>
      </c>
      <c r="BF53" s="73">
        <f t="shared" ref="BF53:BF54" si="338">SUM(AT53:BE53)</f>
        <v>1616000</v>
      </c>
      <c r="BG53" s="98">
        <f t="shared" si="308"/>
        <v>0</v>
      </c>
      <c r="BH53" s="99">
        <f t="shared" ref="BH53:BH54" si="339">D53*U53</f>
        <v>0</v>
      </c>
      <c r="BI53" s="100"/>
      <c r="BJ53" s="163">
        <f t="shared" ref="BJ53:BJ54" si="340">SUM(Q53/D53)</f>
        <v>1</v>
      </c>
      <c r="BK53" s="1081"/>
      <c r="BL53" s="1081"/>
      <c r="BM53" s="1083"/>
      <c r="BN53" s="1084"/>
      <c r="BO53" s="862"/>
      <c r="BP53" s="862"/>
      <c r="BQ53" s="862"/>
      <c r="BR53" s="862"/>
      <c r="BS53" s="862"/>
      <c r="BT53" s="862"/>
      <c r="BU53" s="862"/>
      <c r="BV53" s="862"/>
      <c r="BW53" s="1081">
        <f t="shared" ref="BW53:BW54" si="341">SUM(AN53*12.5%)</f>
        <v>0</v>
      </c>
      <c r="BX53" s="862"/>
      <c r="BY53" s="862"/>
      <c r="BZ53" s="862"/>
      <c r="CA53" s="73">
        <f t="shared" ref="CA53:CA54" si="342">SUM(BO53:BZ53)</f>
        <v>0</v>
      </c>
      <c r="CB53" s="862"/>
      <c r="CC53" s="862"/>
      <c r="CD53" s="862"/>
      <c r="CE53" s="862"/>
      <c r="CF53" s="862"/>
      <c r="CG53" s="862"/>
      <c r="CH53" s="862"/>
      <c r="CI53" s="862"/>
      <c r="CJ53" s="1081"/>
      <c r="CK53" s="862"/>
      <c r="CL53" s="862"/>
      <c r="CM53" s="862"/>
      <c r="CN53" s="73">
        <f t="shared" ref="CN53:CN54" si="343">SUM(CB53:CM53)</f>
        <v>0</v>
      </c>
    </row>
    <row r="54" spans="1:92" s="92" customFormat="1" ht="32.25" customHeight="1" x14ac:dyDescent="0.2">
      <c r="A54" s="85"/>
      <c r="B54" s="1384" t="s">
        <v>714</v>
      </c>
      <c r="C54" s="153" t="s">
        <v>24</v>
      </c>
      <c r="D54" s="902">
        <v>72</v>
      </c>
      <c r="E54" s="87"/>
      <c r="F54" s="1328"/>
      <c r="G54" s="1402">
        <v>72</v>
      </c>
      <c r="H54" s="1324"/>
      <c r="I54" s="1566"/>
      <c r="J54" s="88"/>
      <c r="K54" s="88"/>
      <c r="L54" s="88"/>
      <c r="M54" s="88"/>
      <c r="N54" s="88"/>
      <c r="O54" s="88"/>
      <c r="P54" s="88"/>
      <c r="Q54" s="89">
        <f t="shared" si="317"/>
        <v>72</v>
      </c>
      <c r="R54" s="902" t="s">
        <v>28</v>
      </c>
      <c r="S54" s="1062">
        <v>49500</v>
      </c>
      <c r="T54" s="238"/>
      <c r="U54" s="1062"/>
      <c r="V54" s="1403">
        <f t="shared" si="318"/>
        <v>49500</v>
      </c>
      <c r="W54" s="1325"/>
      <c r="X54" s="1567"/>
      <c r="Y54" s="427"/>
      <c r="Z54" s="427"/>
      <c r="AA54" s="427"/>
      <c r="AB54" s="427"/>
      <c r="AC54" s="427"/>
      <c r="AD54" s="427"/>
      <c r="AE54" s="427"/>
      <c r="AF54" s="69">
        <f t="shared" ref="AF54:AF62" si="344">SUM(Q54*S54)</f>
        <v>3564000</v>
      </c>
      <c r="AG54" s="862">
        <f t="shared" si="320"/>
        <v>0</v>
      </c>
      <c r="AH54" s="1128">
        <f t="shared" si="321"/>
        <v>0</v>
      </c>
      <c r="AI54" s="1128">
        <f t="shared" si="322"/>
        <v>3564000</v>
      </c>
      <c r="AJ54" s="1128">
        <f t="shared" si="323"/>
        <v>0</v>
      </c>
      <c r="AK54" s="1106">
        <f t="shared" si="324"/>
        <v>0</v>
      </c>
      <c r="AL54" s="862">
        <f t="shared" si="325"/>
        <v>0</v>
      </c>
      <c r="AM54" s="862">
        <f t="shared" si="326"/>
        <v>0</v>
      </c>
      <c r="AN54" s="862">
        <f t="shared" si="327"/>
        <v>0</v>
      </c>
      <c r="AO54" s="862">
        <f t="shared" si="328"/>
        <v>0</v>
      </c>
      <c r="AP54" s="862">
        <f t="shared" si="329"/>
        <v>0</v>
      </c>
      <c r="AQ54" s="862">
        <f t="shared" si="330"/>
        <v>0</v>
      </c>
      <c r="AR54" s="862">
        <f t="shared" si="331"/>
        <v>0</v>
      </c>
      <c r="AS54" s="863">
        <f t="shared" si="332"/>
        <v>3564000</v>
      </c>
      <c r="AT54" s="862">
        <f t="shared" si="333"/>
        <v>0</v>
      </c>
      <c r="AU54" s="1128">
        <f t="shared" si="282"/>
        <v>0</v>
      </c>
      <c r="AV54" s="1128">
        <f t="shared" ref="AV54:AV57" si="345">AI54*12.5%</f>
        <v>445500</v>
      </c>
      <c r="AW54" s="1128"/>
      <c r="AX54" s="862"/>
      <c r="AY54" s="862"/>
      <c r="AZ54" s="862"/>
      <c r="BA54" s="862"/>
      <c r="BB54" s="862">
        <f t="shared" si="334"/>
        <v>0</v>
      </c>
      <c r="BC54" s="862">
        <f t="shared" si="335"/>
        <v>0</v>
      </c>
      <c r="BD54" s="862">
        <f t="shared" si="336"/>
        <v>0</v>
      </c>
      <c r="BE54" s="862">
        <f t="shared" si="337"/>
        <v>0</v>
      </c>
      <c r="BF54" s="73">
        <f t="shared" si="338"/>
        <v>445500</v>
      </c>
      <c r="BG54" s="98">
        <f t="shared" si="308"/>
        <v>0</v>
      </c>
      <c r="BH54" s="99">
        <f t="shared" si="339"/>
        <v>0</v>
      </c>
      <c r="BI54" s="100"/>
      <c r="BJ54" s="163">
        <f t="shared" si="340"/>
        <v>1</v>
      </c>
      <c r="BK54" s="1081"/>
      <c r="BL54" s="1081"/>
      <c r="BM54" s="1083"/>
      <c r="BN54" s="1084"/>
      <c r="BO54" s="862"/>
      <c r="BP54" s="862"/>
      <c r="BQ54" s="862"/>
      <c r="BR54" s="862"/>
      <c r="BS54" s="862"/>
      <c r="BT54" s="862"/>
      <c r="BU54" s="862"/>
      <c r="BV54" s="862"/>
      <c r="BW54" s="1081">
        <f t="shared" si="341"/>
        <v>0</v>
      </c>
      <c r="BX54" s="862"/>
      <c r="BY54" s="862"/>
      <c r="BZ54" s="862"/>
      <c r="CA54" s="73">
        <f t="shared" si="342"/>
        <v>0</v>
      </c>
      <c r="CB54" s="862"/>
      <c r="CC54" s="862"/>
      <c r="CD54" s="862"/>
      <c r="CE54" s="862"/>
      <c r="CF54" s="862"/>
      <c r="CG54" s="862"/>
      <c r="CH54" s="862"/>
      <c r="CI54" s="862"/>
      <c r="CJ54" s="1081"/>
      <c r="CK54" s="862"/>
      <c r="CL54" s="862"/>
      <c r="CM54" s="862"/>
      <c r="CN54" s="73">
        <f t="shared" si="343"/>
        <v>0</v>
      </c>
    </row>
    <row r="55" spans="1:92" s="92" customFormat="1" ht="32.25" customHeight="1" x14ac:dyDescent="0.2">
      <c r="A55" s="85"/>
      <c r="B55" s="1384" t="s">
        <v>715</v>
      </c>
      <c r="C55" s="153" t="s">
        <v>24</v>
      </c>
      <c r="D55" s="902">
        <v>12</v>
      </c>
      <c r="E55" s="87"/>
      <c r="F55" s="1328"/>
      <c r="G55" s="1402">
        <v>12</v>
      </c>
      <c r="H55" s="1324"/>
      <c r="I55" s="1566"/>
      <c r="J55" s="88"/>
      <c r="K55" s="88"/>
      <c r="L55" s="88"/>
      <c r="M55" s="88"/>
      <c r="N55" s="88"/>
      <c r="O55" s="88"/>
      <c r="P55" s="88"/>
      <c r="Q55" s="89">
        <f t="shared" ref="Q55:Q58" si="346">SUM(E55:P55)</f>
        <v>12</v>
      </c>
      <c r="R55" s="902" t="s">
        <v>28</v>
      </c>
      <c r="S55" s="1062">
        <v>640000</v>
      </c>
      <c r="T55" s="238"/>
      <c r="U55" s="1062"/>
      <c r="V55" s="1403">
        <f t="shared" si="318"/>
        <v>640000</v>
      </c>
      <c r="W55" s="1325"/>
      <c r="X55" s="1567"/>
      <c r="Y55" s="427"/>
      <c r="Z55" s="427"/>
      <c r="AA55" s="427"/>
      <c r="AB55" s="427"/>
      <c r="AC55" s="427"/>
      <c r="AD55" s="427"/>
      <c r="AE55" s="427"/>
      <c r="AF55" s="69">
        <f t="shared" si="344"/>
        <v>7680000</v>
      </c>
      <c r="AG55" s="862">
        <f t="shared" ref="AG55:AG58" si="347">T55*E55</f>
        <v>0</v>
      </c>
      <c r="AH55" s="1128">
        <f t="shared" ref="AH55:AH58" si="348">U55*F55</f>
        <v>0</v>
      </c>
      <c r="AI55" s="1128">
        <f t="shared" ref="AI55:AI58" si="349">V55*G55</f>
        <v>7680000</v>
      </c>
      <c r="AJ55" s="1128">
        <f t="shared" ref="AJ55:AJ58" si="350">W55*H55</f>
        <v>0</v>
      </c>
      <c r="AK55" s="1106">
        <f t="shared" ref="AK55:AK58" si="351">X55*I55</f>
        <v>0</v>
      </c>
      <c r="AL55" s="862">
        <f t="shared" ref="AL55:AL58" si="352">Y55*J55</f>
        <v>0</v>
      </c>
      <c r="AM55" s="862">
        <f t="shared" ref="AM55:AM58" si="353">Z55*K55</f>
        <v>0</v>
      </c>
      <c r="AN55" s="862">
        <f t="shared" ref="AN55:AN58" si="354">AA55*L55</f>
        <v>0</v>
      </c>
      <c r="AO55" s="862">
        <f t="shared" ref="AO55:AO58" si="355">AB55*M55</f>
        <v>0</v>
      </c>
      <c r="AP55" s="862">
        <f t="shared" ref="AP55:AP58" si="356">AC55*N55</f>
        <v>0</v>
      </c>
      <c r="AQ55" s="862">
        <f t="shared" ref="AQ55:AQ58" si="357">AD55*O55</f>
        <v>0</v>
      </c>
      <c r="AR55" s="862">
        <f t="shared" ref="AR55:AR58" si="358">AE55*P55</f>
        <v>0</v>
      </c>
      <c r="AS55" s="863">
        <f t="shared" ref="AS55:AS58" si="359">SUM(AG55:AR55)</f>
        <v>7680000</v>
      </c>
      <c r="AT55" s="862">
        <f t="shared" ref="AT55:AT58" si="360">SUM(AG55*14%)</f>
        <v>0</v>
      </c>
      <c r="AU55" s="1128">
        <f t="shared" si="282"/>
        <v>0</v>
      </c>
      <c r="AV55" s="1128">
        <f t="shared" si="345"/>
        <v>960000</v>
      </c>
      <c r="AW55" s="1128"/>
      <c r="AX55" s="862"/>
      <c r="AY55" s="862"/>
      <c r="AZ55" s="862"/>
      <c r="BA55" s="862"/>
      <c r="BB55" s="862">
        <f t="shared" ref="BB55:BB58" si="361">SUM(AO55*14%)</f>
        <v>0</v>
      </c>
      <c r="BC55" s="862">
        <f t="shared" ref="BC55:BC58" si="362">SUM(AP55*14%)</f>
        <v>0</v>
      </c>
      <c r="BD55" s="862">
        <f t="shared" ref="BD55:BD58" si="363">SUM(AQ55*14%)</f>
        <v>0</v>
      </c>
      <c r="BE55" s="862">
        <f t="shared" ref="BE55:BE58" si="364">SUM(AR55*14%)</f>
        <v>0</v>
      </c>
      <c r="BF55" s="73">
        <f t="shared" ref="BF55:BF58" si="365">SUM(AT55:BE55)</f>
        <v>960000</v>
      </c>
      <c r="BG55" s="98">
        <f t="shared" si="308"/>
        <v>0</v>
      </c>
      <c r="BH55" s="99">
        <f t="shared" ref="BH55:BH58" si="366">D55*U55</f>
        <v>0</v>
      </c>
      <c r="BI55" s="100"/>
      <c r="BJ55" s="163">
        <f t="shared" ref="BJ55:BJ58" si="367">SUM(Q55/D55)</f>
        <v>1</v>
      </c>
      <c r="BK55" s="1081"/>
      <c r="BL55" s="1081"/>
      <c r="BM55" s="1083"/>
      <c r="BN55" s="1084"/>
      <c r="BO55" s="862"/>
      <c r="BP55" s="862"/>
      <c r="BQ55" s="862"/>
      <c r="BR55" s="862"/>
      <c r="BS55" s="862"/>
      <c r="BT55" s="862"/>
      <c r="BU55" s="862"/>
      <c r="BV55" s="862"/>
      <c r="BW55" s="1081">
        <f t="shared" ref="BW55:BW58" si="368">SUM(AN55*12.5%)</f>
        <v>0</v>
      </c>
      <c r="BX55" s="862"/>
      <c r="BY55" s="862"/>
      <c r="BZ55" s="862"/>
      <c r="CA55" s="73">
        <f t="shared" ref="CA55:CA58" si="369">SUM(BO55:BZ55)</f>
        <v>0</v>
      </c>
      <c r="CB55" s="862"/>
      <c r="CC55" s="862"/>
      <c r="CD55" s="862"/>
      <c r="CE55" s="862"/>
      <c r="CF55" s="862"/>
      <c r="CG55" s="862"/>
      <c r="CH55" s="862"/>
      <c r="CI55" s="862"/>
      <c r="CJ55" s="1081"/>
      <c r="CK55" s="862"/>
      <c r="CL55" s="862"/>
      <c r="CM55" s="862"/>
      <c r="CN55" s="73">
        <f t="shared" ref="CN55:CN58" si="370">SUM(CB55:CM55)</f>
        <v>0</v>
      </c>
    </row>
    <row r="56" spans="1:92" s="92" customFormat="1" ht="32.25" customHeight="1" x14ac:dyDescent="0.2">
      <c r="A56" s="85"/>
      <c r="B56" s="1384" t="s">
        <v>716</v>
      </c>
      <c r="C56" s="153" t="s">
        <v>24</v>
      </c>
      <c r="D56" s="902">
        <v>36</v>
      </c>
      <c r="E56" s="87"/>
      <c r="F56" s="1328"/>
      <c r="G56" s="1402">
        <v>0</v>
      </c>
      <c r="H56" s="1324">
        <v>36</v>
      </c>
      <c r="I56" s="1566"/>
      <c r="J56" s="88"/>
      <c r="K56" s="88"/>
      <c r="L56" s="88"/>
      <c r="M56" s="88"/>
      <c r="N56" s="88"/>
      <c r="O56" s="88"/>
      <c r="P56" s="88"/>
      <c r="Q56" s="89">
        <f t="shared" si="346"/>
        <v>36</v>
      </c>
      <c r="R56" s="902" t="s">
        <v>28</v>
      </c>
      <c r="S56" s="1062">
        <v>41000</v>
      </c>
      <c r="T56" s="238"/>
      <c r="U56" s="1062"/>
      <c r="V56" s="1403">
        <v>0</v>
      </c>
      <c r="W56" s="1325">
        <f>S56</f>
        <v>41000</v>
      </c>
      <c r="X56" s="1567"/>
      <c r="Y56" s="427"/>
      <c r="Z56" s="427"/>
      <c r="AA56" s="427"/>
      <c r="AB56" s="427"/>
      <c r="AC56" s="427"/>
      <c r="AD56" s="427"/>
      <c r="AE56" s="427"/>
      <c r="AF56" s="69">
        <f t="shared" si="344"/>
        <v>1476000</v>
      </c>
      <c r="AG56" s="862">
        <f t="shared" si="347"/>
        <v>0</v>
      </c>
      <c r="AH56" s="1128">
        <f t="shared" si="348"/>
        <v>0</v>
      </c>
      <c r="AI56" s="1128">
        <f t="shared" si="349"/>
        <v>0</v>
      </c>
      <c r="AJ56" s="1128">
        <f t="shared" si="350"/>
        <v>1476000</v>
      </c>
      <c r="AK56" s="1106">
        <f t="shared" si="351"/>
        <v>0</v>
      </c>
      <c r="AL56" s="862">
        <f t="shared" si="352"/>
        <v>0</v>
      </c>
      <c r="AM56" s="862">
        <f t="shared" si="353"/>
        <v>0</v>
      </c>
      <c r="AN56" s="862">
        <f t="shared" si="354"/>
        <v>0</v>
      </c>
      <c r="AO56" s="862">
        <f t="shared" si="355"/>
        <v>0</v>
      </c>
      <c r="AP56" s="862">
        <f t="shared" si="356"/>
        <v>0</v>
      </c>
      <c r="AQ56" s="862">
        <f t="shared" si="357"/>
        <v>0</v>
      </c>
      <c r="AR56" s="862">
        <f t="shared" si="358"/>
        <v>0</v>
      </c>
      <c r="AS56" s="863">
        <f t="shared" si="359"/>
        <v>1476000</v>
      </c>
      <c r="AT56" s="862">
        <f t="shared" si="360"/>
        <v>0</v>
      </c>
      <c r="AU56" s="1128">
        <f t="shared" si="282"/>
        <v>0</v>
      </c>
      <c r="AV56" s="1128">
        <f t="shared" si="345"/>
        <v>0</v>
      </c>
      <c r="AW56" s="1128">
        <f>AJ56*12.5%</f>
        <v>184500</v>
      </c>
      <c r="AX56" s="862"/>
      <c r="AY56" s="862"/>
      <c r="AZ56" s="862"/>
      <c r="BA56" s="862"/>
      <c r="BB56" s="862">
        <f t="shared" si="361"/>
        <v>0</v>
      </c>
      <c r="BC56" s="862">
        <f t="shared" si="362"/>
        <v>0</v>
      </c>
      <c r="BD56" s="862">
        <f t="shared" si="363"/>
        <v>0</v>
      </c>
      <c r="BE56" s="862">
        <f t="shared" si="364"/>
        <v>0</v>
      </c>
      <c r="BF56" s="73">
        <f t="shared" si="365"/>
        <v>184500</v>
      </c>
      <c r="BG56" s="98">
        <f t="shared" si="308"/>
        <v>0</v>
      </c>
      <c r="BH56" s="99">
        <f t="shared" si="366"/>
        <v>0</v>
      </c>
      <c r="BI56" s="100"/>
      <c r="BJ56" s="163">
        <f t="shared" si="367"/>
        <v>1</v>
      </c>
      <c r="BK56" s="1081">
        <f>AJ56-AW56</f>
        <v>1291500</v>
      </c>
      <c r="BL56" s="1081">
        <f>35000*36</f>
        <v>1260000</v>
      </c>
      <c r="BM56" s="1083">
        <f>BK56-BL56</f>
        <v>31500</v>
      </c>
      <c r="BN56" s="1084"/>
      <c r="BO56" s="862"/>
      <c r="BP56" s="862"/>
      <c r="BQ56" s="862"/>
      <c r="BR56" s="862"/>
      <c r="BS56" s="862"/>
      <c r="BT56" s="862"/>
      <c r="BU56" s="862"/>
      <c r="BV56" s="862"/>
      <c r="BW56" s="1081">
        <f t="shared" si="368"/>
        <v>0</v>
      </c>
      <c r="BX56" s="862"/>
      <c r="BY56" s="862"/>
      <c r="BZ56" s="862"/>
      <c r="CA56" s="73">
        <f t="shared" si="369"/>
        <v>0</v>
      </c>
      <c r="CB56" s="862"/>
      <c r="CC56" s="862"/>
      <c r="CD56" s="862"/>
      <c r="CE56" s="862"/>
      <c r="CF56" s="862"/>
      <c r="CG56" s="862"/>
      <c r="CH56" s="862"/>
      <c r="CI56" s="862"/>
      <c r="CJ56" s="1081"/>
      <c r="CK56" s="862"/>
      <c r="CL56" s="862"/>
      <c r="CM56" s="862"/>
      <c r="CN56" s="73">
        <f t="shared" si="370"/>
        <v>0</v>
      </c>
    </row>
    <row r="57" spans="1:92" s="92" customFormat="1" ht="32.25" customHeight="1" x14ac:dyDescent="0.2">
      <c r="A57" s="85"/>
      <c r="B57" s="1384" t="s">
        <v>717</v>
      </c>
      <c r="C57" s="153" t="s">
        <v>24</v>
      </c>
      <c r="D57" s="902">
        <v>1</v>
      </c>
      <c r="E57" s="87"/>
      <c r="F57" s="1328"/>
      <c r="G57" s="1402">
        <v>1</v>
      </c>
      <c r="H57" s="1324"/>
      <c r="I57" s="1566"/>
      <c r="J57" s="88"/>
      <c r="K57" s="88"/>
      <c r="L57" s="88"/>
      <c r="M57" s="88"/>
      <c r="N57" s="88"/>
      <c r="O57" s="88"/>
      <c r="P57" s="88"/>
      <c r="Q57" s="89">
        <f t="shared" si="346"/>
        <v>1</v>
      </c>
      <c r="R57" s="902" t="s">
        <v>28</v>
      </c>
      <c r="S57" s="1062">
        <v>172000</v>
      </c>
      <c r="T57" s="238"/>
      <c r="U57" s="1062"/>
      <c r="V57" s="1403">
        <f t="shared" si="318"/>
        <v>172000</v>
      </c>
      <c r="W57" s="1325"/>
      <c r="X57" s="1567"/>
      <c r="Y57" s="427"/>
      <c r="Z57" s="427"/>
      <c r="AA57" s="427"/>
      <c r="AB57" s="427"/>
      <c r="AC57" s="427"/>
      <c r="AD57" s="427"/>
      <c r="AE57" s="427"/>
      <c r="AF57" s="69">
        <f t="shared" si="344"/>
        <v>172000</v>
      </c>
      <c r="AG57" s="862">
        <f t="shared" si="347"/>
        <v>0</v>
      </c>
      <c r="AH57" s="1128">
        <f t="shared" si="348"/>
        <v>0</v>
      </c>
      <c r="AI57" s="1128">
        <f t="shared" si="349"/>
        <v>172000</v>
      </c>
      <c r="AJ57" s="1128">
        <f t="shared" si="350"/>
        <v>0</v>
      </c>
      <c r="AK57" s="1106">
        <f t="shared" si="351"/>
        <v>0</v>
      </c>
      <c r="AL57" s="862">
        <f t="shared" si="352"/>
        <v>0</v>
      </c>
      <c r="AM57" s="862">
        <f t="shared" si="353"/>
        <v>0</v>
      </c>
      <c r="AN57" s="862">
        <f t="shared" si="354"/>
        <v>0</v>
      </c>
      <c r="AO57" s="862">
        <f t="shared" si="355"/>
        <v>0</v>
      </c>
      <c r="AP57" s="862">
        <f t="shared" si="356"/>
        <v>0</v>
      </c>
      <c r="AQ57" s="862">
        <f t="shared" si="357"/>
        <v>0</v>
      </c>
      <c r="AR57" s="862">
        <f t="shared" si="358"/>
        <v>0</v>
      </c>
      <c r="AS57" s="863">
        <f t="shared" si="359"/>
        <v>172000</v>
      </c>
      <c r="AT57" s="862">
        <f t="shared" si="360"/>
        <v>0</v>
      </c>
      <c r="AU57" s="1128">
        <f t="shared" si="282"/>
        <v>0</v>
      </c>
      <c r="AV57" s="1128">
        <f t="shared" si="345"/>
        <v>21500</v>
      </c>
      <c r="AW57" s="1128">
        <f t="shared" ref="AW57:AW64" si="371">AJ57*12.5%</f>
        <v>0</v>
      </c>
      <c r="AX57" s="862"/>
      <c r="AY57" s="862"/>
      <c r="AZ57" s="862"/>
      <c r="BA57" s="862"/>
      <c r="BB57" s="862">
        <f t="shared" si="361"/>
        <v>0</v>
      </c>
      <c r="BC57" s="862">
        <f t="shared" si="362"/>
        <v>0</v>
      </c>
      <c r="BD57" s="862">
        <f t="shared" si="363"/>
        <v>0</v>
      </c>
      <c r="BE57" s="862">
        <f t="shared" si="364"/>
        <v>0</v>
      </c>
      <c r="BF57" s="73">
        <f t="shared" si="365"/>
        <v>21500</v>
      </c>
      <c r="BG57" s="98">
        <f t="shared" si="308"/>
        <v>0</v>
      </c>
      <c r="BH57" s="99">
        <f t="shared" si="366"/>
        <v>0</v>
      </c>
      <c r="BI57" s="100"/>
      <c r="BJ57" s="163">
        <f t="shared" si="367"/>
        <v>1</v>
      </c>
      <c r="BK57" s="1081">
        <f t="shared" ref="BK57:BK65" si="372">AJ57-AW57</f>
        <v>0</v>
      </c>
      <c r="BL57" s="1081"/>
      <c r="BM57" s="1083"/>
      <c r="BN57" s="1084"/>
      <c r="BO57" s="862"/>
      <c r="BP57" s="862"/>
      <c r="BQ57" s="862"/>
      <c r="BR57" s="862"/>
      <c r="BS57" s="862"/>
      <c r="BT57" s="862"/>
      <c r="BU57" s="862"/>
      <c r="BV57" s="862"/>
      <c r="BW57" s="1081">
        <f t="shared" si="368"/>
        <v>0</v>
      </c>
      <c r="BX57" s="862"/>
      <c r="BY57" s="862"/>
      <c r="BZ57" s="862"/>
      <c r="CA57" s="73">
        <f t="shared" si="369"/>
        <v>0</v>
      </c>
      <c r="CB57" s="862"/>
      <c r="CC57" s="862"/>
      <c r="CD57" s="862"/>
      <c r="CE57" s="862"/>
      <c r="CF57" s="862"/>
      <c r="CG57" s="862"/>
      <c r="CH57" s="862"/>
      <c r="CI57" s="862"/>
      <c r="CJ57" s="1081"/>
      <c r="CK57" s="862"/>
      <c r="CL57" s="862"/>
      <c r="CM57" s="862"/>
      <c r="CN57" s="73">
        <f t="shared" si="370"/>
        <v>0</v>
      </c>
    </row>
    <row r="58" spans="1:92" s="92" customFormat="1" ht="32.25" customHeight="1" x14ac:dyDescent="0.2">
      <c r="A58" s="85"/>
      <c r="B58" s="1384" t="s">
        <v>718</v>
      </c>
      <c r="C58" s="153" t="s">
        <v>24</v>
      </c>
      <c r="D58" s="902">
        <v>1</v>
      </c>
      <c r="E58" s="87"/>
      <c r="F58" s="1328"/>
      <c r="G58" s="1402">
        <v>1</v>
      </c>
      <c r="H58" s="1324"/>
      <c r="I58" s="1566"/>
      <c r="J58" s="88"/>
      <c r="K58" s="88"/>
      <c r="L58" s="88"/>
      <c r="M58" s="88"/>
      <c r="N58" s="88"/>
      <c r="O58" s="88"/>
      <c r="P58" s="88"/>
      <c r="Q58" s="89">
        <f t="shared" si="346"/>
        <v>1</v>
      </c>
      <c r="R58" s="902" t="s">
        <v>28</v>
      </c>
      <c r="S58" s="1062">
        <v>230000</v>
      </c>
      <c r="T58" s="238"/>
      <c r="U58" s="1062"/>
      <c r="V58" s="1403">
        <f t="shared" si="318"/>
        <v>230000</v>
      </c>
      <c r="W58" s="1325"/>
      <c r="X58" s="1567"/>
      <c r="Y58" s="427"/>
      <c r="Z58" s="427"/>
      <c r="AA58" s="427"/>
      <c r="AB58" s="427"/>
      <c r="AC58" s="427"/>
      <c r="AD58" s="427"/>
      <c r="AE58" s="427"/>
      <c r="AF58" s="69">
        <f t="shared" si="344"/>
        <v>230000</v>
      </c>
      <c r="AG58" s="862">
        <f t="shared" si="347"/>
        <v>0</v>
      </c>
      <c r="AH58" s="1128">
        <f t="shared" si="348"/>
        <v>0</v>
      </c>
      <c r="AI58" s="1128">
        <f t="shared" si="349"/>
        <v>230000</v>
      </c>
      <c r="AJ58" s="1128">
        <f t="shared" si="350"/>
        <v>0</v>
      </c>
      <c r="AK58" s="1106">
        <f t="shared" si="351"/>
        <v>0</v>
      </c>
      <c r="AL58" s="862">
        <f t="shared" si="352"/>
        <v>0</v>
      </c>
      <c r="AM58" s="862">
        <f t="shared" si="353"/>
        <v>0</v>
      </c>
      <c r="AN58" s="862">
        <f t="shared" si="354"/>
        <v>0</v>
      </c>
      <c r="AO58" s="862">
        <f t="shared" si="355"/>
        <v>0</v>
      </c>
      <c r="AP58" s="862">
        <f t="shared" si="356"/>
        <v>0</v>
      </c>
      <c r="AQ58" s="862">
        <f t="shared" si="357"/>
        <v>0</v>
      </c>
      <c r="AR58" s="862">
        <f t="shared" si="358"/>
        <v>0</v>
      </c>
      <c r="AS58" s="863">
        <f t="shared" si="359"/>
        <v>230000</v>
      </c>
      <c r="AT58" s="862">
        <f t="shared" si="360"/>
        <v>0</v>
      </c>
      <c r="AU58" s="1128">
        <f t="shared" si="282"/>
        <v>0</v>
      </c>
      <c r="AV58" s="1128">
        <f>AI58*12.5%</f>
        <v>28750</v>
      </c>
      <c r="AW58" s="1128">
        <f t="shared" si="371"/>
        <v>0</v>
      </c>
      <c r="AX58" s="862"/>
      <c r="AY58" s="862"/>
      <c r="AZ58" s="862"/>
      <c r="BA58" s="862"/>
      <c r="BB58" s="862">
        <f t="shared" si="361"/>
        <v>0</v>
      </c>
      <c r="BC58" s="862">
        <f t="shared" si="362"/>
        <v>0</v>
      </c>
      <c r="BD58" s="862">
        <f t="shared" si="363"/>
        <v>0</v>
      </c>
      <c r="BE58" s="862">
        <f t="shared" si="364"/>
        <v>0</v>
      </c>
      <c r="BF58" s="73">
        <f t="shared" si="365"/>
        <v>28750</v>
      </c>
      <c r="BG58" s="98">
        <f t="shared" si="308"/>
        <v>0</v>
      </c>
      <c r="BH58" s="99">
        <f t="shared" si="366"/>
        <v>0</v>
      </c>
      <c r="BI58" s="100"/>
      <c r="BJ58" s="163">
        <f t="shared" si="367"/>
        <v>1</v>
      </c>
      <c r="BK58" s="1081">
        <f t="shared" si="372"/>
        <v>0</v>
      </c>
      <c r="BL58" s="1081"/>
      <c r="BM58" s="1083"/>
      <c r="BN58" s="1084"/>
      <c r="BO58" s="862"/>
      <c r="BP58" s="862"/>
      <c r="BQ58" s="862"/>
      <c r="BR58" s="862"/>
      <c r="BS58" s="862"/>
      <c r="BT58" s="862"/>
      <c r="BU58" s="862"/>
      <c r="BV58" s="862"/>
      <c r="BW58" s="1081">
        <f t="shared" si="368"/>
        <v>0</v>
      </c>
      <c r="BX58" s="862"/>
      <c r="BY58" s="862"/>
      <c r="BZ58" s="862"/>
      <c r="CA58" s="73">
        <f t="shared" si="369"/>
        <v>0</v>
      </c>
      <c r="CB58" s="862"/>
      <c r="CC58" s="862"/>
      <c r="CD58" s="862"/>
      <c r="CE58" s="862"/>
      <c r="CF58" s="862"/>
      <c r="CG58" s="862"/>
      <c r="CH58" s="862"/>
      <c r="CI58" s="862"/>
      <c r="CJ58" s="1081"/>
      <c r="CK58" s="862"/>
      <c r="CL58" s="862"/>
      <c r="CM58" s="862"/>
      <c r="CN58" s="73">
        <f t="shared" si="370"/>
        <v>0</v>
      </c>
    </row>
    <row r="59" spans="1:92" s="92" customFormat="1" ht="32.25" customHeight="1" x14ac:dyDescent="0.2">
      <c r="A59" s="85"/>
      <c r="B59" s="1384" t="s">
        <v>545</v>
      </c>
      <c r="C59" s="153" t="s">
        <v>24</v>
      </c>
      <c r="D59" s="902">
        <v>8</v>
      </c>
      <c r="E59" s="87"/>
      <c r="F59" s="1328"/>
      <c r="G59" s="1402"/>
      <c r="H59" s="1324">
        <v>8</v>
      </c>
      <c r="I59" s="1566"/>
      <c r="J59" s="88"/>
      <c r="K59" s="88"/>
      <c r="L59" s="88"/>
      <c r="M59" s="88"/>
      <c r="N59" s="88"/>
      <c r="O59" s="88"/>
      <c r="P59" s="88"/>
      <c r="Q59" s="89">
        <f t="shared" si="259"/>
        <v>8</v>
      </c>
      <c r="R59" s="902" t="s">
        <v>28</v>
      </c>
      <c r="S59" s="1062">
        <v>195000</v>
      </c>
      <c r="T59" s="238"/>
      <c r="U59" s="1062"/>
      <c r="V59" s="1403">
        <v>0</v>
      </c>
      <c r="W59" s="1325">
        <f>S59</f>
        <v>195000</v>
      </c>
      <c r="X59" s="1567"/>
      <c r="Y59" s="427"/>
      <c r="Z59" s="427"/>
      <c r="AA59" s="427"/>
      <c r="AB59" s="427"/>
      <c r="AC59" s="427"/>
      <c r="AD59" s="427"/>
      <c r="AE59" s="427"/>
      <c r="AF59" s="69">
        <f t="shared" si="344"/>
        <v>1560000</v>
      </c>
      <c r="AG59" s="862">
        <f t="shared" si="229"/>
        <v>0</v>
      </c>
      <c r="AH59" s="1128">
        <f t="shared" si="269"/>
        <v>0</v>
      </c>
      <c r="AI59" s="1128">
        <f t="shared" si="231"/>
        <v>0</v>
      </c>
      <c r="AJ59" s="1128">
        <f t="shared" si="232"/>
        <v>1560000</v>
      </c>
      <c r="AK59" s="1106">
        <f t="shared" si="233"/>
        <v>0</v>
      </c>
      <c r="AL59" s="862">
        <f t="shared" si="234"/>
        <v>0</v>
      </c>
      <c r="AM59" s="862">
        <f t="shared" si="235"/>
        <v>0</v>
      </c>
      <c r="AN59" s="862">
        <f t="shared" si="236"/>
        <v>0</v>
      </c>
      <c r="AO59" s="862">
        <f t="shared" si="237"/>
        <v>0</v>
      </c>
      <c r="AP59" s="862">
        <f t="shared" si="238"/>
        <v>0</v>
      </c>
      <c r="AQ59" s="862">
        <f t="shared" si="239"/>
        <v>0</v>
      </c>
      <c r="AR59" s="862">
        <f t="shared" si="240"/>
        <v>0</v>
      </c>
      <c r="AS59" s="863">
        <f t="shared" si="241"/>
        <v>1560000</v>
      </c>
      <c r="AT59" s="862">
        <f t="shared" si="242"/>
        <v>0</v>
      </c>
      <c r="AU59" s="1128">
        <f t="shared" si="282"/>
        <v>0</v>
      </c>
      <c r="AV59" s="1128"/>
      <c r="AW59" s="1128">
        <f t="shared" si="371"/>
        <v>195000</v>
      </c>
      <c r="AX59" s="862"/>
      <c r="AY59" s="862"/>
      <c r="AZ59" s="862"/>
      <c r="BA59" s="862"/>
      <c r="BB59" s="862">
        <f t="shared" si="260"/>
        <v>0</v>
      </c>
      <c r="BC59" s="862">
        <f t="shared" si="261"/>
        <v>0</v>
      </c>
      <c r="BD59" s="862">
        <f t="shared" si="262"/>
        <v>0</v>
      </c>
      <c r="BE59" s="862">
        <f t="shared" si="263"/>
        <v>0</v>
      </c>
      <c r="BF59" s="73">
        <f t="shared" si="264"/>
        <v>195000</v>
      </c>
      <c r="BG59" s="98">
        <f t="shared" si="308"/>
        <v>0</v>
      </c>
      <c r="BH59" s="99">
        <f t="shared" ref="BH59:BH62" si="373">D59*U59</f>
        <v>0</v>
      </c>
      <c r="BI59" s="100"/>
      <c r="BJ59" s="163">
        <f t="shared" si="265"/>
        <v>1</v>
      </c>
      <c r="BK59" s="1081">
        <f>AJ59-AW59</f>
        <v>1365000</v>
      </c>
      <c r="BL59" s="1081">
        <f>160000*8</f>
        <v>1280000</v>
      </c>
      <c r="BM59" s="1083">
        <f>BK59-BL59</f>
        <v>85000</v>
      </c>
      <c r="BN59" s="1084"/>
      <c r="BO59" s="862"/>
      <c r="BP59" s="862"/>
      <c r="BQ59" s="862"/>
      <c r="BR59" s="862"/>
      <c r="BS59" s="862"/>
      <c r="BT59" s="862"/>
      <c r="BU59" s="862"/>
      <c r="BV59" s="862"/>
      <c r="BW59" s="1081">
        <f t="shared" si="314"/>
        <v>0</v>
      </c>
      <c r="BX59" s="862"/>
      <c r="BY59" s="862"/>
      <c r="BZ59" s="862"/>
      <c r="CA59" s="73">
        <f t="shared" si="315"/>
        <v>0</v>
      </c>
      <c r="CB59" s="862"/>
      <c r="CC59" s="862"/>
      <c r="CD59" s="862"/>
      <c r="CE59" s="862"/>
      <c r="CF59" s="862"/>
      <c r="CG59" s="862"/>
      <c r="CH59" s="862"/>
      <c r="CI59" s="862"/>
      <c r="CJ59" s="1081"/>
      <c r="CK59" s="862"/>
      <c r="CL59" s="862"/>
      <c r="CM59" s="862"/>
      <c r="CN59" s="73">
        <f t="shared" si="316"/>
        <v>0</v>
      </c>
    </row>
    <row r="60" spans="1:92" s="92" customFormat="1" ht="32.25" customHeight="1" x14ac:dyDescent="0.2">
      <c r="A60" s="85"/>
      <c r="B60" s="1384" t="s">
        <v>719</v>
      </c>
      <c r="C60" s="153" t="s">
        <v>24</v>
      </c>
      <c r="D60" s="902">
        <v>5</v>
      </c>
      <c r="E60" s="87"/>
      <c r="F60" s="1328"/>
      <c r="G60" s="1402"/>
      <c r="H60" s="1324">
        <v>5</v>
      </c>
      <c r="I60" s="1566"/>
      <c r="J60" s="88"/>
      <c r="K60" s="88"/>
      <c r="L60" s="88"/>
      <c r="M60" s="88"/>
      <c r="N60" s="88"/>
      <c r="O60" s="88"/>
      <c r="P60" s="88"/>
      <c r="Q60" s="89">
        <f t="shared" ref="Q60" si="374">SUM(E60:P60)</f>
        <v>5</v>
      </c>
      <c r="R60" s="902" t="s">
        <v>28</v>
      </c>
      <c r="S60" s="1062">
        <v>240000</v>
      </c>
      <c r="T60" s="238"/>
      <c r="U60" s="1062"/>
      <c r="V60" s="1403">
        <v>0</v>
      </c>
      <c r="W60" s="1325">
        <f t="shared" ref="W60:W61" si="375">S60</f>
        <v>240000</v>
      </c>
      <c r="X60" s="1567"/>
      <c r="Y60" s="427"/>
      <c r="Z60" s="427"/>
      <c r="AA60" s="427"/>
      <c r="AB60" s="427"/>
      <c r="AC60" s="427"/>
      <c r="AD60" s="427"/>
      <c r="AE60" s="427"/>
      <c r="AF60" s="69">
        <f t="shared" ref="AF60" si="376">SUM(Q60*S60)</f>
        <v>1200000</v>
      </c>
      <c r="AG60" s="862">
        <f t="shared" ref="AG60:AG61" si="377">T60*E60</f>
        <v>0</v>
      </c>
      <c r="AH60" s="1128">
        <f t="shared" ref="AH60:AH61" si="378">U60*F60</f>
        <v>0</v>
      </c>
      <c r="AI60" s="1128">
        <f t="shared" ref="AI60:AI61" si="379">V60*G60</f>
        <v>0</v>
      </c>
      <c r="AJ60" s="1128">
        <f t="shared" ref="AJ60:AJ61" si="380">W60*H60</f>
        <v>1200000</v>
      </c>
      <c r="AK60" s="1106">
        <f t="shared" ref="AK60:AK61" si="381">X60*I60</f>
        <v>0</v>
      </c>
      <c r="AL60" s="862">
        <f t="shared" ref="AL60:AL61" si="382">Y60*J60</f>
        <v>0</v>
      </c>
      <c r="AM60" s="862">
        <f t="shared" ref="AM60:AM61" si="383">Z60*K60</f>
        <v>0</v>
      </c>
      <c r="AN60" s="862">
        <f t="shared" ref="AN60:AN61" si="384">AA60*L60</f>
        <v>0</v>
      </c>
      <c r="AO60" s="862">
        <f t="shared" ref="AO60:AO61" si="385">AB60*M60</f>
        <v>0</v>
      </c>
      <c r="AP60" s="862">
        <f t="shared" ref="AP60:AP61" si="386">AC60*N60</f>
        <v>0</v>
      </c>
      <c r="AQ60" s="862">
        <f t="shared" ref="AQ60:AQ61" si="387">AD60*O60</f>
        <v>0</v>
      </c>
      <c r="AR60" s="862">
        <f t="shared" ref="AR60:AR61" si="388">AE60*P60</f>
        <v>0</v>
      </c>
      <c r="AS60" s="863">
        <f t="shared" ref="AS60" si="389">SUM(AG60:AR60)</f>
        <v>1200000</v>
      </c>
      <c r="AT60" s="862">
        <f t="shared" ref="AT60" si="390">SUM(AG60*14%)</f>
        <v>0</v>
      </c>
      <c r="AU60" s="1128">
        <f t="shared" si="282"/>
        <v>0</v>
      </c>
      <c r="AV60" s="1128"/>
      <c r="AW60" s="1128">
        <f t="shared" ref="AW60:AW61" si="391">AJ60*12.5%</f>
        <v>150000</v>
      </c>
      <c r="AX60" s="862"/>
      <c r="AY60" s="862"/>
      <c r="AZ60" s="862"/>
      <c r="BA60" s="862"/>
      <c r="BB60" s="862">
        <f t="shared" ref="BB60" si="392">SUM(AO60*14%)</f>
        <v>0</v>
      </c>
      <c r="BC60" s="862">
        <f t="shared" ref="BC60" si="393">SUM(AP60*14%)</f>
        <v>0</v>
      </c>
      <c r="BD60" s="862">
        <f t="shared" ref="BD60" si="394">SUM(AQ60*14%)</f>
        <v>0</v>
      </c>
      <c r="BE60" s="862">
        <f t="shared" ref="BE60" si="395">SUM(AR60*14%)</f>
        <v>0</v>
      </c>
      <c r="BF60" s="73">
        <f t="shared" ref="BF60" si="396">SUM(AT60:BE60)</f>
        <v>150000</v>
      </c>
      <c r="BG60" s="98">
        <f t="shared" si="308"/>
        <v>0</v>
      </c>
      <c r="BH60" s="99">
        <f t="shared" ref="BH60:BH61" si="397">D60*U60</f>
        <v>0</v>
      </c>
      <c r="BI60" s="100"/>
      <c r="BJ60" s="163">
        <f t="shared" si="265"/>
        <v>1</v>
      </c>
      <c r="BK60" s="1081">
        <f t="shared" ref="BK60:BK61" si="398">AJ60-AW60</f>
        <v>1050000</v>
      </c>
      <c r="BL60" s="1081">
        <f>5*210000</f>
        <v>1050000</v>
      </c>
      <c r="BM60" s="1083">
        <f>BK60-BL60</f>
        <v>0</v>
      </c>
      <c r="BN60" s="1084"/>
      <c r="BO60" s="862"/>
      <c r="BP60" s="862"/>
      <c r="BQ60" s="862"/>
      <c r="BR60" s="862"/>
      <c r="BS60" s="862"/>
      <c r="BT60" s="862"/>
      <c r="BU60" s="862"/>
      <c r="BV60" s="862"/>
      <c r="BW60" s="1081">
        <f t="shared" ref="BW60:BW61" si="399">SUM(AN60*12.5%)</f>
        <v>0</v>
      </c>
      <c r="BX60" s="862"/>
      <c r="BY60" s="862"/>
      <c r="BZ60" s="862"/>
      <c r="CA60" s="73">
        <f t="shared" ref="CA60:CA61" si="400">SUM(BO60:BZ60)</f>
        <v>0</v>
      </c>
      <c r="CB60" s="862"/>
      <c r="CC60" s="862"/>
      <c r="CD60" s="862"/>
      <c r="CE60" s="862"/>
      <c r="CF60" s="862"/>
      <c r="CG60" s="862"/>
      <c r="CH60" s="862"/>
      <c r="CI60" s="862"/>
      <c r="CJ60" s="1081"/>
      <c r="CK60" s="862"/>
      <c r="CL60" s="862"/>
      <c r="CM60" s="862"/>
      <c r="CN60" s="73">
        <f t="shared" ref="CN60:CN61" si="401">SUM(CB60:CM60)</f>
        <v>0</v>
      </c>
    </row>
    <row r="61" spans="1:92" s="92" customFormat="1" ht="32.25" customHeight="1" x14ac:dyDescent="0.2">
      <c r="A61" s="85"/>
      <c r="B61" s="1384" t="s">
        <v>542</v>
      </c>
      <c r="C61" s="153" t="s">
        <v>24</v>
      </c>
      <c r="D61" s="902">
        <v>18</v>
      </c>
      <c r="E61" s="87"/>
      <c r="F61" s="1328"/>
      <c r="G61" s="1402"/>
      <c r="H61" s="1324">
        <v>18</v>
      </c>
      <c r="I61" s="1566"/>
      <c r="J61" s="88"/>
      <c r="K61" s="88"/>
      <c r="L61" s="88"/>
      <c r="M61" s="88"/>
      <c r="N61" s="88"/>
      <c r="O61" s="88"/>
      <c r="P61" s="88"/>
      <c r="Q61" s="89">
        <f t="shared" ref="Q61" si="402">SUM(E61:P61)</f>
        <v>18</v>
      </c>
      <c r="R61" s="902" t="s">
        <v>28</v>
      </c>
      <c r="S61" s="1062">
        <v>68000</v>
      </c>
      <c r="T61" s="238"/>
      <c r="U61" s="1062"/>
      <c r="V61" s="1403">
        <v>0</v>
      </c>
      <c r="W61" s="1325">
        <f t="shared" si="375"/>
        <v>68000</v>
      </c>
      <c r="X61" s="1567"/>
      <c r="Y61" s="427"/>
      <c r="Z61" s="427"/>
      <c r="AA61" s="427"/>
      <c r="AB61" s="427"/>
      <c r="AC61" s="427"/>
      <c r="AD61" s="427"/>
      <c r="AE61" s="427"/>
      <c r="AF61" s="69">
        <f t="shared" ref="AF61" si="403">SUM(Q61*S61)</f>
        <v>1224000</v>
      </c>
      <c r="AG61" s="862">
        <f t="shared" si="377"/>
        <v>0</v>
      </c>
      <c r="AH61" s="1128">
        <f t="shared" si="378"/>
        <v>0</v>
      </c>
      <c r="AI61" s="1128">
        <f t="shared" si="379"/>
        <v>0</v>
      </c>
      <c r="AJ61" s="1128">
        <f t="shared" si="380"/>
        <v>1224000</v>
      </c>
      <c r="AK61" s="1106">
        <f t="shared" si="381"/>
        <v>0</v>
      </c>
      <c r="AL61" s="862">
        <f t="shared" si="382"/>
        <v>0</v>
      </c>
      <c r="AM61" s="862">
        <f t="shared" si="383"/>
        <v>0</v>
      </c>
      <c r="AN61" s="862">
        <f t="shared" si="384"/>
        <v>0</v>
      </c>
      <c r="AO61" s="862">
        <f t="shared" si="385"/>
        <v>0</v>
      </c>
      <c r="AP61" s="862">
        <f t="shared" si="386"/>
        <v>0</v>
      </c>
      <c r="AQ61" s="862">
        <f t="shared" si="387"/>
        <v>0</v>
      </c>
      <c r="AR61" s="862">
        <f t="shared" si="388"/>
        <v>0</v>
      </c>
      <c r="AS61" s="863">
        <f t="shared" ref="AS61" si="404">SUM(AG61:AR61)</f>
        <v>1224000</v>
      </c>
      <c r="AT61" s="862">
        <f t="shared" ref="AT61" si="405">SUM(AG61*14%)</f>
        <v>0</v>
      </c>
      <c r="AU61" s="1128">
        <f t="shared" ref="AU61" si="406">AH61*12.5%</f>
        <v>0</v>
      </c>
      <c r="AV61" s="1128"/>
      <c r="AW61" s="1128">
        <f t="shared" si="391"/>
        <v>153000</v>
      </c>
      <c r="AX61" s="862"/>
      <c r="AY61" s="862"/>
      <c r="AZ61" s="862"/>
      <c r="BA61" s="862"/>
      <c r="BB61" s="862">
        <f t="shared" ref="BB61" si="407">SUM(AO61*14%)</f>
        <v>0</v>
      </c>
      <c r="BC61" s="862">
        <f t="shared" ref="BC61" si="408">SUM(AP61*14%)</f>
        <v>0</v>
      </c>
      <c r="BD61" s="862">
        <f t="shared" ref="BD61" si="409">SUM(AQ61*14%)</f>
        <v>0</v>
      </c>
      <c r="BE61" s="862">
        <f t="shared" ref="BE61" si="410">SUM(AR61*14%)</f>
        <v>0</v>
      </c>
      <c r="BF61" s="73">
        <f t="shared" ref="BF61" si="411">SUM(AT61:BE61)</f>
        <v>153000</v>
      </c>
      <c r="BG61" s="98">
        <f t="shared" ref="BG61" si="412">AF61-AS61</f>
        <v>0</v>
      </c>
      <c r="BH61" s="99">
        <f t="shared" si="397"/>
        <v>0</v>
      </c>
      <c r="BI61" s="100"/>
      <c r="BJ61" s="163">
        <f t="shared" ref="BJ61" si="413">SUM(Q61/D61)</f>
        <v>1</v>
      </c>
      <c r="BK61" s="1081">
        <f t="shared" si="398"/>
        <v>1071000</v>
      </c>
      <c r="BL61" s="1081">
        <f>18 *59000</f>
        <v>1062000</v>
      </c>
      <c r="BM61" s="1083">
        <f>BK61-BL61</f>
        <v>9000</v>
      </c>
      <c r="BN61" s="1084">
        <f>BM57+BM61</f>
        <v>9000</v>
      </c>
      <c r="BO61" s="862"/>
      <c r="BP61" s="862"/>
      <c r="BQ61" s="862"/>
      <c r="BR61" s="862"/>
      <c r="BS61" s="862"/>
      <c r="BT61" s="862"/>
      <c r="BU61" s="862"/>
      <c r="BV61" s="862"/>
      <c r="BW61" s="1081">
        <f t="shared" si="399"/>
        <v>0</v>
      </c>
      <c r="BX61" s="862"/>
      <c r="BY61" s="862"/>
      <c r="BZ61" s="862"/>
      <c r="CA61" s="73">
        <f t="shared" si="400"/>
        <v>0</v>
      </c>
      <c r="CB61" s="862"/>
      <c r="CC61" s="862"/>
      <c r="CD61" s="862"/>
      <c r="CE61" s="862"/>
      <c r="CF61" s="862"/>
      <c r="CG61" s="862"/>
      <c r="CH61" s="862"/>
      <c r="CI61" s="862"/>
      <c r="CJ61" s="1081"/>
      <c r="CK61" s="862"/>
      <c r="CL61" s="862"/>
      <c r="CM61" s="862"/>
      <c r="CN61" s="73">
        <f t="shared" si="401"/>
        <v>0</v>
      </c>
    </row>
    <row r="62" spans="1:92" s="92" customFormat="1" ht="32.25" customHeight="1" x14ac:dyDescent="0.2">
      <c r="A62" s="85"/>
      <c r="B62" s="1384" t="s">
        <v>724</v>
      </c>
      <c r="C62" s="153" t="s">
        <v>24</v>
      </c>
      <c r="D62" s="902">
        <v>1</v>
      </c>
      <c r="E62" s="87"/>
      <c r="F62" s="1328"/>
      <c r="G62" s="1402"/>
      <c r="H62" s="1324"/>
      <c r="I62" s="1566">
        <v>1</v>
      </c>
      <c r="J62" s="88"/>
      <c r="K62" s="88"/>
      <c r="L62" s="88"/>
      <c r="M62" s="88"/>
      <c r="N62" s="88"/>
      <c r="O62" s="88"/>
      <c r="P62" s="88"/>
      <c r="Q62" s="89">
        <f t="shared" si="259"/>
        <v>1</v>
      </c>
      <c r="R62" s="902" t="s">
        <v>28</v>
      </c>
      <c r="S62" s="1062">
        <v>13000000</v>
      </c>
      <c r="T62" s="238"/>
      <c r="U62" s="1062"/>
      <c r="V62" s="1403">
        <v>0</v>
      </c>
      <c r="W62" s="1325"/>
      <c r="X62" s="1591">
        <f>S62</f>
        <v>13000000</v>
      </c>
      <c r="Y62" s="427"/>
      <c r="Z62" s="427"/>
      <c r="AA62" s="427"/>
      <c r="AB62" s="427"/>
      <c r="AC62" s="427"/>
      <c r="AD62" s="427"/>
      <c r="AE62" s="427"/>
      <c r="AF62" s="69">
        <f t="shared" si="344"/>
        <v>13000000</v>
      </c>
      <c r="AG62" s="862">
        <f t="shared" si="229"/>
        <v>0</v>
      </c>
      <c r="AH62" s="1128">
        <f t="shared" si="269"/>
        <v>0</v>
      </c>
      <c r="AI62" s="1128">
        <f t="shared" si="231"/>
        <v>0</v>
      </c>
      <c r="AJ62" s="1128">
        <f t="shared" si="232"/>
        <v>0</v>
      </c>
      <c r="AK62" s="1106">
        <f t="shared" si="233"/>
        <v>13000000</v>
      </c>
      <c r="AL62" s="862">
        <f t="shared" si="234"/>
        <v>0</v>
      </c>
      <c r="AM62" s="862">
        <f t="shared" si="235"/>
        <v>0</v>
      </c>
      <c r="AN62" s="862">
        <f t="shared" si="236"/>
        <v>0</v>
      </c>
      <c r="AO62" s="862">
        <f t="shared" si="237"/>
        <v>0</v>
      </c>
      <c r="AP62" s="862">
        <f t="shared" si="238"/>
        <v>0</v>
      </c>
      <c r="AQ62" s="862">
        <f t="shared" si="239"/>
        <v>0</v>
      </c>
      <c r="AR62" s="862">
        <f t="shared" si="240"/>
        <v>0</v>
      </c>
      <c r="AS62" s="863">
        <f t="shared" ref="AS62" si="414">SUM(AG62:AR62)</f>
        <v>13000000</v>
      </c>
      <c r="AT62" s="862">
        <f t="shared" ref="AT62" si="415">SUM(AG62*14%)</f>
        <v>0</v>
      </c>
      <c r="AU62" s="1128">
        <f t="shared" ref="AU62" si="416">AH62*12.5%</f>
        <v>0</v>
      </c>
      <c r="AV62" s="1128"/>
      <c r="AW62" s="1128">
        <f t="shared" si="371"/>
        <v>0</v>
      </c>
      <c r="AX62" s="862"/>
      <c r="AY62" s="862"/>
      <c r="AZ62" s="862"/>
      <c r="BA62" s="862"/>
      <c r="BB62" s="862">
        <f t="shared" ref="BB62" si="417">SUM(AO62*14%)</f>
        <v>0</v>
      </c>
      <c r="BC62" s="862">
        <f t="shared" ref="BC62" si="418">SUM(AP62*14%)</f>
        <v>0</v>
      </c>
      <c r="BD62" s="862">
        <f t="shared" ref="BD62" si="419">SUM(AQ62*14%)</f>
        <v>0</v>
      </c>
      <c r="BE62" s="862">
        <f t="shared" ref="BE62" si="420">SUM(AR62*14%)</f>
        <v>0</v>
      </c>
      <c r="BF62" s="73">
        <f t="shared" ref="BF62" si="421">SUM(AT62:BE62)</f>
        <v>0</v>
      </c>
      <c r="BG62" s="98">
        <f t="shared" ref="BG62" si="422">AF62-AS62</f>
        <v>0</v>
      </c>
      <c r="BH62" s="99">
        <f t="shared" si="373"/>
        <v>0</v>
      </c>
      <c r="BI62" s="100"/>
      <c r="BJ62" s="163">
        <f t="shared" ref="BJ62" si="423">SUM(Q62/D62)</f>
        <v>1</v>
      </c>
      <c r="BK62" s="1081">
        <f t="shared" si="372"/>
        <v>0</v>
      </c>
      <c r="BL62" s="1081"/>
      <c r="BM62" s="1083"/>
      <c r="BN62" s="1084"/>
      <c r="BO62" s="862"/>
      <c r="BP62" s="862"/>
      <c r="BQ62" s="862"/>
      <c r="BR62" s="862"/>
      <c r="BS62" s="862"/>
      <c r="BT62" s="862"/>
      <c r="BU62" s="862"/>
      <c r="BV62" s="862"/>
      <c r="BW62" s="1081">
        <f t="shared" si="314"/>
        <v>0</v>
      </c>
      <c r="BX62" s="862"/>
      <c r="BY62" s="862"/>
      <c r="BZ62" s="862"/>
      <c r="CA62" s="73">
        <f t="shared" si="315"/>
        <v>0</v>
      </c>
      <c r="CB62" s="862"/>
      <c r="CC62" s="862"/>
      <c r="CD62" s="862"/>
      <c r="CE62" s="862"/>
      <c r="CF62" s="862"/>
      <c r="CG62" s="862"/>
      <c r="CH62" s="862"/>
      <c r="CI62" s="862"/>
      <c r="CJ62" s="1081"/>
      <c r="CK62" s="862"/>
      <c r="CL62" s="862"/>
      <c r="CM62" s="862"/>
      <c r="CN62" s="73">
        <f t="shared" si="316"/>
        <v>0</v>
      </c>
    </row>
    <row r="63" spans="1:92" s="92" customFormat="1" ht="32.25" customHeight="1" x14ac:dyDescent="0.2">
      <c r="A63" s="85"/>
      <c r="B63" s="1384" t="s">
        <v>727</v>
      </c>
      <c r="C63" s="153" t="s">
        <v>24</v>
      </c>
      <c r="D63" s="902">
        <v>1</v>
      </c>
      <c r="E63" s="87"/>
      <c r="F63" s="1328"/>
      <c r="G63" s="1402"/>
      <c r="H63" s="1324"/>
      <c r="I63" s="1566">
        <v>1</v>
      </c>
      <c r="J63" s="88"/>
      <c r="K63" s="88"/>
      <c r="L63" s="88"/>
      <c r="M63" s="88"/>
      <c r="N63" s="88"/>
      <c r="O63" s="88"/>
      <c r="P63" s="88"/>
      <c r="Q63" s="89">
        <f t="shared" ref="Q63" si="424">SUM(E63:P63)</f>
        <v>1</v>
      </c>
      <c r="R63" s="902" t="s">
        <v>28</v>
      </c>
      <c r="S63" s="1062">
        <v>2900000</v>
      </c>
      <c r="T63" s="238"/>
      <c r="U63" s="1062"/>
      <c r="V63" s="1403">
        <v>0</v>
      </c>
      <c r="W63" s="1325">
        <f t="shared" ref="W63" si="425">S63</f>
        <v>2900000</v>
      </c>
      <c r="X63" s="1567">
        <f>S63</f>
        <v>2900000</v>
      </c>
      <c r="Y63" s="427"/>
      <c r="Z63" s="427"/>
      <c r="AA63" s="427"/>
      <c r="AB63" s="427"/>
      <c r="AC63" s="427"/>
      <c r="AD63" s="427"/>
      <c r="AE63" s="427"/>
      <c r="AF63" s="69">
        <f t="shared" ref="AF63" si="426">SUM(Q63*S63)</f>
        <v>2900000</v>
      </c>
      <c r="AG63" s="862">
        <f t="shared" ref="AG63" si="427">T63*E63</f>
        <v>0</v>
      </c>
      <c r="AH63" s="1128">
        <f t="shared" ref="AH63" si="428">U63*F63</f>
        <v>0</v>
      </c>
      <c r="AI63" s="1128">
        <f t="shared" ref="AI63" si="429">V63*G63</f>
        <v>0</v>
      </c>
      <c r="AJ63" s="1128">
        <f t="shared" ref="AJ63" si="430">W63*H63</f>
        <v>0</v>
      </c>
      <c r="AK63" s="1106">
        <f t="shared" ref="AK63" si="431">X63*I63</f>
        <v>2900000</v>
      </c>
      <c r="AL63" s="862">
        <f t="shared" ref="AL63" si="432">Y63*J63</f>
        <v>0</v>
      </c>
      <c r="AM63" s="862">
        <f t="shared" ref="AM63" si="433">Z63*K63</f>
        <v>0</v>
      </c>
      <c r="AN63" s="862">
        <f t="shared" ref="AN63" si="434">AA63*L63</f>
        <v>0</v>
      </c>
      <c r="AO63" s="862">
        <f t="shared" ref="AO63" si="435">AB63*M63</f>
        <v>0</v>
      </c>
      <c r="AP63" s="862">
        <f t="shared" ref="AP63" si="436">AC63*N63</f>
        <v>0</v>
      </c>
      <c r="AQ63" s="862">
        <f t="shared" ref="AQ63" si="437">AD63*O63</f>
        <v>0</v>
      </c>
      <c r="AR63" s="862">
        <f t="shared" ref="AR63" si="438">AE63*P63</f>
        <v>0</v>
      </c>
      <c r="AS63" s="863">
        <f t="shared" ref="AS63" si="439">SUM(AG63:AR63)</f>
        <v>2900000</v>
      </c>
      <c r="AT63" s="862">
        <f t="shared" ref="AT63" si="440">SUM(AG63*14%)</f>
        <v>0</v>
      </c>
      <c r="AU63" s="1128">
        <f t="shared" si="282"/>
        <v>0</v>
      </c>
      <c r="AV63" s="1128"/>
      <c r="AW63" s="1128">
        <f t="shared" si="371"/>
        <v>0</v>
      </c>
      <c r="AX63" s="862"/>
      <c r="AY63" s="862"/>
      <c r="AZ63" s="862"/>
      <c r="BA63" s="862"/>
      <c r="BB63" s="862">
        <f t="shared" ref="BB63" si="441">SUM(AO63*14%)</f>
        <v>0</v>
      </c>
      <c r="BC63" s="862">
        <f t="shared" ref="BC63" si="442">SUM(AP63*14%)</f>
        <v>0</v>
      </c>
      <c r="BD63" s="862">
        <f t="shared" ref="BD63" si="443">SUM(AQ63*14%)</f>
        <v>0</v>
      </c>
      <c r="BE63" s="862">
        <f t="shared" ref="BE63" si="444">SUM(AR63*14%)</f>
        <v>0</v>
      </c>
      <c r="BF63" s="73">
        <f t="shared" ref="BF63" si="445">SUM(AT63:BE63)</f>
        <v>0</v>
      </c>
      <c r="BG63" s="98">
        <f t="shared" si="308"/>
        <v>0</v>
      </c>
      <c r="BH63" s="99">
        <f t="shared" ref="BH63" si="446">D63*U63</f>
        <v>0</v>
      </c>
      <c r="BI63" s="100"/>
      <c r="BJ63" s="163">
        <f t="shared" ref="BJ63" si="447">SUM(Q63/D63)</f>
        <v>1</v>
      </c>
      <c r="BK63" s="1081">
        <f t="shared" si="372"/>
        <v>0</v>
      </c>
      <c r="BL63" s="1081"/>
      <c r="BM63" s="1083"/>
      <c r="BN63" s="1084">
        <f>BM59+BM63</f>
        <v>85000</v>
      </c>
      <c r="BO63" s="862"/>
      <c r="BP63" s="862"/>
      <c r="BQ63" s="862"/>
      <c r="BR63" s="862"/>
      <c r="BS63" s="862"/>
      <c r="BT63" s="862"/>
      <c r="BU63" s="862"/>
      <c r="BV63" s="862"/>
      <c r="BW63" s="1081">
        <f t="shared" ref="BW63" si="448">SUM(AN63*12.5%)</f>
        <v>0</v>
      </c>
      <c r="BX63" s="862"/>
      <c r="BY63" s="862"/>
      <c r="BZ63" s="862"/>
      <c r="CA63" s="73">
        <f t="shared" ref="CA63" si="449">SUM(BO63:BZ63)</f>
        <v>0</v>
      </c>
      <c r="CB63" s="862"/>
      <c r="CC63" s="862"/>
      <c r="CD63" s="862"/>
      <c r="CE63" s="862"/>
      <c r="CF63" s="862"/>
      <c r="CG63" s="862"/>
      <c r="CH63" s="862"/>
      <c r="CI63" s="862"/>
      <c r="CJ63" s="1081"/>
      <c r="CK63" s="862"/>
      <c r="CL63" s="862"/>
      <c r="CM63" s="862"/>
      <c r="CN63" s="73">
        <f t="shared" ref="CN63" si="450">SUM(CB63:CM63)</f>
        <v>0</v>
      </c>
    </row>
    <row r="64" spans="1:92" s="92" customFormat="1" ht="32.25" customHeight="1" x14ac:dyDescent="0.2">
      <c r="A64" s="85"/>
      <c r="B64" s="1389" t="s">
        <v>405</v>
      </c>
      <c r="C64" s="153"/>
      <c r="D64" s="977"/>
      <c r="E64" s="87"/>
      <c r="F64" s="1200"/>
      <c r="G64" s="1324"/>
      <c r="H64" s="1324"/>
      <c r="I64" s="1566"/>
      <c r="J64" s="88"/>
      <c r="K64" s="88"/>
      <c r="L64" s="88"/>
      <c r="M64" s="88"/>
      <c r="N64" s="88"/>
      <c r="O64" s="88"/>
      <c r="P64" s="88"/>
      <c r="Q64" s="89"/>
      <c r="R64" s="42"/>
      <c r="S64" s="156"/>
      <c r="T64" s="238"/>
      <c r="U64" s="1325"/>
      <c r="V64" s="1325"/>
      <c r="W64" s="1325"/>
      <c r="X64" s="1567"/>
      <c r="Y64" s="427"/>
      <c r="Z64" s="427"/>
      <c r="AA64" s="427"/>
      <c r="AB64" s="427"/>
      <c r="AC64" s="427"/>
      <c r="AD64" s="427"/>
      <c r="AE64" s="427">
        <v>0</v>
      </c>
      <c r="AF64" s="69"/>
      <c r="AG64" s="862"/>
      <c r="AH64" s="1128"/>
      <c r="AI64" s="1128"/>
      <c r="AJ64" s="1128"/>
      <c r="AK64" s="1106"/>
      <c r="AL64" s="862"/>
      <c r="AM64" s="862"/>
      <c r="AN64" s="862"/>
      <c r="AO64" s="862"/>
      <c r="AP64" s="862"/>
      <c r="AQ64" s="862"/>
      <c r="AR64" s="862"/>
      <c r="AS64" s="863"/>
      <c r="AT64" s="862"/>
      <c r="AU64" s="1128"/>
      <c r="AV64" s="1128"/>
      <c r="AW64" s="1128">
        <f t="shared" si="371"/>
        <v>0</v>
      </c>
      <c r="AX64" s="862"/>
      <c r="AY64" s="862"/>
      <c r="AZ64" s="862"/>
      <c r="BA64" s="862"/>
      <c r="BB64" s="862"/>
      <c r="BC64" s="862"/>
      <c r="BD64" s="862"/>
      <c r="BE64" s="862"/>
      <c r="BF64" s="73"/>
      <c r="BG64" s="98"/>
      <c r="BH64" s="99"/>
      <c r="BI64" s="100"/>
      <c r="BJ64" s="1327"/>
      <c r="BK64" s="1081">
        <f t="shared" si="372"/>
        <v>0</v>
      </c>
      <c r="BL64" s="1081"/>
      <c r="BM64" s="1083"/>
      <c r="BN64" s="1084"/>
      <c r="BO64" s="862"/>
      <c r="BP64" s="862"/>
      <c r="BQ64" s="862"/>
      <c r="BR64" s="862"/>
      <c r="BS64" s="862"/>
      <c r="BT64" s="862"/>
      <c r="BU64" s="862"/>
      <c r="BV64" s="862"/>
      <c r="BW64" s="1081">
        <f t="shared" si="314"/>
        <v>0</v>
      </c>
      <c r="BX64" s="862"/>
      <c r="BY64" s="862"/>
      <c r="BZ64" s="862"/>
      <c r="CA64" s="73">
        <f t="shared" si="315"/>
        <v>0</v>
      </c>
      <c r="CB64" s="862"/>
      <c r="CC64" s="862"/>
      <c r="CD64" s="862"/>
      <c r="CE64" s="862"/>
      <c r="CF64" s="862"/>
      <c r="CG64" s="862"/>
      <c r="CH64" s="862"/>
      <c r="CI64" s="862"/>
      <c r="CJ64" s="1081"/>
      <c r="CK64" s="862"/>
      <c r="CL64" s="862"/>
      <c r="CM64" s="862"/>
      <c r="CN64" s="73">
        <f t="shared" si="316"/>
        <v>0</v>
      </c>
    </row>
    <row r="65" spans="1:98" s="92" customFormat="1" ht="32.25" customHeight="1" thickBot="1" x14ac:dyDescent="0.25">
      <c r="A65" s="85">
        <v>3</v>
      </c>
      <c r="B65" s="1502" t="s">
        <v>405</v>
      </c>
      <c r="C65" s="153" t="s">
        <v>24</v>
      </c>
      <c r="D65" s="902">
        <v>1</v>
      </c>
      <c r="E65" s="87">
        <v>1</v>
      </c>
      <c r="F65" s="1127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9">
        <f t="shared" ref="Q65" si="451">SUM(E65:P65)</f>
        <v>1</v>
      </c>
      <c r="R65" s="902" t="s">
        <v>406</v>
      </c>
      <c r="S65" s="1062">
        <v>13000000</v>
      </c>
      <c r="T65" s="238">
        <v>10250000</v>
      </c>
      <c r="U65" s="427"/>
      <c r="V65" s="427"/>
      <c r="W65" s="427"/>
      <c r="X65" s="427"/>
      <c r="Y65" s="427"/>
      <c r="Z65" s="427"/>
      <c r="AA65" s="427"/>
      <c r="AB65" s="427"/>
      <c r="AC65" s="427"/>
      <c r="AD65" s="427"/>
      <c r="AE65" s="427"/>
      <c r="AF65" s="69">
        <f t="shared" si="228"/>
        <v>13000000</v>
      </c>
      <c r="AG65" s="862">
        <f t="shared" si="229"/>
        <v>10250000</v>
      </c>
      <c r="AH65" s="862">
        <f t="shared" si="230"/>
        <v>0</v>
      </c>
      <c r="AI65" s="862">
        <f t="shared" si="231"/>
        <v>0</v>
      </c>
      <c r="AJ65" s="862">
        <f t="shared" si="232"/>
        <v>0</v>
      </c>
      <c r="AK65" s="862">
        <f t="shared" si="233"/>
        <v>0</v>
      </c>
      <c r="AL65" s="862">
        <f t="shared" si="234"/>
        <v>0</v>
      </c>
      <c r="AM65" s="862">
        <f t="shared" si="235"/>
        <v>0</v>
      </c>
      <c r="AN65" s="862">
        <f t="shared" si="236"/>
        <v>0</v>
      </c>
      <c r="AO65" s="862">
        <f t="shared" si="237"/>
        <v>0</v>
      </c>
      <c r="AP65" s="862">
        <f t="shared" si="238"/>
        <v>0</v>
      </c>
      <c r="AQ65" s="862">
        <f t="shared" si="239"/>
        <v>0</v>
      </c>
      <c r="AR65" s="862">
        <f t="shared" si="240"/>
        <v>0</v>
      </c>
      <c r="AS65" s="863">
        <f t="shared" si="241"/>
        <v>10250000</v>
      </c>
      <c r="AT65" s="862">
        <f t="shared" si="242"/>
        <v>1435000.0000000002</v>
      </c>
      <c r="AU65" s="862"/>
      <c r="AV65" s="862"/>
      <c r="AW65" s="862"/>
      <c r="AX65" s="862"/>
      <c r="AY65" s="862"/>
      <c r="AZ65" s="862"/>
      <c r="BA65" s="862"/>
      <c r="BB65" s="862">
        <f t="shared" si="260"/>
        <v>0</v>
      </c>
      <c r="BC65" s="862">
        <f t="shared" si="261"/>
        <v>0</v>
      </c>
      <c r="BD65" s="862">
        <f t="shared" si="262"/>
        <v>0</v>
      </c>
      <c r="BE65" s="862">
        <f t="shared" si="263"/>
        <v>0</v>
      </c>
      <c r="BF65" s="73">
        <f t="shared" ref="BF65" si="452">SUM(AT65:BE65)</f>
        <v>1435000.0000000002</v>
      </c>
      <c r="BG65" s="98">
        <f t="shared" si="253"/>
        <v>1314999.9999999998</v>
      </c>
      <c r="BH65" s="99">
        <f t="shared" ref="BH65" si="453">S65*D65</f>
        <v>13000000</v>
      </c>
      <c r="BI65" s="100">
        <f t="shared" si="255"/>
        <v>1314999.9999999998</v>
      </c>
      <c r="BJ65" s="163">
        <f t="shared" ref="BJ65" si="454">SUM(Q65/D65)</f>
        <v>1</v>
      </c>
      <c r="BK65" s="862">
        <f t="shared" si="372"/>
        <v>0</v>
      </c>
      <c r="BL65" s="862"/>
      <c r="BM65" s="1102"/>
      <c r="BN65" s="1084"/>
      <c r="BO65" s="862"/>
      <c r="BP65" s="862"/>
      <c r="BQ65" s="862"/>
      <c r="BR65" s="862"/>
      <c r="BS65" s="862"/>
      <c r="BT65" s="862"/>
      <c r="BU65" s="862"/>
      <c r="BV65" s="862"/>
      <c r="BW65" s="862">
        <f t="shared" si="314"/>
        <v>0</v>
      </c>
      <c r="BX65" s="862"/>
      <c r="BY65" s="862"/>
      <c r="BZ65" s="862"/>
      <c r="CA65" s="73">
        <f t="shared" si="315"/>
        <v>0</v>
      </c>
      <c r="CB65" s="862"/>
      <c r="CC65" s="862"/>
      <c r="CD65" s="862"/>
      <c r="CE65" s="862"/>
      <c r="CF65" s="862"/>
      <c r="CG65" s="862"/>
      <c r="CH65" s="862"/>
      <c r="CI65" s="862"/>
      <c r="CJ65" s="862"/>
      <c r="CK65" s="862"/>
      <c r="CL65" s="862"/>
      <c r="CM65" s="862"/>
      <c r="CN65" s="73">
        <f t="shared" si="316"/>
        <v>0</v>
      </c>
    </row>
    <row r="66" spans="1:98" s="1839" customFormat="1" ht="24.75" customHeight="1" thickBot="1" x14ac:dyDescent="0.25">
      <c r="A66" s="1834">
        <v>4</v>
      </c>
      <c r="B66" s="1835" t="s">
        <v>4</v>
      </c>
      <c r="C66" s="1835"/>
      <c r="D66" s="183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7"/>
      <c r="R66" s="1837"/>
      <c r="S66" s="1048"/>
      <c r="T66" s="1049"/>
      <c r="U66" s="1050"/>
      <c r="V66" s="1050"/>
      <c r="W66" s="1050"/>
      <c r="X66" s="1050"/>
      <c r="Y66" s="1050"/>
      <c r="Z66" s="1050"/>
      <c r="AA66" s="1050"/>
      <c r="AB66" s="1050"/>
      <c r="AC66" s="1050"/>
      <c r="AD66" s="1050"/>
      <c r="AE66" s="1050"/>
      <c r="AF66" s="1051">
        <f>SUM(AF46:AF65)</f>
        <v>72831000</v>
      </c>
      <c r="AG66" s="1051">
        <f>SUM(AG46:AG65)</f>
        <v>17250000</v>
      </c>
      <c r="AH66" s="1051">
        <f>SUM(AH46:AH65)</f>
        <v>2497000</v>
      </c>
      <c r="AI66" s="1051">
        <f t="shared" ref="AI66:AR66" si="455">SUM(AI46:AI64)</f>
        <v>24574000</v>
      </c>
      <c r="AJ66" s="1051">
        <f>SUM(AJ46:AJ64)</f>
        <v>5460000</v>
      </c>
      <c r="AK66" s="1051">
        <f t="shared" si="455"/>
        <v>15900000</v>
      </c>
      <c r="AL66" s="1051">
        <f t="shared" si="455"/>
        <v>0</v>
      </c>
      <c r="AM66" s="1051">
        <f t="shared" si="455"/>
        <v>0</v>
      </c>
      <c r="AN66" s="1051">
        <f t="shared" si="455"/>
        <v>0</v>
      </c>
      <c r="AO66" s="1051">
        <f t="shared" si="455"/>
        <v>0</v>
      </c>
      <c r="AP66" s="1051">
        <f t="shared" si="455"/>
        <v>0</v>
      </c>
      <c r="AQ66" s="1051">
        <f t="shared" si="455"/>
        <v>0</v>
      </c>
      <c r="AR66" s="1051">
        <f t="shared" si="455"/>
        <v>0</v>
      </c>
      <c r="AS66" s="1051">
        <f>SUM(AS46:AS65)-3000000</f>
        <v>62681000</v>
      </c>
      <c r="AT66" s="1051">
        <f>SUM(AT46:AT65)</f>
        <v>2415000.0000000005</v>
      </c>
      <c r="AU66" s="1051">
        <f t="shared" ref="AU66:BE66" si="456">SUM(AU46:AU64)</f>
        <v>312125</v>
      </c>
      <c r="AV66" s="1051">
        <f>SUM(AV46:AV64)</f>
        <v>3071750</v>
      </c>
      <c r="AW66" s="1051">
        <f>SUM(AW46:AW64)</f>
        <v>682500</v>
      </c>
      <c r="AX66" s="1051">
        <f t="shared" si="456"/>
        <v>0</v>
      </c>
      <c r="AY66" s="1051">
        <f t="shared" si="456"/>
        <v>0</v>
      </c>
      <c r="AZ66" s="1051">
        <f t="shared" si="456"/>
        <v>0</v>
      </c>
      <c r="BA66" s="1051">
        <f t="shared" si="456"/>
        <v>0</v>
      </c>
      <c r="BB66" s="1051">
        <f t="shared" si="456"/>
        <v>0</v>
      </c>
      <c r="BC66" s="1051">
        <f t="shared" si="456"/>
        <v>0</v>
      </c>
      <c r="BD66" s="1051">
        <f t="shared" si="456"/>
        <v>0</v>
      </c>
      <c r="BE66" s="1051">
        <f t="shared" si="456"/>
        <v>0</v>
      </c>
      <c r="BF66" s="1051">
        <f>SUM(BF46:BF65)</f>
        <v>6481375</v>
      </c>
      <c r="BG66" s="1052">
        <f>SUM(BG46:BG65)</f>
        <v>4735000</v>
      </c>
      <c r="BH66" s="1052">
        <f>SUM(BH46:BH65)</f>
        <v>74400000</v>
      </c>
      <c r="BI66" s="1051">
        <f>SUM(BI47:BI65)</f>
        <v>6304000</v>
      </c>
      <c r="BJ66" s="1838">
        <v>1</v>
      </c>
      <c r="BK66" s="862">
        <f>SUM(BK49:BK65)</f>
        <v>4777500</v>
      </c>
      <c r="BL66" s="862">
        <f>SUM(BL49:BL65)</f>
        <v>4652000</v>
      </c>
      <c r="BM66" s="1102">
        <f>SUM(BM49:BM65)</f>
        <v>125500</v>
      </c>
      <c r="BN66" s="1084"/>
      <c r="BO66" s="862"/>
      <c r="BP66" s="862"/>
      <c r="BQ66" s="862"/>
      <c r="BR66" s="862"/>
      <c r="BS66" s="862"/>
      <c r="BT66" s="862"/>
      <c r="BU66" s="862"/>
      <c r="BV66" s="862"/>
      <c r="BW66" s="862">
        <f t="shared" si="314"/>
        <v>0</v>
      </c>
      <c r="BX66" s="862"/>
      <c r="BY66" s="862"/>
      <c r="BZ66" s="862"/>
      <c r="CA66" s="73">
        <f t="shared" si="315"/>
        <v>0</v>
      </c>
      <c r="CB66" s="862"/>
      <c r="CC66" s="862"/>
      <c r="CD66" s="862"/>
      <c r="CE66" s="862"/>
      <c r="CF66" s="862"/>
      <c r="CG66" s="862"/>
      <c r="CH66" s="862"/>
      <c r="CI66" s="862"/>
      <c r="CJ66" s="862"/>
      <c r="CK66" s="862"/>
      <c r="CL66" s="862"/>
      <c r="CM66" s="862"/>
      <c r="CN66" s="73">
        <f t="shared" si="316"/>
        <v>0</v>
      </c>
    </row>
    <row r="67" spans="1:98" s="20" customFormat="1" ht="24.75" customHeight="1" x14ac:dyDescent="0.2">
      <c r="A67" s="50"/>
      <c r="B67" s="1274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236"/>
      <c r="T67" s="236"/>
      <c r="AE67" s="40"/>
      <c r="AJ67" s="404"/>
      <c r="AS67" s="51"/>
      <c r="BF67" s="52">
        <f>SUM(AS66+BF66)</f>
        <v>69162375</v>
      </c>
      <c r="BG67" s="53">
        <f>AF66-AS66-BF65-BF47</f>
        <v>7735000</v>
      </c>
      <c r="BH67" s="54">
        <f>SUM(BI66+AS66+BF65+BF47)</f>
        <v>71400000</v>
      </c>
      <c r="BI67" s="55">
        <f>SUM(BG66)</f>
        <v>4735000</v>
      </c>
      <c r="BJ67" s="40" t="s">
        <v>38</v>
      </c>
      <c r="BK67" s="171"/>
      <c r="BL67" s="24"/>
      <c r="BM67" s="236">
        <v>9875</v>
      </c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</row>
    <row r="68" spans="1:98" s="20" customFormat="1" ht="24.75" customHeight="1" x14ac:dyDescent="0.2">
      <c r="A68" s="50"/>
      <c r="B68" s="1274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842"/>
      <c r="O68" s="842"/>
      <c r="P68" s="50"/>
      <c r="Q68" s="50"/>
      <c r="R68" s="50"/>
      <c r="S68" s="236">
        <f>SUM(S52*14%)</f>
        <v>7280.0000000000009</v>
      </c>
      <c r="T68" s="236"/>
      <c r="AE68" s="40"/>
      <c r="AJ68" s="1474">
        <f>AH66+AI66+AJ66+AK66</f>
        <v>48431000</v>
      </c>
      <c r="AK68" s="174">
        <f>50000000-AJ68</f>
        <v>1569000</v>
      </c>
      <c r="AS68" s="40"/>
      <c r="AT68" s="123">
        <f>SUM(AG66+AT66)</f>
        <v>19665000</v>
      </c>
      <c r="AU68" s="123"/>
      <c r="AV68" s="123">
        <f>AH66-AU66-18000</f>
        <v>2166875</v>
      </c>
      <c r="AW68" s="123">
        <f t="shared" ref="AW68" si="457">SUM(AJ66+AW66)</f>
        <v>6142500</v>
      </c>
      <c r="AX68" s="123">
        <f t="shared" ref="AX68" si="458">SUM(AK66+AX66)</f>
        <v>15900000</v>
      </c>
      <c r="AY68" s="123">
        <f t="shared" ref="AY68" si="459">SUM(AL66+AY66)</f>
        <v>0</v>
      </c>
      <c r="AZ68" s="123">
        <f t="shared" ref="AZ68" si="460">SUM(AM66+AZ66)</f>
        <v>0</v>
      </c>
      <c r="BA68" s="123">
        <f t="shared" ref="BA68" si="461">SUM(AN66+BA66)</f>
        <v>0</v>
      </c>
      <c r="BB68" s="123">
        <f t="shared" ref="BB68" si="462">SUM(AO66+BB66)</f>
        <v>0</v>
      </c>
      <c r="BC68" s="123">
        <f t="shared" ref="BC68" si="463">SUM(AP66+BC66)</f>
        <v>0</v>
      </c>
      <c r="BD68" s="123">
        <f t="shared" ref="BD68" si="464">SUM(AQ66+BD66)</f>
        <v>0</v>
      </c>
      <c r="BE68" s="123">
        <f t="shared" ref="BE68" si="465">SUM(AR66+BE66)</f>
        <v>0</v>
      </c>
      <c r="BF68" s="123">
        <f>SUM(AT68:BE68)</f>
        <v>43874375</v>
      </c>
      <c r="BG68" s="123">
        <f>SUM(BG66-BG67)</f>
        <v>-3000000</v>
      </c>
      <c r="BH68" s="123">
        <f>SUM(BH66-BH67)</f>
        <v>3000000</v>
      </c>
      <c r="BI68" s="57">
        <f>SUM(BI66-BI67)</f>
        <v>1569000</v>
      </c>
      <c r="BJ68" s="40" t="s">
        <v>37</v>
      </c>
      <c r="BK68" s="171"/>
      <c r="BL68" s="24"/>
      <c r="BM68" s="236">
        <v>23000</v>
      </c>
      <c r="BN68" s="24">
        <f>BM67+BM68</f>
        <v>32875</v>
      </c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</row>
    <row r="69" spans="1:98" s="781" customFormat="1" ht="24.75" customHeight="1" x14ac:dyDescent="0.2">
      <c r="A69" s="1785" t="s">
        <v>8</v>
      </c>
      <c r="B69" s="1786"/>
      <c r="C69" s="770" t="s">
        <v>536</v>
      </c>
      <c r="D69" s="771"/>
      <c r="E69" s="771"/>
      <c r="F69" s="771"/>
      <c r="G69" s="771"/>
      <c r="H69" s="771"/>
      <c r="I69" s="771"/>
      <c r="J69" s="771"/>
      <c r="K69" s="771"/>
      <c r="L69" s="771"/>
      <c r="M69" s="771"/>
      <c r="N69" s="771"/>
      <c r="O69" s="771"/>
      <c r="P69" s="771"/>
      <c r="Q69" s="771"/>
      <c r="R69" s="771"/>
      <c r="S69" s="772"/>
      <c r="T69" s="773"/>
      <c r="U69" s="774"/>
      <c r="V69" s="774"/>
      <c r="W69" s="774"/>
      <c r="X69" s="774"/>
      <c r="Y69" s="774"/>
      <c r="Z69" s="774"/>
      <c r="AA69" s="774"/>
      <c r="AB69" s="774"/>
      <c r="AC69" s="774"/>
      <c r="AD69" s="774"/>
      <c r="AE69" s="775"/>
      <c r="AF69" s="771"/>
      <c r="AG69" s="774"/>
      <c r="AH69" s="774"/>
      <c r="AI69" s="774"/>
      <c r="AJ69" s="774" t="s">
        <v>725</v>
      </c>
      <c r="AK69" s="774" t="s">
        <v>726</v>
      </c>
      <c r="AL69" s="774"/>
      <c r="AM69" s="774"/>
      <c r="AN69" s="774"/>
      <c r="AO69" s="774"/>
      <c r="AP69" s="774"/>
      <c r="AQ69" s="774"/>
      <c r="AR69" s="774"/>
      <c r="AS69" s="776"/>
      <c r="AT69" s="774"/>
      <c r="AU69" s="774"/>
      <c r="AV69" s="774"/>
      <c r="AW69" s="774"/>
      <c r="AX69" s="774"/>
      <c r="AY69" s="774"/>
      <c r="AZ69" s="774"/>
      <c r="BA69" s="774"/>
      <c r="BB69" s="774"/>
      <c r="BC69" s="774"/>
      <c r="BD69" s="1564">
        <f>SUM(BF49:BF62)</f>
        <v>4066375</v>
      </c>
      <c r="BE69" s="774"/>
      <c r="BF69" s="776"/>
      <c r="BG69" s="776"/>
      <c r="BH69" s="769"/>
      <c r="BI69" s="777"/>
      <c r="BJ69" s="771"/>
      <c r="BK69" s="778"/>
      <c r="BL69" s="774"/>
      <c r="BM69" s="406">
        <f>BM66</f>
        <v>125500</v>
      </c>
      <c r="BN69" s="1372">
        <f>BN68+BM69</f>
        <v>158375</v>
      </c>
      <c r="BO69" s="774"/>
      <c r="BP69" s="775"/>
      <c r="BQ69" s="774"/>
      <c r="BR69" s="774"/>
      <c r="BS69" s="774"/>
      <c r="BT69" s="774"/>
      <c r="BU69" s="774"/>
      <c r="BV69" s="776"/>
      <c r="BW69" s="776"/>
      <c r="BX69" s="776"/>
      <c r="BY69" s="769"/>
      <c r="BZ69" s="777"/>
      <c r="CA69" s="776"/>
      <c r="CB69" s="776"/>
      <c r="CC69" s="779"/>
      <c r="CD69" s="779"/>
      <c r="CE69" s="779"/>
      <c r="CF69" s="779"/>
      <c r="CG69" s="779"/>
      <c r="CH69" s="780"/>
      <c r="CI69" s="779"/>
      <c r="CJ69" s="779"/>
      <c r="CK69" s="779"/>
      <c r="CL69" s="779"/>
      <c r="CM69" s="779"/>
      <c r="CN69" s="779"/>
      <c r="CO69" s="779"/>
      <c r="CP69" s="779"/>
      <c r="CQ69" s="779"/>
      <c r="CR69" s="779"/>
      <c r="CS69" s="779"/>
      <c r="CT69" s="779"/>
    </row>
    <row r="70" spans="1:98" s="8" customFormat="1" ht="48.75" customHeight="1" x14ac:dyDescent="0.2">
      <c r="A70" s="1703" t="s">
        <v>10</v>
      </c>
      <c r="B70" s="1787" t="s">
        <v>11</v>
      </c>
      <c r="C70" s="1706" t="s">
        <v>22</v>
      </c>
      <c r="D70" s="1721" t="s">
        <v>12</v>
      </c>
      <c r="E70" s="1721"/>
      <c r="F70" s="1721"/>
      <c r="G70" s="1721"/>
      <c r="H70" s="1721"/>
      <c r="I70" s="1721"/>
      <c r="J70" s="1721"/>
      <c r="K70" s="1721"/>
      <c r="L70" s="1721"/>
      <c r="M70" s="1721"/>
      <c r="N70" s="1721"/>
      <c r="O70" s="1721"/>
      <c r="P70" s="1721"/>
      <c r="Q70" s="1721"/>
      <c r="R70" s="1706" t="s">
        <v>20</v>
      </c>
      <c r="S70" s="1717" t="s">
        <v>17</v>
      </c>
      <c r="T70" s="1718"/>
      <c r="U70" s="1718"/>
      <c r="V70" s="1718"/>
      <c r="W70" s="1718"/>
      <c r="X70" s="1718"/>
      <c r="Y70" s="1718"/>
      <c r="Z70" s="1718"/>
      <c r="AA70" s="1718"/>
      <c r="AB70" s="1718"/>
      <c r="AC70" s="1718"/>
      <c r="AD70" s="1718"/>
      <c r="AE70" s="1719"/>
      <c r="AF70" s="1720" t="s">
        <v>6</v>
      </c>
      <c r="AG70" s="1720"/>
      <c r="AH70" s="1720"/>
      <c r="AI70" s="1720"/>
      <c r="AJ70" s="1720"/>
      <c r="AK70" s="1720"/>
      <c r="AL70" s="1720"/>
      <c r="AM70" s="1720"/>
      <c r="AN70" s="1720"/>
      <c r="AO70" s="1720"/>
      <c r="AP70" s="1720"/>
      <c r="AQ70" s="1720"/>
      <c r="AR70" s="1720"/>
      <c r="AS70" s="1720"/>
      <c r="AT70" s="1722" t="s">
        <v>41</v>
      </c>
      <c r="AU70" s="1723"/>
      <c r="AV70" s="1723"/>
      <c r="AW70" s="1723"/>
      <c r="AX70" s="1723"/>
      <c r="AY70" s="1723"/>
      <c r="AZ70" s="1723"/>
      <c r="BA70" s="1723"/>
      <c r="BB70" s="1723"/>
      <c r="BC70" s="1723"/>
      <c r="BD70" s="1723"/>
      <c r="BE70" s="1723"/>
      <c r="BF70" s="1724"/>
      <c r="BG70" s="1706" t="s">
        <v>38</v>
      </c>
      <c r="BH70" s="1706" t="s">
        <v>256</v>
      </c>
      <c r="BI70" s="1709" t="s">
        <v>39</v>
      </c>
      <c r="BJ70" s="135"/>
      <c r="BK70" s="1284"/>
      <c r="BL70" s="135"/>
      <c r="BM70" s="135"/>
      <c r="BN70" s="135"/>
      <c r="BO70" s="1733" t="s">
        <v>41</v>
      </c>
      <c r="BP70" s="1734"/>
      <c r="BQ70" s="1734"/>
      <c r="BR70" s="1734"/>
      <c r="BS70" s="1734"/>
      <c r="BT70" s="1734"/>
      <c r="BU70" s="1734"/>
      <c r="BV70" s="1734"/>
      <c r="BW70" s="1734"/>
      <c r="BX70" s="1734"/>
      <c r="BY70" s="1734"/>
      <c r="BZ70" s="1734"/>
      <c r="CA70" s="1734"/>
      <c r="CB70" s="1734"/>
      <c r="CC70" s="1734"/>
      <c r="CD70" s="1734"/>
      <c r="CE70" s="1734"/>
      <c r="CF70" s="1734"/>
      <c r="CG70" s="1734"/>
      <c r="CH70" s="1734"/>
      <c r="CI70" s="1734"/>
      <c r="CJ70" s="1734"/>
      <c r="CK70" s="1734"/>
      <c r="CL70" s="1734"/>
      <c r="CM70" s="1734"/>
      <c r="CN70" s="1735"/>
    </row>
    <row r="71" spans="1:98" s="8" customFormat="1" ht="48.75" customHeight="1" x14ac:dyDescent="0.2">
      <c r="A71" s="1704"/>
      <c r="B71" s="1788"/>
      <c r="C71" s="1707"/>
      <c r="D71" s="1712" t="s">
        <v>18</v>
      </c>
      <c r="E71" s="1714">
        <v>2</v>
      </c>
      <c r="F71" s="1715"/>
      <c r="G71" s="1715"/>
      <c r="H71" s="1715"/>
      <c r="I71" s="1715"/>
      <c r="J71" s="1715"/>
      <c r="K71" s="1715"/>
      <c r="L71" s="1715"/>
      <c r="M71" s="1715"/>
      <c r="N71" s="1715"/>
      <c r="O71" s="1715"/>
      <c r="P71" s="1715"/>
      <c r="Q71" s="1715"/>
      <c r="R71" s="1707"/>
      <c r="S71" s="1728" t="s">
        <v>18</v>
      </c>
      <c r="T71" s="1714" t="s">
        <v>19</v>
      </c>
      <c r="U71" s="1715"/>
      <c r="V71" s="1715"/>
      <c r="W71" s="1715"/>
      <c r="X71" s="1715"/>
      <c r="Y71" s="1715"/>
      <c r="Z71" s="1715"/>
      <c r="AA71" s="1715"/>
      <c r="AB71" s="1715"/>
      <c r="AC71" s="1715"/>
      <c r="AD71" s="1715"/>
      <c r="AE71" s="1716"/>
      <c r="AF71" s="1712" t="s">
        <v>18</v>
      </c>
      <c r="AG71" s="1714" t="s">
        <v>19</v>
      </c>
      <c r="AH71" s="1715"/>
      <c r="AI71" s="1715"/>
      <c r="AJ71" s="1715"/>
      <c r="AK71" s="1715"/>
      <c r="AL71" s="1715"/>
      <c r="AM71" s="1715"/>
      <c r="AN71" s="1715"/>
      <c r="AO71" s="1715"/>
      <c r="AP71" s="1715"/>
      <c r="AQ71" s="1715"/>
      <c r="AR71" s="1715"/>
      <c r="AS71" s="1716"/>
      <c r="AT71" s="1725"/>
      <c r="AU71" s="1726"/>
      <c r="AV71" s="1726"/>
      <c r="AW71" s="1726"/>
      <c r="AX71" s="1726"/>
      <c r="AY71" s="1726"/>
      <c r="AZ71" s="1726"/>
      <c r="BA71" s="1726"/>
      <c r="BB71" s="1726"/>
      <c r="BC71" s="1726"/>
      <c r="BD71" s="1726"/>
      <c r="BE71" s="1726"/>
      <c r="BF71" s="1727"/>
      <c r="BG71" s="1707"/>
      <c r="BH71" s="1707"/>
      <c r="BI71" s="1710"/>
      <c r="BJ71" s="135"/>
      <c r="BK71" s="1736">
        <f>SUM(BK73/60)</f>
        <v>0</v>
      </c>
      <c r="BL71" s="1736"/>
      <c r="BM71" s="1736"/>
      <c r="BN71" s="23"/>
      <c r="BO71" s="1737" t="s">
        <v>686</v>
      </c>
      <c r="BP71" s="1738"/>
      <c r="BQ71" s="1738"/>
      <c r="BR71" s="1738"/>
      <c r="BS71" s="1738"/>
      <c r="BT71" s="1738"/>
      <c r="BU71" s="1738"/>
      <c r="BV71" s="1738"/>
      <c r="BW71" s="1738"/>
      <c r="BX71" s="1738"/>
      <c r="BY71" s="1738"/>
      <c r="BZ71" s="1738"/>
      <c r="CA71" s="1739"/>
      <c r="CB71" s="1740" t="s">
        <v>687</v>
      </c>
      <c r="CC71" s="1741"/>
      <c r="CD71" s="1741"/>
      <c r="CE71" s="1741"/>
      <c r="CF71" s="1741"/>
      <c r="CG71" s="1741"/>
      <c r="CH71" s="1741"/>
      <c r="CI71" s="1741"/>
      <c r="CJ71" s="1741"/>
      <c r="CK71" s="1741"/>
      <c r="CL71" s="1741"/>
      <c r="CM71" s="1741"/>
      <c r="CN71" s="1742"/>
    </row>
    <row r="72" spans="1:98" s="6" customFormat="1" ht="28.5" customHeight="1" x14ac:dyDescent="0.2">
      <c r="A72" s="1704"/>
      <c r="B72" s="1788"/>
      <c r="C72" s="1707"/>
      <c r="D72" s="1784"/>
      <c r="E72" s="26">
        <v>1</v>
      </c>
      <c r="F72" s="26">
        <v>2</v>
      </c>
      <c r="G72" s="26">
        <v>3</v>
      </c>
      <c r="H72" s="26">
        <v>4</v>
      </c>
      <c r="I72" s="26">
        <v>5</v>
      </c>
      <c r="J72" s="26">
        <v>6</v>
      </c>
      <c r="K72" s="26">
        <v>7</v>
      </c>
      <c r="L72" s="26">
        <v>8</v>
      </c>
      <c r="M72" s="26">
        <v>9</v>
      </c>
      <c r="N72" s="26">
        <v>10</v>
      </c>
      <c r="O72" s="26">
        <v>11</v>
      </c>
      <c r="P72" s="26">
        <v>12</v>
      </c>
      <c r="Q72" s="26" t="s">
        <v>21</v>
      </c>
      <c r="R72" s="1707"/>
      <c r="S72" s="1732"/>
      <c r="T72" s="26">
        <v>1</v>
      </c>
      <c r="U72" s="26">
        <v>2</v>
      </c>
      <c r="V72" s="26">
        <v>3</v>
      </c>
      <c r="W72" s="26">
        <v>4</v>
      </c>
      <c r="X72" s="26">
        <v>5</v>
      </c>
      <c r="Y72" s="26">
        <v>6</v>
      </c>
      <c r="Z72" s="26">
        <v>7</v>
      </c>
      <c r="AA72" s="26">
        <v>8</v>
      </c>
      <c r="AB72" s="26">
        <v>9</v>
      </c>
      <c r="AC72" s="26">
        <v>10</v>
      </c>
      <c r="AD72" s="26">
        <v>11</v>
      </c>
      <c r="AE72" s="26">
        <v>12</v>
      </c>
      <c r="AF72" s="1784"/>
      <c r="AG72" s="26">
        <v>1</v>
      </c>
      <c r="AH72" s="26">
        <v>2</v>
      </c>
      <c r="AI72" s="26">
        <v>3</v>
      </c>
      <c r="AJ72" s="26">
        <v>4</v>
      </c>
      <c r="AK72" s="26">
        <v>5</v>
      </c>
      <c r="AL72" s="26">
        <v>6</v>
      </c>
      <c r="AM72" s="26">
        <v>7</v>
      </c>
      <c r="AN72" s="26">
        <v>8</v>
      </c>
      <c r="AO72" s="26">
        <v>9</v>
      </c>
      <c r="AP72" s="26">
        <v>10</v>
      </c>
      <c r="AQ72" s="26">
        <v>11</v>
      </c>
      <c r="AR72" s="26">
        <v>12</v>
      </c>
      <c r="AS72" s="26" t="s">
        <v>13</v>
      </c>
      <c r="AT72" s="173">
        <v>1</v>
      </c>
      <c r="AU72" s="173">
        <v>2</v>
      </c>
      <c r="AV72" s="173">
        <v>3</v>
      </c>
      <c r="AW72" s="173">
        <v>4</v>
      </c>
      <c r="AX72" s="173">
        <v>5</v>
      </c>
      <c r="AY72" s="173">
        <v>6</v>
      </c>
      <c r="AZ72" s="173">
        <v>7</v>
      </c>
      <c r="BA72" s="173">
        <v>8</v>
      </c>
      <c r="BB72" s="173">
        <v>9</v>
      </c>
      <c r="BC72" s="173">
        <v>10</v>
      </c>
      <c r="BD72" s="173">
        <v>11</v>
      </c>
      <c r="BE72" s="173">
        <v>12</v>
      </c>
      <c r="BF72" s="26" t="s">
        <v>13</v>
      </c>
      <c r="BG72" s="1707"/>
      <c r="BH72" s="1707"/>
      <c r="BI72" s="1711"/>
      <c r="BJ72" s="7"/>
      <c r="BK72" s="1743" t="s">
        <v>19</v>
      </c>
      <c r="BL72" s="1744"/>
      <c r="BM72" s="1745"/>
      <c r="BN72" s="621"/>
      <c r="BO72" s="173">
        <v>1</v>
      </c>
      <c r="BP72" s="173">
        <v>2</v>
      </c>
      <c r="BQ72" s="173">
        <v>3</v>
      </c>
      <c r="BR72" s="173">
        <v>4</v>
      </c>
      <c r="BS72" s="173">
        <v>5</v>
      </c>
      <c r="BT72" s="173">
        <v>6</v>
      </c>
      <c r="BU72" s="173">
        <v>7</v>
      </c>
      <c r="BV72" s="173">
        <v>8</v>
      </c>
      <c r="BW72" s="173">
        <v>9</v>
      </c>
      <c r="BX72" s="173">
        <v>10</v>
      </c>
      <c r="BY72" s="173">
        <v>11</v>
      </c>
      <c r="BZ72" s="173">
        <v>12</v>
      </c>
      <c r="CA72" s="26" t="s">
        <v>13</v>
      </c>
      <c r="CB72" s="173">
        <v>1</v>
      </c>
      <c r="CC72" s="173">
        <v>2</v>
      </c>
      <c r="CD72" s="173">
        <v>3</v>
      </c>
      <c r="CE72" s="173">
        <v>4</v>
      </c>
      <c r="CF72" s="173">
        <v>5</v>
      </c>
      <c r="CG72" s="173">
        <v>6</v>
      </c>
      <c r="CH72" s="173">
        <v>7</v>
      </c>
      <c r="CI72" s="173">
        <v>8</v>
      </c>
      <c r="CJ72" s="173">
        <v>9</v>
      </c>
      <c r="CK72" s="173">
        <v>10</v>
      </c>
      <c r="CL72" s="173">
        <v>11</v>
      </c>
      <c r="CM72" s="173">
        <v>12</v>
      </c>
      <c r="CN72" s="26" t="s">
        <v>13</v>
      </c>
    </row>
    <row r="73" spans="1:98" s="92" customFormat="1" ht="20.25" customHeight="1" x14ac:dyDescent="0.2">
      <c r="A73" s="28"/>
      <c r="B73" s="1390" t="s">
        <v>537</v>
      </c>
      <c r="C73" s="1034"/>
      <c r="D73" s="867"/>
      <c r="E73" s="764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1"/>
      <c r="R73" s="1035"/>
      <c r="S73" s="860"/>
      <c r="T73" s="1036"/>
      <c r="U73" s="861"/>
      <c r="V73" s="861"/>
      <c r="W73" s="861"/>
      <c r="X73" s="861"/>
      <c r="Y73" s="861"/>
      <c r="Z73" s="861"/>
      <c r="AA73" s="861"/>
      <c r="AB73" s="861"/>
      <c r="AC73" s="861"/>
      <c r="AD73" s="861"/>
      <c r="AE73" s="861"/>
      <c r="AF73" s="629"/>
      <c r="AG73" s="862"/>
      <c r="AH73" s="862"/>
      <c r="AI73" s="862"/>
      <c r="AJ73" s="862"/>
      <c r="AK73" s="862"/>
      <c r="AL73" s="862"/>
      <c r="AM73" s="862"/>
      <c r="AN73" s="862"/>
      <c r="AO73" s="862"/>
      <c r="AP73" s="862"/>
      <c r="AQ73" s="862"/>
      <c r="AR73" s="862"/>
      <c r="AS73" s="863"/>
      <c r="AT73" s="862"/>
      <c r="AU73" s="862"/>
      <c r="AV73" s="862"/>
      <c r="AW73" s="862"/>
      <c r="AX73" s="862"/>
      <c r="AY73" s="862"/>
      <c r="AZ73" s="862"/>
      <c r="BA73" s="862"/>
      <c r="BB73" s="862"/>
      <c r="BC73" s="862"/>
      <c r="BD73" s="862"/>
      <c r="BE73" s="862"/>
      <c r="BF73" s="863"/>
      <c r="BG73" s="698"/>
      <c r="BH73" s="687"/>
      <c r="BI73" s="688"/>
      <c r="BJ73" s="163"/>
      <c r="BK73" s="1081"/>
      <c r="BL73" s="1081"/>
      <c r="BM73" s="1083"/>
      <c r="BN73" s="1084"/>
      <c r="BO73" s="862"/>
      <c r="BP73" s="862"/>
      <c r="BQ73" s="862"/>
      <c r="BR73" s="862"/>
      <c r="BS73" s="862"/>
      <c r="BT73" s="862"/>
      <c r="BU73" s="862"/>
      <c r="BV73" s="862"/>
      <c r="BW73" s="1081">
        <f t="shared" ref="BW73:BW74" si="466">SUM(AN73*12.5%)</f>
        <v>0</v>
      </c>
      <c r="BX73" s="862"/>
      <c r="BY73" s="862"/>
      <c r="BZ73" s="862"/>
      <c r="CA73" s="73">
        <f t="shared" ref="CA73" si="467">SUM(BO73:BZ73)</f>
        <v>0</v>
      </c>
      <c r="CB73" s="862"/>
      <c r="CC73" s="862"/>
      <c r="CD73" s="862"/>
      <c r="CE73" s="862"/>
      <c r="CF73" s="862"/>
      <c r="CG73" s="862"/>
      <c r="CH73" s="862"/>
      <c r="CI73" s="862"/>
      <c r="CJ73" s="1081"/>
      <c r="CK73" s="862"/>
      <c r="CL73" s="862"/>
      <c r="CM73" s="862"/>
      <c r="CN73" s="73">
        <f t="shared" ref="CN73:CN74" si="468">SUM(CB73:CM73)</f>
        <v>0</v>
      </c>
    </row>
    <row r="74" spans="1:98" s="38" customFormat="1" ht="20.25" customHeight="1" x14ac:dyDescent="0.2">
      <c r="A74" s="28"/>
      <c r="B74" s="1391" t="s">
        <v>538</v>
      </c>
      <c r="C74" s="29" t="s">
        <v>24</v>
      </c>
      <c r="D74" s="1037">
        <v>1</v>
      </c>
      <c r="E74" s="695">
        <v>1</v>
      </c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1">
        <f>SUM(E74:P74)</f>
        <v>1</v>
      </c>
      <c r="R74" s="759" t="s">
        <v>555</v>
      </c>
      <c r="S74" s="1038">
        <v>150000</v>
      </c>
      <c r="T74" s="763">
        <v>120000</v>
      </c>
      <c r="U74" s="861"/>
      <c r="V74" s="861"/>
      <c r="W74" s="861"/>
      <c r="X74" s="861"/>
      <c r="Y74" s="861"/>
      <c r="Z74" s="861"/>
      <c r="AA74" s="861"/>
      <c r="AB74" s="861"/>
      <c r="AC74" s="861"/>
      <c r="AD74" s="861"/>
      <c r="AE74" s="861"/>
      <c r="AF74" s="629">
        <f t="shared" ref="AF74:AF75" si="469">SUM(Q74*S74)</f>
        <v>150000</v>
      </c>
      <c r="AG74" s="862">
        <f t="shared" ref="AG74:AG75" si="470">T74*E74</f>
        <v>120000</v>
      </c>
      <c r="AH74" s="862">
        <f t="shared" ref="AH74:AH75" si="471">U74*F74</f>
        <v>0</v>
      </c>
      <c r="AI74" s="862">
        <f t="shared" ref="AI74:AI75" si="472">V74*G74</f>
        <v>0</v>
      </c>
      <c r="AJ74" s="862">
        <f t="shared" ref="AJ74:AJ75" si="473">W74*H74</f>
        <v>0</v>
      </c>
      <c r="AK74" s="862">
        <f t="shared" ref="AK74:AK75" si="474">X74*I74</f>
        <v>0</v>
      </c>
      <c r="AL74" s="862">
        <f t="shared" ref="AL74:AL75" si="475">Y74*J74</f>
        <v>0</v>
      </c>
      <c r="AM74" s="862">
        <f t="shared" ref="AM74:AM75" si="476">Z74*K74</f>
        <v>0</v>
      </c>
      <c r="AN74" s="862">
        <f t="shared" ref="AN74:AN75" si="477">AA74*L74</f>
        <v>0</v>
      </c>
      <c r="AO74" s="862">
        <f t="shared" ref="AO74:AO75" si="478">AB74*M74</f>
        <v>0</v>
      </c>
      <c r="AP74" s="862">
        <f t="shared" ref="AP74:AP75" si="479">AC74*N74</f>
        <v>0</v>
      </c>
      <c r="AQ74" s="862">
        <f t="shared" ref="AQ74:AQ75" si="480">AD74*O74</f>
        <v>0</v>
      </c>
      <c r="AR74" s="862">
        <f t="shared" ref="AR74:AR75" si="481">AE74*P74</f>
        <v>0</v>
      </c>
      <c r="AS74" s="863">
        <f t="shared" ref="AS74:AS75" si="482">SUM(AG74:AR74)</f>
        <v>120000</v>
      </c>
      <c r="AT74" s="862">
        <f>SUM(AG74*4%)</f>
        <v>4800</v>
      </c>
      <c r="AU74" s="862">
        <f t="shared" ref="AU74:AU89" si="483">SUM(AH74*14%)</f>
        <v>0</v>
      </c>
      <c r="AV74" s="862">
        <f t="shared" ref="AV74:AV90" si="484">SUM(AI74*14%)</f>
        <v>0</v>
      </c>
      <c r="AW74" s="862">
        <f t="shared" ref="AW74:AW86" si="485">SUM(AJ74*14%)</f>
        <v>0</v>
      </c>
      <c r="AX74" s="862">
        <f t="shared" ref="AX74:AX90" si="486">SUM(AK74*14%)</f>
        <v>0</v>
      </c>
      <c r="AY74" s="862">
        <f t="shared" ref="AY74:AY90" si="487">SUM(AL74*14%)</f>
        <v>0</v>
      </c>
      <c r="AZ74" s="862">
        <f t="shared" ref="AZ74:AZ90" si="488">SUM(AM74*14%)</f>
        <v>0</v>
      </c>
      <c r="BA74" s="862">
        <f t="shared" ref="BA74:BA90" si="489">SUM(AN74*14%)</f>
        <v>0</v>
      </c>
      <c r="BB74" s="862">
        <f t="shared" ref="BB74:BB90" si="490">SUM(AO74*14%)</f>
        <v>0</v>
      </c>
      <c r="BC74" s="862">
        <f t="shared" ref="BC74:BC90" si="491">SUM(AP74*14%)</f>
        <v>0</v>
      </c>
      <c r="BD74" s="862">
        <f t="shared" ref="BD74:BD90" si="492">SUM(AQ74*14%)</f>
        <v>0</v>
      </c>
      <c r="BE74" s="862">
        <f t="shared" ref="BE74:BE90" si="493">SUM(AR74*14%)</f>
        <v>0</v>
      </c>
      <c r="BF74" s="863">
        <f>SUM(AT74:BE74)</f>
        <v>4800</v>
      </c>
      <c r="BG74" s="698">
        <f t="shared" ref="BG74:BG75" si="494">AF74-AS74-BF74</f>
        <v>25200</v>
      </c>
      <c r="BH74" s="687">
        <f>S74*D74</f>
        <v>150000</v>
      </c>
      <c r="BI74" s="688">
        <f t="shared" ref="BI74:BI75" si="495">BH74-AS74-BF74</f>
        <v>25200</v>
      </c>
      <c r="BJ74" s="630">
        <f>SUM(Q74/D74)</f>
        <v>1</v>
      </c>
      <c r="BK74" s="1081"/>
      <c r="BL74" s="1081"/>
      <c r="BM74" s="1083"/>
      <c r="BN74" s="1084"/>
      <c r="BO74" s="862"/>
      <c r="BP74" s="862"/>
      <c r="BQ74" s="862"/>
      <c r="BR74" s="862"/>
      <c r="BS74" s="862"/>
      <c r="BT74" s="862"/>
      <c r="BU74" s="862"/>
      <c r="BV74" s="862"/>
      <c r="BW74" s="1081">
        <f t="shared" si="466"/>
        <v>0</v>
      </c>
      <c r="BX74" s="862"/>
      <c r="BY74" s="862"/>
      <c r="BZ74" s="862"/>
      <c r="CA74" s="73">
        <f t="shared" ref="CA74" si="496">SUM(BO74:BZ74)</f>
        <v>0</v>
      </c>
      <c r="CB74" s="862"/>
      <c r="CC74" s="862"/>
      <c r="CD74" s="862"/>
      <c r="CE74" s="862"/>
      <c r="CF74" s="862"/>
      <c r="CG74" s="862"/>
      <c r="CH74" s="862"/>
      <c r="CI74" s="862"/>
      <c r="CJ74" s="1081"/>
      <c r="CK74" s="862"/>
      <c r="CL74" s="862"/>
      <c r="CM74" s="862"/>
      <c r="CN74" s="73">
        <f t="shared" si="468"/>
        <v>0</v>
      </c>
    </row>
    <row r="75" spans="1:98" s="38" customFormat="1" ht="20.25" customHeight="1" x14ac:dyDescent="0.2">
      <c r="A75" s="28"/>
      <c r="B75" s="1392" t="s">
        <v>539</v>
      </c>
      <c r="C75" s="29" t="s">
        <v>24</v>
      </c>
      <c r="D75" s="1037">
        <v>1</v>
      </c>
      <c r="E75" s="695"/>
      <c r="F75" s="30"/>
      <c r="G75" s="30"/>
      <c r="H75" s="30"/>
      <c r="I75" s="30">
        <v>1</v>
      </c>
      <c r="J75" s="30"/>
      <c r="K75" s="30"/>
      <c r="L75" s="30"/>
      <c r="M75" s="30"/>
      <c r="N75" s="30"/>
      <c r="O75" s="30"/>
      <c r="P75" s="30"/>
      <c r="Q75" s="31">
        <f>SUM(E75:P75)</f>
        <v>1</v>
      </c>
      <c r="R75" s="759" t="s">
        <v>555</v>
      </c>
      <c r="S75" s="1038">
        <v>550000</v>
      </c>
      <c r="T75" s="763"/>
      <c r="U75" s="861"/>
      <c r="V75" s="861"/>
      <c r="W75" s="861"/>
      <c r="X75" s="861">
        <v>400000</v>
      </c>
      <c r="Y75" s="861"/>
      <c r="Z75" s="861"/>
      <c r="AA75" s="861"/>
      <c r="AB75" s="861"/>
      <c r="AC75" s="861"/>
      <c r="AD75" s="861"/>
      <c r="AE75" s="861"/>
      <c r="AF75" s="629">
        <f t="shared" si="469"/>
        <v>550000</v>
      </c>
      <c r="AG75" s="862">
        <f t="shared" si="470"/>
        <v>0</v>
      </c>
      <c r="AH75" s="862">
        <f t="shared" si="471"/>
        <v>0</v>
      </c>
      <c r="AI75" s="862">
        <f t="shared" si="472"/>
        <v>0</v>
      </c>
      <c r="AJ75" s="862">
        <f t="shared" si="473"/>
        <v>0</v>
      </c>
      <c r="AK75" s="862">
        <f t="shared" si="474"/>
        <v>400000</v>
      </c>
      <c r="AL75" s="862">
        <f t="shared" si="475"/>
        <v>0</v>
      </c>
      <c r="AM75" s="862">
        <f t="shared" si="476"/>
        <v>0</v>
      </c>
      <c r="AN75" s="862">
        <f t="shared" si="477"/>
        <v>0</v>
      </c>
      <c r="AO75" s="862">
        <f t="shared" si="478"/>
        <v>0</v>
      </c>
      <c r="AP75" s="862">
        <f t="shared" si="479"/>
        <v>0</v>
      </c>
      <c r="AQ75" s="862">
        <f t="shared" si="480"/>
        <v>0</v>
      </c>
      <c r="AR75" s="862">
        <f t="shared" si="481"/>
        <v>0</v>
      </c>
      <c r="AS75" s="863">
        <f t="shared" si="482"/>
        <v>400000</v>
      </c>
      <c r="AT75" s="862">
        <f t="shared" ref="AT75:AT90" si="497">SUM(AG75*14%)</f>
        <v>0</v>
      </c>
      <c r="AU75" s="862">
        <f t="shared" si="483"/>
        <v>0</v>
      </c>
      <c r="AV75" s="862">
        <f t="shared" si="484"/>
        <v>0</v>
      </c>
      <c r="AW75" s="862">
        <f t="shared" si="485"/>
        <v>0</v>
      </c>
      <c r="AX75" s="862"/>
      <c r="AY75" s="862">
        <f t="shared" si="487"/>
        <v>0</v>
      </c>
      <c r="AZ75" s="862">
        <f t="shared" si="488"/>
        <v>0</v>
      </c>
      <c r="BA75" s="862">
        <f t="shared" si="489"/>
        <v>0</v>
      </c>
      <c r="BB75" s="862">
        <f t="shared" si="490"/>
        <v>0</v>
      </c>
      <c r="BC75" s="862">
        <f t="shared" si="491"/>
        <v>0</v>
      </c>
      <c r="BD75" s="862">
        <f t="shared" si="492"/>
        <v>0</v>
      </c>
      <c r="BE75" s="862">
        <f t="shared" si="493"/>
        <v>0</v>
      </c>
      <c r="BF75" s="863">
        <f>SUM(AT75:BE75)</f>
        <v>0</v>
      </c>
      <c r="BG75" s="698">
        <f t="shared" si="494"/>
        <v>150000</v>
      </c>
      <c r="BH75" s="687">
        <f>S75*D75</f>
        <v>550000</v>
      </c>
      <c r="BI75" s="688">
        <f t="shared" si="495"/>
        <v>150000</v>
      </c>
      <c r="BJ75" s="630">
        <f>SUM(Q75/D75)</f>
        <v>1</v>
      </c>
      <c r="BK75" s="1081"/>
      <c r="BL75" s="1081"/>
      <c r="BM75" s="1083"/>
      <c r="BN75" s="1084"/>
      <c r="BO75" s="862"/>
      <c r="BP75" s="862"/>
      <c r="BQ75" s="862"/>
      <c r="BR75" s="862"/>
      <c r="BS75" s="862"/>
      <c r="BT75" s="862"/>
      <c r="BU75" s="862"/>
      <c r="BV75" s="862"/>
      <c r="BW75" s="1081">
        <f t="shared" ref="BW75:BW91" si="498">SUM(AN75*12.5%)</f>
        <v>0</v>
      </c>
      <c r="BX75" s="862"/>
      <c r="BY75" s="862"/>
      <c r="BZ75" s="862"/>
      <c r="CA75" s="73">
        <f t="shared" ref="CA75:CA91" si="499">SUM(BO75:BZ75)</f>
        <v>0</v>
      </c>
      <c r="CB75" s="862"/>
      <c r="CC75" s="862"/>
      <c r="CD75" s="862"/>
      <c r="CE75" s="862"/>
      <c r="CF75" s="862"/>
      <c r="CG75" s="862"/>
      <c r="CH75" s="862"/>
      <c r="CI75" s="862"/>
      <c r="CJ75" s="1081"/>
      <c r="CK75" s="862"/>
      <c r="CL75" s="862"/>
      <c r="CM75" s="862"/>
      <c r="CN75" s="73">
        <f t="shared" ref="CN75:CN91" si="500">SUM(CB75:CM75)</f>
        <v>0</v>
      </c>
    </row>
    <row r="76" spans="1:98" s="38" customFormat="1" ht="20.25" customHeight="1" x14ac:dyDescent="0.2">
      <c r="A76" s="28"/>
      <c r="B76" s="1393" t="s">
        <v>540</v>
      </c>
      <c r="C76" s="29"/>
      <c r="D76" s="1039"/>
      <c r="E76" s="695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1"/>
      <c r="R76" s="1039"/>
      <c r="S76" s="1040"/>
      <c r="T76" s="763"/>
      <c r="U76" s="861"/>
      <c r="V76" s="861"/>
      <c r="W76" s="861"/>
      <c r="X76" s="861"/>
      <c r="Y76" s="861"/>
      <c r="Z76" s="861"/>
      <c r="AA76" s="861"/>
      <c r="AB76" s="861"/>
      <c r="AC76" s="861"/>
      <c r="AD76" s="861"/>
      <c r="AE76" s="861"/>
      <c r="AF76" s="629"/>
      <c r="AG76" s="862"/>
      <c r="AH76" s="862"/>
      <c r="AI76" s="862"/>
      <c r="AJ76" s="862"/>
      <c r="AK76" s="862"/>
      <c r="AL76" s="862"/>
      <c r="AM76" s="862"/>
      <c r="AN76" s="862"/>
      <c r="AO76" s="862"/>
      <c r="AP76" s="862"/>
      <c r="AQ76" s="862"/>
      <c r="AR76" s="862"/>
      <c r="AS76" s="863"/>
      <c r="AT76" s="862">
        <f t="shared" si="497"/>
        <v>0</v>
      </c>
      <c r="AU76" s="862">
        <f t="shared" si="483"/>
        <v>0</v>
      </c>
      <c r="AV76" s="862">
        <f t="shared" si="484"/>
        <v>0</v>
      </c>
      <c r="AW76" s="862">
        <f t="shared" si="485"/>
        <v>0</v>
      </c>
      <c r="AX76" s="862">
        <f t="shared" si="486"/>
        <v>0</v>
      </c>
      <c r="AY76" s="862">
        <f t="shared" si="487"/>
        <v>0</v>
      </c>
      <c r="AZ76" s="862">
        <f t="shared" si="488"/>
        <v>0</v>
      </c>
      <c r="BA76" s="862">
        <f t="shared" si="489"/>
        <v>0</v>
      </c>
      <c r="BB76" s="862">
        <f t="shared" si="490"/>
        <v>0</v>
      </c>
      <c r="BC76" s="862">
        <f t="shared" si="491"/>
        <v>0</v>
      </c>
      <c r="BD76" s="862">
        <f t="shared" si="492"/>
        <v>0</v>
      </c>
      <c r="BE76" s="862">
        <f t="shared" si="493"/>
        <v>0</v>
      </c>
      <c r="BF76" s="863"/>
      <c r="BG76" s="698"/>
      <c r="BH76" s="687"/>
      <c r="BI76" s="688"/>
      <c r="BJ76" s="630"/>
      <c r="BK76" s="1081"/>
      <c r="BL76" s="1081"/>
      <c r="BM76" s="1083"/>
      <c r="BN76" s="1084"/>
      <c r="BO76" s="862"/>
      <c r="BP76" s="862"/>
      <c r="BQ76" s="862"/>
      <c r="BR76" s="862"/>
      <c r="BS76" s="862"/>
      <c r="BT76" s="862"/>
      <c r="BU76" s="862"/>
      <c r="BV76" s="862"/>
      <c r="BW76" s="1081">
        <f t="shared" si="498"/>
        <v>0</v>
      </c>
      <c r="BX76" s="862"/>
      <c r="BY76" s="862"/>
      <c r="BZ76" s="862"/>
      <c r="CA76" s="73">
        <f t="shared" si="499"/>
        <v>0</v>
      </c>
      <c r="CB76" s="862"/>
      <c r="CC76" s="862"/>
      <c r="CD76" s="862"/>
      <c r="CE76" s="862"/>
      <c r="CF76" s="862"/>
      <c r="CG76" s="862"/>
      <c r="CH76" s="862"/>
      <c r="CI76" s="862"/>
      <c r="CJ76" s="1081"/>
      <c r="CK76" s="862"/>
      <c r="CL76" s="862"/>
      <c r="CM76" s="862"/>
      <c r="CN76" s="73">
        <f t="shared" si="500"/>
        <v>0</v>
      </c>
    </row>
    <row r="77" spans="1:98" s="38" customFormat="1" ht="20.25" customHeight="1" x14ac:dyDescent="0.2">
      <c r="A77" s="28"/>
      <c r="B77" s="1394" t="s">
        <v>541</v>
      </c>
      <c r="C77" s="29"/>
      <c r="D77" s="1039"/>
      <c r="E77" s="695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1"/>
      <c r="R77" s="1039"/>
      <c r="S77" s="1040"/>
      <c r="T77" s="763"/>
      <c r="U77" s="861"/>
      <c r="V77" s="861"/>
      <c r="W77" s="861"/>
      <c r="X77" s="861"/>
      <c r="Y77" s="861"/>
      <c r="Z77" s="861"/>
      <c r="AA77" s="861"/>
      <c r="AB77" s="861"/>
      <c r="AC77" s="861"/>
      <c r="AD77" s="861"/>
      <c r="AE77" s="861"/>
      <c r="AF77" s="629"/>
      <c r="AG77" s="862"/>
      <c r="AH77" s="862"/>
      <c r="AI77" s="862"/>
      <c r="AJ77" s="862"/>
      <c r="AK77" s="862"/>
      <c r="AL77" s="862"/>
      <c r="AM77" s="862"/>
      <c r="AN77" s="862"/>
      <c r="AO77" s="862"/>
      <c r="AP77" s="862"/>
      <c r="AQ77" s="862"/>
      <c r="AR77" s="862"/>
      <c r="AS77" s="863"/>
      <c r="AT77" s="862">
        <f t="shared" si="497"/>
        <v>0</v>
      </c>
      <c r="AU77" s="862">
        <f t="shared" si="483"/>
        <v>0</v>
      </c>
      <c r="AV77" s="862">
        <f t="shared" si="484"/>
        <v>0</v>
      </c>
      <c r="AW77" s="862">
        <f t="shared" si="485"/>
        <v>0</v>
      </c>
      <c r="AX77" s="862">
        <f t="shared" si="486"/>
        <v>0</v>
      </c>
      <c r="AY77" s="862">
        <f t="shared" si="487"/>
        <v>0</v>
      </c>
      <c r="AZ77" s="862">
        <f t="shared" si="488"/>
        <v>0</v>
      </c>
      <c r="BA77" s="862">
        <f t="shared" si="489"/>
        <v>0</v>
      </c>
      <c r="BB77" s="862">
        <f t="shared" si="490"/>
        <v>0</v>
      </c>
      <c r="BC77" s="862">
        <f t="shared" si="491"/>
        <v>0</v>
      </c>
      <c r="BD77" s="862">
        <f t="shared" si="492"/>
        <v>0</v>
      </c>
      <c r="BE77" s="862">
        <f t="shared" si="493"/>
        <v>0</v>
      </c>
      <c r="BF77" s="863"/>
      <c r="BG77" s="698"/>
      <c r="BH77" s="687"/>
      <c r="BI77" s="688"/>
      <c r="BJ77" s="630"/>
      <c r="BK77" s="1081"/>
      <c r="BL77" s="1081"/>
      <c r="BM77" s="1083"/>
      <c r="BN77" s="1084"/>
      <c r="BO77" s="862"/>
      <c r="BP77" s="862"/>
      <c r="BQ77" s="862"/>
      <c r="BR77" s="862"/>
      <c r="BS77" s="862"/>
      <c r="BT77" s="862"/>
      <c r="BU77" s="862"/>
      <c r="BV77" s="862"/>
      <c r="BW77" s="1081">
        <f t="shared" si="498"/>
        <v>0</v>
      </c>
      <c r="BX77" s="862"/>
      <c r="BY77" s="862"/>
      <c r="BZ77" s="862"/>
      <c r="CA77" s="73">
        <f t="shared" si="499"/>
        <v>0</v>
      </c>
      <c r="CB77" s="862"/>
      <c r="CC77" s="862"/>
      <c r="CD77" s="862"/>
      <c r="CE77" s="862"/>
      <c r="CF77" s="862"/>
      <c r="CG77" s="862"/>
      <c r="CH77" s="862"/>
      <c r="CI77" s="862"/>
      <c r="CJ77" s="1081"/>
      <c r="CK77" s="862"/>
      <c r="CL77" s="862"/>
      <c r="CM77" s="862"/>
      <c r="CN77" s="73">
        <f t="shared" si="500"/>
        <v>0</v>
      </c>
    </row>
    <row r="78" spans="1:98" s="38" customFormat="1" ht="20.25" customHeight="1" x14ac:dyDescent="0.2">
      <c r="A78" s="28"/>
      <c r="B78" s="1392" t="s">
        <v>542</v>
      </c>
      <c r="C78" s="29" t="s">
        <v>24</v>
      </c>
      <c r="D78" s="1037">
        <v>381</v>
      </c>
      <c r="E78" s="695">
        <v>100</v>
      </c>
      <c r="F78" s="695">
        <v>100</v>
      </c>
      <c r="G78" s="30"/>
      <c r="H78" s="30">
        <v>100</v>
      </c>
      <c r="I78" s="30">
        <v>60</v>
      </c>
      <c r="J78" s="30"/>
      <c r="K78" s="30"/>
      <c r="L78" s="30"/>
      <c r="M78" s="30"/>
      <c r="N78" s="30"/>
      <c r="O78" s="30"/>
      <c r="P78" s="30"/>
      <c r="Q78" s="31">
        <f t="shared" ref="Q78:Q89" si="501">SUM(E78:P78)</f>
        <v>360</v>
      </c>
      <c r="R78" s="760" t="s">
        <v>556</v>
      </c>
      <c r="S78" s="1040">
        <v>74100</v>
      </c>
      <c r="T78" s="763">
        <v>59000</v>
      </c>
      <c r="U78" s="763">
        <v>59000</v>
      </c>
      <c r="V78" s="861"/>
      <c r="W78" s="763">
        <v>59000</v>
      </c>
      <c r="X78" s="763">
        <v>59000</v>
      </c>
      <c r="Y78" s="861"/>
      <c r="Z78" s="861"/>
      <c r="AA78" s="861"/>
      <c r="AB78" s="861"/>
      <c r="AC78" s="861"/>
      <c r="AD78" s="861"/>
      <c r="AE78" s="861"/>
      <c r="AF78" s="629">
        <f t="shared" ref="AF78:AF90" si="502">SUM(Q78*S78)</f>
        <v>26676000</v>
      </c>
      <c r="AG78" s="862">
        <f t="shared" ref="AG78:AG90" si="503">T78*E78</f>
        <v>5900000</v>
      </c>
      <c r="AH78" s="862">
        <f t="shared" ref="AH78:AH90" si="504">U78*F78</f>
        <v>5900000</v>
      </c>
      <c r="AI78" s="862">
        <f t="shared" ref="AI78:AI90" si="505">V78*G78</f>
        <v>0</v>
      </c>
      <c r="AJ78" s="862">
        <f t="shared" ref="AJ78:AJ90" si="506">W78*H78</f>
        <v>5900000</v>
      </c>
      <c r="AK78" s="862">
        <f t="shared" ref="AK78:AK90" si="507">X78*I78</f>
        <v>3540000</v>
      </c>
      <c r="AL78" s="862">
        <f t="shared" ref="AL78:AL90" si="508">Y78*J78</f>
        <v>0</v>
      </c>
      <c r="AM78" s="862">
        <f t="shared" ref="AM78:AM90" si="509">Z78*K78</f>
        <v>0</v>
      </c>
      <c r="AN78" s="862">
        <f t="shared" ref="AN78:AN90" si="510">AA78*L78</f>
        <v>0</v>
      </c>
      <c r="AO78" s="862">
        <f t="shared" ref="AO78:AO90" si="511">AB78*M78</f>
        <v>0</v>
      </c>
      <c r="AP78" s="862">
        <f t="shared" ref="AP78:AP90" si="512">AC78*N78</f>
        <v>0</v>
      </c>
      <c r="AQ78" s="862">
        <f t="shared" ref="AQ78:AQ90" si="513">AD78*O78</f>
        <v>0</v>
      </c>
      <c r="AR78" s="862">
        <f t="shared" ref="AR78:AR90" si="514">AE78*P78</f>
        <v>0</v>
      </c>
      <c r="AS78" s="863">
        <f t="shared" ref="AS78:AS90" si="515">SUM(AG78:AR78)</f>
        <v>21240000</v>
      </c>
      <c r="AT78" s="862">
        <f t="shared" si="497"/>
        <v>826000.00000000012</v>
      </c>
      <c r="AU78" s="862">
        <f t="shared" si="483"/>
        <v>826000.00000000012</v>
      </c>
      <c r="AV78" s="862">
        <f t="shared" si="484"/>
        <v>0</v>
      </c>
      <c r="AW78" s="862">
        <f t="shared" si="485"/>
        <v>826000.00000000012</v>
      </c>
      <c r="AX78" s="862">
        <f t="shared" si="486"/>
        <v>495600.00000000006</v>
      </c>
      <c r="AY78" s="862">
        <f t="shared" si="487"/>
        <v>0</v>
      </c>
      <c r="AZ78" s="862">
        <f t="shared" si="488"/>
        <v>0</v>
      </c>
      <c r="BA78" s="862">
        <f t="shared" si="489"/>
        <v>0</v>
      </c>
      <c r="BB78" s="862">
        <f t="shared" si="490"/>
        <v>0</v>
      </c>
      <c r="BC78" s="862">
        <f t="shared" si="491"/>
        <v>0</v>
      </c>
      <c r="BD78" s="862">
        <f t="shared" si="492"/>
        <v>0</v>
      </c>
      <c r="BE78" s="862">
        <f t="shared" si="493"/>
        <v>0</v>
      </c>
      <c r="BF78" s="863">
        <f t="shared" ref="BF78:BF90" si="516">SUM(AT78:BE78)</f>
        <v>2973600.0000000005</v>
      </c>
      <c r="BG78" s="698">
        <f t="shared" ref="BG78:BG90" si="517">AF78-AS78-BF78</f>
        <v>2462399.9999999995</v>
      </c>
      <c r="BH78" s="687">
        <f t="shared" ref="BH78:BH90" si="518">S78*D78</f>
        <v>28232100</v>
      </c>
      <c r="BI78" s="688">
        <f t="shared" ref="BI78:BI90" si="519">BH78-AS78-BF78</f>
        <v>4018499.9999999995</v>
      </c>
      <c r="BJ78" s="630">
        <f t="shared" ref="BJ78:BJ90" si="520">SUM(Q78/D78)</f>
        <v>0.94488188976377951</v>
      </c>
      <c r="BK78" s="1081"/>
      <c r="BL78" s="1081"/>
      <c r="BM78" s="1083"/>
      <c r="BN78" s="1084"/>
      <c r="BO78" s="862"/>
      <c r="BP78" s="862"/>
      <c r="BQ78" s="862"/>
      <c r="BR78" s="862"/>
      <c r="BS78" s="862"/>
      <c r="BT78" s="862"/>
      <c r="BU78" s="862"/>
      <c r="BV78" s="862"/>
      <c r="BW78" s="1081">
        <f t="shared" si="498"/>
        <v>0</v>
      </c>
      <c r="BX78" s="862"/>
      <c r="BY78" s="862"/>
      <c r="BZ78" s="862"/>
      <c r="CA78" s="73">
        <f t="shared" si="499"/>
        <v>0</v>
      </c>
      <c r="CB78" s="862"/>
      <c r="CC78" s="862"/>
      <c r="CD78" s="862"/>
      <c r="CE78" s="862"/>
      <c r="CF78" s="862"/>
      <c r="CG78" s="862"/>
      <c r="CH78" s="862"/>
      <c r="CI78" s="862"/>
      <c r="CJ78" s="1081"/>
      <c r="CK78" s="862"/>
      <c r="CL78" s="862"/>
      <c r="CM78" s="862"/>
      <c r="CN78" s="73">
        <f t="shared" si="500"/>
        <v>0</v>
      </c>
    </row>
    <row r="79" spans="1:98" s="38" customFormat="1" ht="20.25" customHeight="1" x14ac:dyDescent="0.2">
      <c r="A79" s="28"/>
      <c r="B79" s="1392" t="s">
        <v>543</v>
      </c>
      <c r="C79" s="29" t="s">
        <v>24</v>
      </c>
      <c r="D79" s="1037">
        <v>6</v>
      </c>
      <c r="E79" s="695"/>
      <c r="F79" s="695">
        <v>5</v>
      </c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1">
        <f t="shared" si="501"/>
        <v>5</v>
      </c>
      <c r="R79" s="760" t="s">
        <v>557</v>
      </c>
      <c r="S79" s="1040">
        <v>342000</v>
      </c>
      <c r="T79" s="763"/>
      <c r="U79" s="763">
        <v>210000</v>
      </c>
      <c r="V79" s="861"/>
      <c r="W79" s="763"/>
      <c r="X79" s="861"/>
      <c r="Y79" s="861"/>
      <c r="Z79" s="861"/>
      <c r="AA79" s="861"/>
      <c r="AB79" s="861"/>
      <c r="AC79" s="861"/>
      <c r="AD79" s="861"/>
      <c r="AE79" s="861"/>
      <c r="AF79" s="629">
        <f t="shared" si="502"/>
        <v>1710000</v>
      </c>
      <c r="AG79" s="862">
        <f t="shared" si="503"/>
        <v>0</v>
      </c>
      <c r="AH79" s="862">
        <f t="shared" si="504"/>
        <v>1050000</v>
      </c>
      <c r="AI79" s="862">
        <f t="shared" si="505"/>
        <v>0</v>
      </c>
      <c r="AJ79" s="862">
        <f t="shared" si="506"/>
        <v>0</v>
      </c>
      <c r="AK79" s="862">
        <f t="shared" si="507"/>
        <v>0</v>
      </c>
      <c r="AL79" s="862">
        <f t="shared" si="508"/>
        <v>0</v>
      </c>
      <c r="AM79" s="862">
        <f t="shared" si="509"/>
        <v>0</v>
      </c>
      <c r="AN79" s="862">
        <f t="shared" si="510"/>
        <v>0</v>
      </c>
      <c r="AO79" s="862">
        <f t="shared" si="511"/>
        <v>0</v>
      </c>
      <c r="AP79" s="862">
        <f t="shared" si="512"/>
        <v>0</v>
      </c>
      <c r="AQ79" s="862">
        <f t="shared" si="513"/>
        <v>0</v>
      </c>
      <c r="AR79" s="862">
        <f t="shared" si="514"/>
        <v>0</v>
      </c>
      <c r="AS79" s="863">
        <f t="shared" si="515"/>
        <v>1050000</v>
      </c>
      <c r="AT79" s="862">
        <f t="shared" si="497"/>
        <v>0</v>
      </c>
      <c r="AU79" s="862">
        <f t="shared" si="483"/>
        <v>147000</v>
      </c>
      <c r="AV79" s="862">
        <f t="shared" si="484"/>
        <v>0</v>
      </c>
      <c r="AW79" s="862">
        <f t="shared" si="485"/>
        <v>0</v>
      </c>
      <c r="AX79" s="862">
        <f t="shared" si="486"/>
        <v>0</v>
      </c>
      <c r="AY79" s="862">
        <f t="shared" si="487"/>
        <v>0</v>
      </c>
      <c r="AZ79" s="862">
        <f t="shared" si="488"/>
        <v>0</v>
      </c>
      <c r="BA79" s="862">
        <f t="shared" si="489"/>
        <v>0</v>
      </c>
      <c r="BB79" s="862">
        <f t="shared" si="490"/>
        <v>0</v>
      </c>
      <c r="BC79" s="862">
        <f t="shared" si="491"/>
        <v>0</v>
      </c>
      <c r="BD79" s="862">
        <f t="shared" si="492"/>
        <v>0</v>
      </c>
      <c r="BE79" s="862">
        <f t="shared" si="493"/>
        <v>0</v>
      </c>
      <c r="BF79" s="863">
        <f t="shared" si="516"/>
        <v>147000</v>
      </c>
      <c r="BG79" s="698">
        <f t="shared" si="517"/>
        <v>513000</v>
      </c>
      <c r="BH79" s="687">
        <f t="shared" si="518"/>
        <v>2052000</v>
      </c>
      <c r="BI79" s="688">
        <f t="shared" si="519"/>
        <v>855000</v>
      </c>
      <c r="BJ79" s="630">
        <f t="shared" si="520"/>
        <v>0.83333333333333337</v>
      </c>
      <c r="BK79" s="1081"/>
      <c r="BL79" s="1081"/>
      <c r="BM79" s="1083"/>
      <c r="BN79" s="1084"/>
      <c r="BO79" s="862"/>
      <c r="BP79" s="862"/>
      <c r="BQ79" s="862"/>
      <c r="BR79" s="862"/>
      <c r="BS79" s="862"/>
      <c r="BT79" s="862"/>
      <c r="BU79" s="862"/>
      <c r="BV79" s="862"/>
      <c r="BW79" s="1081">
        <f t="shared" si="498"/>
        <v>0</v>
      </c>
      <c r="BX79" s="862"/>
      <c r="BY79" s="862"/>
      <c r="BZ79" s="862"/>
      <c r="CA79" s="73">
        <f t="shared" si="499"/>
        <v>0</v>
      </c>
      <c r="CB79" s="862"/>
      <c r="CC79" s="862"/>
      <c r="CD79" s="862"/>
      <c r="CE79" s="862"/>
      <c r="CF79" s="862"/>
      <c r="CG79" s="862"/>
      <c r="CH79" s="862"/>
      <c r="CI79" s="862"/>
      <c r="CJ79" s="1081"/>
      <c r="CK79" s="862"/>
      <c r="CL79" s="862"/>
      <c r="CM79" s="862"/>
      <c r="CN79" s="73">
        <f t="shared" si="500"/>
        <v>0</v>
      </c>
    </row>
    <row r="80" spans="1:98" s="38" customFormat="1" ht="20.25" customHeight="1" x14ac:dyDescent="0.2">
      <c r="A80" s="28"/>
      <c r="B80" s="1392" t="s">
        <v>544</v>
      </c>
      <c r="C80" s="29" t="s">
        <v>24</v>
      </c>
      <c r="D80" s="1037">
        <v>74</v>
      </c>
      <c r="E80" s="695">
        <v>40</v>
      </c>
      <c r="F80" s="695">
        <v>8</v>
      </c>
      <c r="G80" s="30"/>
      <c r="H80" s="30">
        <v>20</v>
      </c>
      <c r="I80" s="30"/>
      <c r="J80" s="30"/>
      <c r="K80" s="30"/>
      <c r="L80" s="30"/>
      <c r="M80" s="30"/>
      <c r="N80" s="30"/>
      <c r="O80" s="30"/>
      <c r="P80" s="30"/>
      <c r="Q80" s="31">
        <f t="shared" si="501"/>
        <v>68</v>
      </c>
      <c r="R80" s="760" t="s">
        <v>557</v>
      </c>
      <c r="S80" s="1040">
        <v>199500</v>
      </c>
      <c r="T80" s="763">
        <v>150000</v>
      </c>
      <c r="U80" s="763">
        <v>150000</v>
      </c>
      <c r="V80" s="861"/>
      <c r="W80" s="763">
        <v>150000</v>
      </c>
      <c r="X80" s="861"/>
      <c r="Y80" s="861"/>
      <c r="Z80" s="861"/>
      <c r="AA80" s="861"/>
      <c r="AB80" s="861"/>
      <c r="AC80" s="861"/>
      <c r="AD80" s="861"/>
      <c r="AE80" s="861"/>
      <c r="AF80" s="629">
        <f t="shared" si="502"/>
        <v>13566000</v>
      </c>
      <c r="AG80" s="862">
        <f t="shared" si="503"/>
        <v>6000000</v>
      </c>
      <c r="AH80" s="862">
        <f t="shared" si="504"/>
        <v>1200000</v>
      </c>
      <c r="AI80" s="862">
        <f t="shared" si="505"/>
        <v>0</v>
      </c>
      <c r="AJ80" s="862">
        <f t="shared" si="506"/>
        <v>3000000</v>
      </c>
      <c r="AK80" s="862">
        <f t="shared" si="507"/>
        <v>0</v>
      </c>
      <c r="AL80" s="862">
        <f t="shared" si="508"/>
        <v>0</v>
      </c>
      <c r="AM80" s="862">
        <f t="shared" si="509"/>
        <v>0</v>
      </c>
      <c r="AN80" s="862">
        <f t="shared" si="510"/>
        <v>0</v>
      </c>
      <c r="AO80" s="862">
        <f t="shared" si="511"/>
        <v>0</v>
      </c>
      <c r="AP80" s="862">
        <f t="shared" si="512"/>
        <v>0</v>
      </c>
      <c r="AQ80" s="862">
        <f t="shared" si="513"/>
        <v>0</v>
      </c>
      <c r="AR80" s="862">
        <f t="shared" si="514"/>
        <v>0</v>
      </c>
      <c r="AS80" s="863">
        <f t="shared" si="515"/>
        <v>10200000</v>
      </c>
      <c r="AT80" s="862">
        <f t="shared" si="497"/>
        <v>840000.00000000012</v>
      </c>
      <c r="AU80" s="862">
        <f t="shared" si="483"/>
        <v>168000.00000000003</v>
      </c>
      <c r="AV80" s="862">
        <f t="shared" si="484"/>
        <v>0</v>
      </c>
      <c r="AW80" s="862">
        <f t="shared" si="485"/>
        <v>420000.00000000006</v>
      </c>
      <c r="AX80" s="862">
        <f t="shared" si="486"/>
        <v>0</v>
      </c>
      <c r="AY80" s="862">
        <f t="shared" si="487"/>
        <v>0</v>
      </c>
      <c r="AZ80" s="862">
        <f t="shared" si="488"/>
        <v>0</v>
      </c>
      <c r="BA80" s="862">
        <f t="shared" si="489"/>
        <v>0</v>
      </c>
      <c r="BB80" s="862">
        <f t="shared" si="490"/>
        <v>0</v>
      </c>
      <c r="BC80" s="862">
        <f t="shared" si="491"/>
        <v>0</v>
      </c>
      <c r="BD80" s="862">
        <f t="shared" si="492"/>
        <v>0</v>
      </c>
      <c r="BE80" s="862">
        <f t="shared" si="493"/>
        <v>0</v>
      </c>
      <c r="BF80" s="863">
        <f t="shared" si="516"/>
        <v>1428000.0000000002</v>
      </c>
      <c r="BG80" s="698">
        <f t="shared" si="517"/>
        <v>1937999.9999999998</v>
      </c>
      <c r="BH80" s="687">
        <f t="shared" si="518"/>
        <v>14763000</v>
      </c>
      <c r="BI80" s="688">
        <f t="shared" si="519"/>
        <v>3135000</v>
      </c>
      <c r="BJ80" s="630">
        <f t="shared" si="520"/>
        <v>0.91891891891891897</v>
      </c>
      <c r="BK80" s="1081"/>
      <c r="BL80" s="1081"/>
      <c r="BM80" s="1083"/>
      <c r="BN80" s="1084"/>
      <c r="BO80" s="862"/>
      <c r="BP80" s="862"/>
      <c r="BQ80" s="862"/>
      <c r="BR80" s="862"/>
      <c r="BS80" s="862"/>
      <c r="BT80" s="862"/>
      <c r="BU80" s="862"/>
      <c r="BV80" s="862"/>
      <c r="BW80" s="1081">
        <f t="shared" si="498"/>
        <v>0</v>
      </c>
      <c r="BX80" s="862"/>
      <c r="BY80" s="862"/>
      <c r="BZ80" s="862"/>
      <c r="CA80" s="73">
        <f t="shared" si="499"/>
        <v>0</v>
      </c>
      <c r="CB80" s="862"/>
      <c r="CC80" s="862"/>
      <c r="CD80" s="862"/>
      <c r="CE80" s="862"/>
      <c r="CF80" s="862"/>
      <c r="CG80" s="862"/>
      <c r="CH80" s="862"/>
      <c r="CI80" s="862"/>
      <c r="CJ80" s="1081"/>
      <c r="CK80" s="862"/>
      <c r="CL80" s="862"/>
      <c r="CM80" s="862"/>
      <c r="CN80" s="73">
        <f t="shared" si="500"/>
        <v>0</v>
      </c>
    </row>
    <row r="81" spans="1:98" s="38" customFormat="1" ht="20.25" customHeight="1" x14ac:dyDescent="0.2">
      <c r="A81" s="28"/>
      <c r="B81" s="1392" t="s">
        <v>545</v>
      </c>
      <c r="C81" s="29" t="s">
        <v>24</v>
      </c>
      <c r="D81" s="1037">
        <v>46</v>
      </c>
      <c r="E81" s="695">
        <v>32</v>
      </c>
      <c r="F81" s="30"/>
      <c r="G81" s="30"/>
      <c r="H81" s="30">
        <v>12</v>
      </c>
      <c r="I81" s="30"/>
      <c r="J81" s="30"/>
      <c r="K81" s="30"/>
      <c r="L81" s="30"/>
      <c r="M81" s="30"/>
      <c r="N81" s="30"/>
      <c r="O81" s="30"/>
      <c r="P81" s="30"/>
      <c r="Q81" s="31">
        <f t="shared" si="501"/>
        <v>44</v>
      </c>
      <c r="R81" s="760" t="s">
        <v>557</v>
      </c>
      <c r="S81" s="1040">
        <v>228000</v>
      </c>
      <c r="T81" s="763">
        <v>150000</v>
      </c>
      <c r="U81" s="861"/>
      <c r="V81" s="861"/>
      <c r="W81" s="763">
        <v>150000</v>
      </c>
      <c r="X81" s="861"/>
      <c r="Y81" s="861"/>
      <c r="Z81" s="861"/>
      <c r="AA81" s="861"/>
      <c r="AB81" s="861"/>
      <c r="AC81" s="861"/>
      <c r="AD81" s="861"/>
      <c r="AE81" s="861"/>
      <c r="AF81" s="629">
        <f t="shared" si="502"/>
        <v>10032000</v>
      </c>
      <c r="AG81" s="862">
        <f t="shared" si="503"/>
        <v>4800000</v>
      </c>
      <c r="AH81" s="862">
        <f t="shared" si="504"/>
        <v>0</v>
      </c>
      <c r="AI81" s="862">
        <f t="shared" si="505"/>
        <v>0</v>
      </c>
      <c r="AJ81" s="862">
        <f t="shared" si="506"/>
        <v>1800000</v>
      </c>
      <c r="AK81" s="862">
        <f t="shared" si="507"/>
        <v>0</v>
      </c>
      <c r="AL81" s="862">
        <f t="shared" si="508"/>
        <v>0</v>
      </c>
      <c r="AM81" s="862">
        <f t="shared" si="509"/>
        <v>0</v>
      </c>
      <c r="AN81" s="862">
        <f t="shared" si="510"/>
        <v>0</v>
      </c>
      <c r="AO81" s="862">
        <f t="shared" si="511"/>
        <v>0</v>
      </c>
      <c r="AP81" s="862">
        <f t="shared" si="512"/>
        <v>0</v>
      </c>
      <c r="AQ81" s="862">
        <f t="shared" si="513"/>
        <v>0</v>
      </c>
      <c r="AR81" s="862">
        <f t="shared" si="514"/>
        <v>0</v>
      </c>
      <c r="AS81" s="863">
        <f t="shared" si="515"/>
        <v>6600000</v>
      </c>
      <c r="AT81" s="862">
        <f t="shared" si="497"/>
        <v>672000.00000000012</v>
      </c>
      <c r="AU81" s="862">
        <f t="shared" si="483"/>
        <v>0</v>
      </c>
      <c r="AV81" s="862">
        <f t="shared" si="484"/>
        <v>0</v>
      </c>
      <c r="AW81" s="862">
        <f t="shared" si="485"/>
        <v>252000.00000000003</v>
      </c>
      <c r="AX81" s="862">
        <f t="shared" si="486"/>
        <v>0</v>
      </c>
      <c r="AY81" s="862">
        <f t="shared" si="487"/>
        <v>0</v>
      </c>
      <c r="AZ81" s="862">
        <f t="shared" si="488"/>
        <v>0</v>
      </c>
      <c r="BA81" s="862">
        <f t="shared" si="489"/>
        <v>0</v>
      </c>
      <c r="BB81" s="862">
        <f t="shared" si="490"/>
        <v>0</v>
      </c>
      <c r="BC81" s="862">
        <f t="shared" si="491"/>
        <v>0</v>
      </c>
      <c r="BD81" s="862">
        <f t="shared" si="492"/>
        <v>0</v>
      </c>
      <c r="BE81" s="862">
        <f t="shared" si="493"/>
        <v>0</v>
      </c>
      <c r="BF81" s="863">
        <f t="shared" si="516"/>
        <v>924000.00000000012</v>
      </c>
      <c r="BG81" s="698">
        <f t="shared" si="517"/>
        <v>2508000</v>
      </c>
      <c r="BH81" s="687">
        <f t="shared" si="518"/>
        <v>10488000</v>
      </c>
      <c r="BI81" s="688">
        <f t="shared" si="519"/>
        <v>2964000</v>
      </c>
      <c r="BJ81" s="630">
        <f t="shared" si="520"/>
        <v>0.95652173913043481</v>
      </c>
      <c r="BK81" s="1081"/>
      <c r="BL81" s="1081"/>
      <c r="BM81" s="1083"/>
      <c r="BN81" s="1084"/>
      <c r="BO81" s="862"/>
      <c r="BP81" s="862"/>
      <c r="BQ81" s="862"/>
      <c r="BR81" s="862"/>
      <c r="BS81" s="862"/>
      <c r="BT81" s="862"/>
      <c r="BU81" s="862"/>
      <c r="BV81" s="862"/>
      <c r="BW81" s="1081">
        <f t="shared" si="498"/>
        <v>0</v>
      </c>
      <c r="BX81" s="862"/>
      <c r="BY81" s="862"/>
      <c r="BZ81" s="862"/>
      <c r="CA81" s="73">
        <f t="shared" si="499"/>
        <v>0</v>
      </c>
      <c r="CB81" s="862"/>
      <c r="CC81" s="862"/>
      <c r="CD81" s="862"/>
      <c r="CE81" s="862"/>
      <c r="CF81" s="862"/>
      <c r="CG81" s="862"/>
      <c r="CH81" s="862"/>
      <c r="CI81" s="862"/>
      <c r="CJ81" s="1081"/>
      <c r="CK81" s="862"/>
      <c r="CL81" s="862"/>
      <c r="CM81" s="862"/>
      <c r="CN81" s="73">
        <f t="shared" si="500"/>
        <v>0</v>
      </c>
    </row>
    <row r="82" spans="1:98" s="38" customFormat="1" ht="20.25" customHeight="1" x14ac:dyDescent="0.2">
      <c r="A82" s="28"/>
      <c r="B82" s="1392" t="s">
        <v>546</v>
      </c>
      <c r="C82" s="29" t="s">
        <v>24</v>
      </c>
      <c r="D82" s="1037">
        <v>3</v>
      </c>
      <c r="E82" s="695"/>
      <c r="F82" s="30"/>
      <c r="G82" s="30"/>
      <c r="H82" s="30">
        <v>3</v>
      </c>
      <c r="I82" s="30"/>
      <c r="J82" s="30"/>
      <c r="K82" s="30"/>
      <c r="L82" s="30"/>
      <c r="M82" s="30"/>
      <c r="N82" s="30"/>
      <c r="O82" s="30"/>
      <c r="P82" s="30"/>
      <c r="Q82" s="31">
        <f t="shared" si="501"/>
        <v>3</v>
      </c>
      <c r="R82" s="760" t="s">
        <v>558</v>
      </c>
      <c r="S82" s="1040">
        <v>136800</v>
      </c>
      <c r="T82" s="763"/>
      <c r="U82" s="861"/>
      <c r="V82" s="861"/>
      <c r="W82" s="969">
        <v>110000</v>
      </c>
      <c r="X82" s="861"/>
      <c r="Y82" s="861"/>
      <c r="Z82" s="861"/>
      <c r="AA82" s="861"/>
      <c r="AB82" s="861"/>
      <c r="AC82" s="861"/>
      <c r="AD82" s="861"/>
      <c r="AE82" s="861"/>
      <c r="AF82" s="629">
        <f t="shared" si="502"/>
        <v>410400</v>
      </c>
      <c r="AG82" s="862">
        <f t="shared" si="503"/>
        <v>0</v>
      </c>
      <c r="AH82" s="862">
        <f t="shared" si="504"/>
        <v>0</v>
      </c>
      <c r="AI82" s="862">
        <f t="shared" si="505"/>
        <v>0</v>
      </c>
      <c r="AJ82" s="862">
        <f t="shared" si="506"/>
        <v>330000</v>
      </c>
      <c r="AK82" s="862">
        <f t="shared" si="507"/>
        <v>0</v>
      </c>
      <c r="AL82" s="862">
        <f t="shared" si="508"/>
        <v>0</v>
      </c>
      <c r="AM82" s="862">
        <f t="shared" si="509"/>
        <v>0</v>
      </c>
      <c r="AN82" s="862">
        <f t="shared" si="510"/>
        <v>0</v>
      </c>
      <c r="AO82" s="862">
        <f t="shared" si="511"/>
        <v>0</v>
      </c>
      <c r="AP82" s="862">
        <f t="shared" si="512"/>
        <v>0</v>
      </c>
      <c r="AQ82" s="862">
        <f t="shared" si="513"/>
        <v>0</v>
      </c>
      <c r="AR82" s="862">
        <f t="shared" si="514"/>
        <v>0</v>
      </c>
      <c r="AS82" s="863">
        <f t="shared" si="515"/>
        <v>330000</v>
      </c>
      <c r="AT82" s="862">
        <f t="shared" si="497"/>
        <v>0</v>
      </c>
      <c r="AU82" s="862">
        <f t="shared" si="483"/>
        <v>0</v>
      </c>
      <c r="AV82" s="862">
        <f t="shared" si="484"/>
        <v>0</v>
      </c>
      <c r="AW82" s="862">
        <f t="shared" si="485"/>
        <v>46200.000000000007</v>
      </c>
      <c r="AX82" s="862">
        <f t="shared" si="486"/>
        <v>0</v>
      </c>
      <c r="AY82" s="862">
        <f t="shared" si="487"/>
        <v>0</v>
      </c>
      <c r="AZ82" s="862">
        <f t="shared" si="488"/>
        <v>0</v>
      </c>
      <c r="BA82" s="862">
        <f t="shared" si="489"/>
        <v>0</v>
      </c>
      <c r="BB82" s="862">
        <f t="shared" si="490"/>
        <v>0</v>
      </c>
      <c r="BC82" s="862">
        <f t="shared" si="491"/>
        <v>0</v>
      </c>
      <c r="BD82" s="862">
        <f t="shared" si="492"/>
        <v>0</v>
      </c>
      <c r="BE82" s="862">
        <f t="shared" si="493"/>
        <v>0</v>
      </c>
      <c r="BF82" s="863">
        <f t="shared" si="516"/>
        <v>46200.000000000007</v>
      </c>
      <c r="BG82" s="698">
        <f t="shared" si="517"/>
        <v>34199.999999999993</v>
      </c>
      <c r="BH82" s="687">
        <f t="shared" si="518"/>
        <v>410400</v>
      </c>
      <c r="BI82" s="688">
        <f t="shared" si="519"/>
        <v>34199.999999999993</v>
      </c>
      <c r="BJ82" s="630">
        <f t="shared" si="520"/>
        <v>1</v>
      </c>
      <c r="BK82" s="1081"/>
      <c r="BL82" s="1081"/>
      <c r="BM82" s="1083"/>
      <c r="BN82" s="1084"/>
      <c r="BO82" s="862"/>
      <c r="BP82" s="862"/>
      <c r="BQ82" s="862"/>
      <c r="BR82" s="862"/>
      <c r="BS82" s="862"/>
      <c r="BT82" s="862"/>
      <c r="BU82" s="862"/>
      <c r="BV82" s="862"/>
      <c r="BW82" s="1081">
        <f t="shared" si="498"/>
        <v>0</v>
      </c>
      <c r="BX82" s="862"/>
      <c r="BY82" s="862"/>
      <c r="BZ82" s="862"/>
      <c r="CA82" s="73">
        <f t="shared" si="499"/>
        <v>0</v>
      </c>
      <c r="CB82" s="862"/>
      <c r="CC82" s="862"/>
      <c r="CD82" s="862"/>
      <c r="CE82" s="862"/>
      <c r="CF82" s="862"/>
      <c r="CG82" s="862"/>
      <c r="CH82" s="862"/>
      <c r="CI82" s="862"/>
      <c r="CJ82" s="1081"/>
      <c r="CK82" s="862"/>
      <c r="CL82" s="862"/>
      <c r="CM82" s="862"/>
      <c r="CN82" s="73">
        <f t="shared" si="500"/>
        <v>0</v>
      </c>
    </row>
    <row r="83" spans="1:98" s="38" customFormat="1" ht="20.25" customHeight="1" x14ac:dyDescent="0.2">
      <c r="A83" s="28"/>
      <c r="B83" s="1392" t="s">
        <v>547</v>
      </c>
      <c r="C83" s="29" t="s">
        <v>24</v>
      </c>
      <c r="D83" s="1037">
        <v>1</v>
      </c>
      <c r="E83" s="695"/>
      <c r="F83" s="30"/>
      <c r="G83" s="30"/>
      <c r="H83" s="30">
        <v>1</v>
      </c>
      <c r="I83" s="30"/>
      <c r="J83" s="30"/>
      <c r="K83" s="30"/>
      <c r="L83" s="30"/>
      <c r="M83" s="30"/>
      <c r="N83" s="30"/>
      <c r="O83" s="30"/>
      <c r="P83" s="30"/>
      <c r="Q83" s="31">
        <f t="shared" si="501"/>
        <v>1</v>
      </c>
      <c r="R83" s="760" t="s">
        <v>559</v>
      </c>
      <c r="S83" s="1040">
        <v>28500</v>
      </c>
      <c r="T83" s="763"/>
      <c r="U83" s="861"/>
      <c r="V83" s="861"/>
      <c r="W83" s="969">
        <v>25000</v>
      </c>
      <c r="X83" s="861"/>
      <c r="Y83" s="861"/>
      <c r="Z83" s="861"/>
      <c r="AA83" s="861"/>
      <c r="AB83" s="861"/>
      <c r="AC83" s="861"/>
      <c r="AD83" s="861"/>
      <c r="AE83" s="861"/>
      <c r="AF83" s="629">
        <f t="shared" si="502"/>
        <v>28500</v>
      </c>
      <c r="AG83" s="862">
        <f t="shared" si="503"/>
        <v>0</v>
      </c>
      <c r="AH83" s="862">
        <f t="shared" si="504"/>
        <v>0</v>
      </c>
      <c r="AI83" s="862">
        <f t="shared" si="505"/>
        <v>0</v>
      </c>
      <c r="AJ83" s="862">
        <f t="shared" si="506"/>
        <v>25000</v>
      </c>
      <c r="AK83" s="862">
        <f t="shared" si="507"/>
        <v>0</v>
      </c>
      <c r="AL83" s="862">
        <f t="shared" si="508"/>
        <v>0</v>
      </c>
      <c r="AM83" s="862">
        <f t="shared" si="509"/>
        <v>0</v>
      </c>
      <c r="AN83" s="862">
        <f t="shared" si="510"/>
        <v>0</v>
      </c>
      <c r="AO83" s="862">
        <f t="shared" si="511"/>
        <v>0</v>
      </c>
      <c r="AP83" s="862">
        <f t="shared" si="512"/>
        <v>0</v>
      </c>
      <c r="AQ83" s="862">
        <f t="shared" si="513"/>
        <v>0</v>
      </c>
      <c r="AR83" s="862">
        <f t="shared" si="514"/>
        <v>0</v>
      </c>
      <c r="AS83" s="863">
        <f t="shared" si="515"/>
        <v>25000</v>
      </c>
      <c r="AT83" s="862">
        <f t="shared" si="497"/>
        <v>0</v>
      </c>
      <c r="AU83" s="862">
        <f t="shared" si="483"/>
        <v>0</v>
      </c>
      <c r="AV83" s="862">
        <f t="shared" si="484"/>
        <v>0</v>
      </c>
      <c r="AW83" s="862">
        <f t="shared" si="485"/>
        <v>3500.0000000000005</v>
      </c>
      <c r="AX83" s="862">
        <f t="shared" si="486"/>
        <v>0</v>
      </c>
      <c r="AY83" s="862">
        <f t="shared" si="487"/>
        <v>0</v>
      </c>
      <c r="AZ83" s="862">
        <f t="shared" si="488"/>
        <v>0</v>
      </c>
      <c r="BA83" s="862">
        <f t="shared" si="489"/>
        <v>0</v>
      </c>
      <c r="BB83" s="862">
        <f t="shared" si="490"/>
        <v>0</v>
      </c>
      <c r="BC83" s="862">
        <f t="shared" si="491"/>
        <v>0</v>
      </c>
      <c r="BD83" s="862">
        <f t="shared" si="492"/>
        <v>0</v>
      </c>
      <c r="BE83" s="862">
        <f t="shared" si="493"/>
        <v>0</v>
      </c>
      <c r="BF83" s="863">
        <f t="shared" si="516"/>
        <v>3500.0000000000005</v>
      </c>
      <c r="BG83" s="698">
        <f t="shared" si="517"/>
        <v>0</v>
      </c>
      <c r="BH83" s="687">
        <f t="shared" si="518"/>
        <v>28500</v>
      </c>
      <c r="BI83" s="688">
        <f t="shared" si="519"/>
        <v>0</v>
      </c>
      <c r="BJ83" s="630">
        <f t="shared" si="520"/>
        <v>1</v>
      </c>
      <c r="BK83" s="1081"/>
      <c r="BL83" s="1081"/>
      <c r="BM83" s="1083"/>
      <c r="BN83" s="1084"/>
      <c r="BO83" s="862"/>
      <c r="BP83" s="862"/>
      <c r="BQ83" s="862"/>
      <c r="BR83" s="862"/>
      <c r="BS83" s="862"/>
      <c r="BT83" s="862"/>
      <c r="BU83" s="862"/>
      <c r="BV83" s="862"/>
      <c r="BW83" s="1081">
        <f t="shared" si="498"/>
        <v>0</v>
      </c>
      <c r="BX83" s="862"/>
      <c r="BY83" s="862"/>
      <c r="BZ83" s="862"/>
      <c r="CA83" s="73">
        <f t="shared" si="499"/>
        <v>0</v>
      </c>
      <c r="CB83" s="862"/>
      <c r="CC83" s="862"/>
      <c r="CD83" s="862"/>
      <c r="CE83" s="862"/>
      <c r="CF83" s="862"/>
      <c r="CG83" s="862"/>
      <c r="CH83" s="862"/>
      <c r="CI83" s="862"/>
      <c r="CJ83" s="1081"/>
      <c r="CK83" s="862"/>
      <c r="CL83" s="862"/>
      <c r="CM83" s="862"/>
      <c r="CN83" s="73">
        <f t="shared" si="500"/>
        <v>0</v>
      </c>
    </row>
    <row r="84" spans="1:98" s="38" customFormat="1" ht="20.25" customHeight="1" x14ac:dyDescent="0.2">
      <c r="A84" s="28"/>
      <c r="B84" s="1392" t="s">
        <v>548</v>
      </c>
      <c r="C84" s="29" t="s">
        <v>24</v>
      </c>
      <c r="D84" s="1037">
        <v>1</v>
      </c>
      <c r="E84" s="695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1">
        <f t="shared" si="501"/>
        <v>0</v>
      </c>
      <c r="R84" s="760" t="s">
        <v>559</v>
      </c>
      <c r="S84" s="1040">
        <v>28500</v>
      </c>
      <c r="T84" s="763"/>
      <c r="U84" s="861"/>
      <c r="V84" s="861"/>
      <c r="W84" s="969"/>
      <c r="X84" s="861"/>
      <c r="Y84" s="861"/>
      <c r="Z84" s="861"/>
      <c r="AA84" s="861"/>
      <c r="AB84" s="861"/>
      <c r="AC84" s="861"/>
      <c r="AD84" s="861"/>
      <c r="AE84" s="861"/>
      <c r="AF84" s="629">
        <f t="shared" si="502"/>
        <v>0</v>
      </c>
      <c r="AG84" s="862">
        <f t="shared" si="503"/>
        <v>0</v>
      </c>
      <c r="AH84" s="862">
        <f t="shared" si="504"/>
        <v>0</v>
      </c>
      <c r="AI84" s="862">
        <f t="shared" si="505"/>
        <v>0</v>
      </c>
      <c r="AJ84" s="862">
        <f t="shared" si="506"/>
        <v>0</v>
      </c>
      <c r="AK84" s="862">
        <f t="shared" si="507"/>
        <v>0</v>
      </c>
      <c r="AL84" s="862">
        <f t="shared" si="508"/>
        <v>0</v>
      </c>
      <c r="AM84" s="862">
        <f t="shared" si="509"/>
        <v>0</v>
      </c>
      <c r="AN84" s="862">
        <f t="shared" si="510"/>
        <v>0</v>
      </c>
      <c r="AO84" s="862">
        <f t="shared" si="511"/>
        <v>0</v>
      </c>
      <c r="AP84" s="862">
        <f t="shared" si="512"/>
        <v>0</v>
      </c>
      <c r="AQ84" s="862">
        <f t="shared" si="513"/>
        <v>0</v>
      </c>
      <c r="AR84" s="862">
        <f t="shared" si="514"/>
        <v>0</v>
      </c>
      <c r="AS84" s="863">
        <f t="shared" si="515"/>
        <v>0</v>
      </c>
      <c r="AT84" s="862">
        <f t="shared" si="497"/>
        <v>0</v>
      </c>
      <c r="AU84" s="862">
        <f t="shared" si="483"/>
        <v>0</v>
      </c>
      <c r="AV84" s="862">
        <f t="shared" si="484"/>
        <v>0</v>
      </c>
      <c r="AW84" s="862">
        <f t="shared" si="485"/>
        <v>0</v>
      </c>
      <c r="AX84" s="862">
        <f t="shared" si="486"/>
        <v>0</v>
      </c>
      <c r="AY84" s="862">
        <f t="shared" si="487"/>
        <v>0</v>
      </c>
      <c r="AZ84" s="862">
        <f t="shared" si="488"/>
        <v>0</v>
      </c>
      <c r="BA84" s="862">
        <f t="shared" si="489"/>
        <v>0</v>
      </c>
      <c r="BB84" s="862">
        <f t="shared" si="490"/>
        <v>0</v>
      </c>
      <c r="BC84" s="862">
        <f t="shared" si="491"/>
        <v>0</v>
      </c>
      <c r="BD84" s="862">
        <f t="shared" si="492"/>
        <v>0</v>
      </c>
      <c r="BE84" s="862">
        <f t="shared" si="493"/>
        <v>0</v>
      </c>
      <c r="BF84" s="863">
        <f t="shared" si="516"/>
        <v>0</v>
      </c>
      <c r="BG84" s="698">
        <f t="shared" si="517"/>
        <v>0</v>
      </c>
      <c r="BH84" s="687">
        <f t="shared" si="518"/>
        <v>28500</v>
      </c>
      <c r="BI84" s="688">
        <f t="shared" si="519"/>
        <v>28500</v>
      </c>
      <c r="BJ84" s="630">
        <f t="shared" si="520"/>
        <v>0</v>
      </c>
      <c r="BK84" s="1081"/>
      <c r="BL84" s="1081"/>
      <c r="BM84" s="1083"/>
      <c r="BN84" s="1084"/>
      <c r="BO84" s="862"/>
      <c r="BP84" s="862"/>
      <c r="BQ84" s="862"/>
      <c r="BR84" s="862"/>
      <c r="BS84" s="862"/>
      <c r="BT84" s="862"/>
      <c r="BU84" s="862"/>
      <c r="BV84" s="862"/>
      <c r="BW84" s="1081">
        <f t="shared" si="498"/>
        <v>0</v>
      </c>
      <c r="BX84" s="862"/>
      <c r="BY84" s="862"/>
      <c r="BZ84" s="862"/>
      <c r="CA84" s="73">
        <f t="shared" si="499"/>
        <v>0</v>
      </c>
      <c r="CB84" s="862"/>
      <c r="CC84" s="862"/>
      <c r="CD84" s="862"/>
      <c r="CE84" s="862"/>
      <c r="CF84" s="862"/>
      <c r="CG84" s="862"/>
      <c r="CH84" s="862"/>
      <c r="CI84" s="862"/>
      <c r="CJ84" s="1081"/>
      <c r="CK84" s="862"/>
      <c r="CL84" s="862"/>
      <c r="CM84" s="862"/>
      <c r="CN84" s="73">
        <f t="shared" si="500"/>
        <v>0</v>
      </c>
    </row>
    <row r="85" spans="1:98" s="38" customFormat="1" ht="20.25" customHeight="1" x14ac:dyDescent="0.2">
      <c r="A85" s="28"/>
      <c r="B85" s="1392" t="s">
        <v>549</v>
      </c>
      <c r="C85" s="29" t="s">
        <v>24</v>
      </c>
      <c r="D85" s="1037">
        <v>4.2999999999999997E-2</v>
      </c>
      <c r="E85" s="695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1">
        <f t="shared" si="501"/>
        <v>0</v>
      </c>
      <c r="R85" s="760" t="s">
        <v>557</v>
      </c>
      <c r="S85" s="1040">
        <v>2280000</v>
      </c>
      <c r="T85" s="763"/>
      <c r="U85" s="861"/>
      <c r="V85" s="861"/>
      <c r="W85" s="969"/>
      <c r="X85" s="861"/>
      <c r="Y85" s="861"/>
      <c r="Z85" s="861"/>
      <c r="AA85" s="861"/>
      <c r="AB85" s="861"/>
      <c r="AC85" s="861"/>
      <c r="AD85" s="861"/>
      <c r="AE85" s="861"/>
      <c r="AF85" s="629">
        <f t="shared" si="502"/>
        <v>0</v>
      </c>
      <c r="AG85" s="862">
        <f t="shared" si="503"/>
        <v>0</v>
      </c>
      <c r="AH85" s="862">
        <f t="shared" si="504"/>
        <v>0</v>
      </c>
      <c r="AI85" s="862">
        <f t="shared" si="505"/>
        <v>0</v>
      </c>
      <c r="AJ85" s="862">
        <f t="shared" si="506"/>
        <v>0</v>
      </c>
      <c r="AK85" s="862">
        <f t="shared" si="507"/>
        <v>0</v>
      </c>
      <c r="AL85" s="862">
        <f t="shared" si="508"/>
        <v>0</v>
      </c>
      <c r="AM85" s="862">
        <f t="shared" si="509"/>
        <v>0</v>
      </c>
      <c r="AN85" s="862">
        <f t="shared" si="510"/>
        <v>0</v>
      </c>
      <c r="AO85" s="862">
        <f t="shared" si="511"/>
        <v>0</v>
      </c>
      <c r="AP85" s="862">
        <f t="shared" si="512"/>
        <v>0</v>
      </c>
      <c r="AQ85" s="862">
        <f t="shared" si="513"/>
        <v>0</v>
      </c>
      <c r="AR85" s="862">
        <f t="shared" si="514"/>
        <v>0</v>
      </c>
      <c r="AS85" s="863">
        <f t="shared" si="515"/>
        <v>0</v>
      </c>
      <c r="AT85" s="862">
        <f t="shared" si="497"/>
        <v>0</v>
      </c>
      <c r="AU85" s="862">
        <f t="shared" si="483"/>
        <v>0</v>
      </c>
      <c r="AV85" s="862">
        <f t="shared" si="484"/>
        <v>0</v>
      </c>
      <c r="AW85" s="862">
        <f t="shared" si="485"/>
        <v>0</v>
      </c>
      <c r="AX85" s="862">
        <f t="shared" si="486"/>
        <v>0</v>
      </c>
      <c r="AY85" s="862">
        <f t="shared" si="487"/>
        <v>0</v>
      </c>
      <c r="AZ85" s="862">
        <f t="shared" si="488"/>
        <v>0</v>
      </c>
      <c r="BA85" s="862">
        <f t="shared" si="489"/>
        <v>0</v>
      </c>
      <c r="BB85" s="862">
        <f t="shared" si="490"/>
        <v>0</v>
      </c>
      <c r="BC85" s="862">
        <f t="shared" si="491"/>
        <v>0</v>
      </c>
      <c r="BD85" s="862">
        <f t="shared" si="492"/>
        <v>0</v>
      </c>
      <c r="BE85" s="862">
        <f t="shared" si="493"/>
        <v>0</v>
      </c>
      <c r="BF85" s="863">
        <f t="shared" si="516"/>
        <v>0</v>
      </c>
      <c r="BG85" s="698">
        <f t="shared" si="517"/>
        <v>0</v>
      </c>
      <c r="BH85" s="687">
        <f t="shared" si="518"/>
        <v>98039.999999999985</v>
      </c>
      <c r="BI85" s="688">
        <f t="shared" si="519"/>
        <v>98039.999999999985</v>
      </c>
      <c r="BJ85" s="630">
        <f t="shared" si="520"/>
        <v>0</v>
      </c>
      <c r="BK85" s="1081"/>
      <c r="BL85" s="1081"/>
      <c r="BM85" s="1083"/>
      <c r="BN85" s="1084"/>
      <c r="BO85" s="862"/>
      <c r="BP85" s="862"/>
      <c r="BQ85" s="862"/>
      <c r="BR85" s="862"/>
      <c r="BS85" s="862"/>
      <c r="BT85" s="862"/>
      <c r="BU85" s="862"/>
      <c r="BV85" s="862"/>
      <c r="BW85" s="1081">
        <f t="shared" si="498"/>
        <v>0</v>
      </c>
      <c r="BX85" s="862"/>
      <c r="BY85" s="862"/>
      <c r="BZ85" s="862"/>
      <c r="CA85" s="73">
        <f t="shared" si="499"/>
        <v>0</v>
      </c>
      <c r="CB85" s="862"/>
      <c r="CC85" s="862"/>
      <c r="CD85" s="862"/>
      <c r="CE85" s="862"/>
      <c r="CF85" s="862"/>
      <c r="CG85" s="862"/>
      <c r="CH85" s="862"/>
      <c r="CI85" s="862"/>
      <c r="CJ85" s="1081"/>
      <c r="CK85" s="862"/>
      <c r="CL85" s="862"/>
      <c r="CM85" s="862"/>
      <c r="CN85" s="73">
        <f t="shared" si="500"/>
        <v>0</v>
      </c>
    </row>
    <row r="86" spans="1:98" s="38" customFormat="1" ht="20.25" customHeight="1" x14ac:dyDescent="0.2">
      <c r="A86" s="28"/>
      <c r="B86" s="1394" t="s">
        <v>550</v>
      </c>
      <c r="C86" s="29"/>
      <c r="D86" s="1039"/>
      <c r="E86" s="695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1"/>
      <c r="R86" s="1039"/>
      <c r="S86" s="1040"/>
      <c r="T86" s="763"/>
      <c r="U86" s="861"/>
      <c r="V86" s="861"/>
      <c r="W86" s="969"/>
      <c r="X86" s="861"/>
      <c r="Y86" s="861"/>
      <c r="Z86" s="861"/>
      <c r="AA86" s="861"/>
      <c r="AB86" s="861"/>
      <c r="AC86" s="861"/>
      <c r="AD86" s="861"/>
      <c r="AE86" s="861"/>
      <c r="AF86" s="629"/>
      <c r="AG86" s="862"/>
      <c r="AH86" s="862"/>
      <c r="AI86" s="862"/>
      <c r="AJ86" s="862"/>
      <c r="AK86" s="862"/>
      <c r="AL86" s="862"/>
      <c r="AM86" s="862"/>
      <c r="AN86" s="862"/>
      <c r="AO86" s="862"/>
      <c r="AP86" s="862"/>
      <c r="AQ86" s="862"/>
      <c r="AR86" s="862"/>
      <c r="AS86" s="863"/>
      <c r="AT86" s="862">
        <f t="shared" si="497"/>
        <v>0</v>
      </c>
      <c r="AU86" s="862">
        <f t="shared" si="483"/>
        <v>0</v>
      </c>
      <c r="AV86" s="862">
        <f t="shared" si="484"/>
        <v>0</v>
      </c>
      <c r="AW86" s="862">
        <f t="shared" si="485"/>
        <v>0</v>
      </c>
      <c r="AX86" s="862">
        <f t="shared" si="486"/>
        <v>0</v>
      </c>
      <c r="AY86" s="862">
        <f t="shared" si="487"/>
        <v>0</v>
      </c>
      <c r="AZ86" s="862">
        <f t="shared" si="488"/>
        <v>0</v>
      </c>
      <c r="BA86" s="862">
        <f t="shared" si="489"/>
        <v>0</v>
      </c>
      <c r="BB86" s="862">
        <f t="shared" si="490"/>
        <v>0</v>
      </c>
      <c r="BC86" s="862">
        <f t="shared" si="491"/>
        <v>0</v>
      </c>
      <c r="BD86" s="862">
        <f t="shared" si="492"/>
        <v>0</v>
      </c>
      <c r="BE86" s="862">
        <f t="shared" si="493"/>
        <v>0</v>
      </c>
      <c r="BF86" s="863"/>
      <c r="BG86" s="698"/>
      <c r="BH86" s="687"/>
      <c r="BI86" s="688"/>
      <c r="BJ86" s="630"/>
      <c r="BK86" s="1081"/>
      <c r="BL86" s="1081"/>
      <c r="BM86" s="1083"/>
      <c r="BN86" s="1084"/>
      <c r="BO86" s="862"/>
      <c r="BP86" s="862"/>
      <c r="BQ86" s="862"/>
      <c r="BR86" s="862"/>
      <c r="BS86" s="862"/>
      <c r="BT86" s="862"/>
      <c r="BU86" s="862"/>
      <c r="BV86" s="862"/>
      <c r="BW86" s="1081">
        <f t="shared" si="498"/>
        <v>0</v>
      </c>
      <c r="BX86" s="862"/>
      <c r="BY86" s="862"/>
      <c r="BZ86" s="862"/>
      <c r="CA86" s="73">
        <f t="shared" si="499"/>
        <v>0</v>
      </c>
      <c r="CB86" s="862"/>
      <c r="CC86" s="862"/>
      <c r="CD86" s="862"/>
      <c r="CE86" s="862"/>
      <c r="CF86" s="862"/>
      <c r="CG86" s="862"/>
      <c r="CH86" s="862"/>
      <c r="CI86" s="862"/>
      <c r="CJ86" s="1081"/>
      <c r="CK86" s="862"/>
      <c r="CL86" s="862"/>
      <c r="CM86" s="862"/>
      <c r="CN86" s="73">
        <f t="shared" si="500"/>
        <v>0</v>
      </c>
    </row>
    <row r="87" spans="1:98" s="37" customFormat="1" ht="20.25" customHeight="1" x14ac:dyDescent="0.2">
      <c r="A87" s="28"/>
      <c r="B87" s="1395" t="s">
        <v>551</v>
      </c>
      <c r="C87" s="29" t="s">
        <v>24</v>
      </c>
      <c r="D87" s="1037">
        <v>230</v>
      </c>
      <c r="E87" s="695">
        <v>90</v>
      </c>
      <c r="F87" s="30"/>
      <c r="G87" s="695">
        <v>90</v>
      </c>
      <c r="H87" s="30">
        <v>36</v>
      </c>
      <c r="I87" s="30"/>
      <c r="J87" s="30"/>
      <c r="K87" s="30"/>
      <c r="L87" s="30"/>
      <c r="M87" s="30"/>
      <c r="N87" s="30"/>
      <c r="O87" s="30"/>
      <c r="P87" s="30"/>
      <c r="Q87" s="31">
        <f t="shared" si="501"/>
        <v>216</v>
      </c>
      <c r="R87" s="760" t="s">
        <v>560</v>
      </c>
      <c r="S87" s="841">
        <v>100000</v>
      </c>
      <c r="T87" s="841">
        <v>100000</v>
      </c>
      <c r="U87" s="841"/>
      <c r="V87" s="841">
        <v>100000</v>
      </c>
      <c r="W87" s="970">
        <v>100000</v>
      </c>
      <c r="X87" s="861"/>
      <c r="Y87" s="861"/>
      <c r="Z87" s="861"/>
      <c r="AA87" s="861"/>
      <c r="AB87" s="861"/>
      <c r="AC87" s="861"/>
      <c r="AD87" s="861"/>
      <c r="AE87" s="861"/>
      <c r="AF87" s="629">
        <f t="shared" si="502"/>
        <v>21600000</v>
      </c>
      <c r="AG87" s="862">
        <f t="shared" si="503"/>
        <v>9000000</v>
      </c>
      <c r="AH87" s="862">
        <f t="shared" si="504"/>
        <v>0</v>
      </c>
      <c r="AI87" s="862">
        <f t="shared" si="505"/>
        <v>9000000</v>
      </c>
      <c r="AJ87" s="862">
        <f t="shared" si="506"/>
        <v>3600000</v>
      </c>
      <c r="AK87" s="862">
        <f t="shared" si="507"/>
        <v>0</v>
      </c>
      <c r="AL87" s="862">
        <f t="shared" si="508"/>
        <v>0</v>
      </c>
      <c r="AM87" s="862">
        <f t="shared" si="509"/>
        <v>0</v>
      </c>
      <c r="AN87" s="862">
        <f t="shared" si="510"/>
        <v>0</v>
      </c>
      <c r="AO87" s="862">
        <f t="shared" si="511"/>
        <v>0</v>
      </c>
      <c r="AP87" s="862">
        <f t="shared" si="512"/>
        <v>0</v>
      </c>
      <c r="AQ87" s="862">
        <f t="shared" si="513"/>
        <v>0</v>
      </c>
      <c r="AR87" s="862">
        <f t="shared" si="514"/>
        <v>0</v>
      </c>
      <c r="AS87" s="863">
        <f t="shared" si="515"/>
        <v>21600000</v>
      </c>
      <c r="AT87" s="862"/>
      <c r="AU87" s="862"/>
      <c r="AV87" s="862"/>
      <c r="AW87" s="862"/>
      <c r="AX87" s="862"/>
      <c r="AY87" s="862"/>
      <c r="AZ87" s="862"/>
      <c r="BA87" s="862">
        <f t="shared" si="489"/>
        <v>0</v>
      </c>
      <c r="BB87" s="862">
        <f t="shared" si="490"/>
        <v>0</v>
      </c>
      <c r="BC87" s="862">
        <f t="shared" si="491"/>
        <v>0</v>
      </c>
      <c r="BD87" s="862">
        <f t="shared" si="492"/>
        <v>0</v>
      </c>
      <c r="BE87" s="862">
        <f t="shared" si="493"/>
        <v>0</v>
      </c>
      <c r="BF87" s="863">
        <f t="shared" si="516"/>
        <v>0</v>
      </c>
      <c r="BG87" s="698">
        <f t="shared" si="517"/>
        <v>0</v>
      </c>
      <c r="BH87" s="687">
        <f t="shared" si="518"/>
        <v>23000000</v>
      </c>
      <c r="BI87" s="688">
        <f t="shared" si="519"/>
        <v>1400000</v>
      </c>
      <c r="BJ87" s="630">
        <f t="shared" si="520"/>
        <v>0.93913043478260871</v>
      </c>
      <c r="BK87" s="1081"/>
      <c r="BL87" s="1081"/>
      <c r="BM87" s="1083"/>
      <c r="BN87" s="1084"/>
      <c r="BO87" s="862"/>
      <c r="BP87" s="862"/>
      <c r="BQ87" s="862"/>
      <c r="BR87" s="862"/>
      <c r="BS87" s="862"/>
      <c r="BT87" s="862"/>
      <c r="BU87" s="862"/>
      <c r="BV87" s="862"/>
      <c r="BW87" s="1081">
        <f t="shared" si="498"/>
        <v>0</v>
      </c>
      <c r="BX87" s="862"/>
      <c r="BY87" s="862"/>
      <c r="BZ87" s="862"/>
      <c r="CA87" s="73">
        <f t="shared" si="499"/>
        <v>0</v>
      </c>
      <c r="CB87" s="862"/>
      <c r="CC87" s="862"/>
      <c r="CD87" s="862"/>
      <c r="CE87" s="862"/>
      <c r="CF87" s="862"/>
      <c r="CG87" s="862"/>
      <c r="CH87" s="862"/>
      <c r="CI87" s="862"/>
      <c r="CJ87" s="1081"/>
      <c r="CK87" s="862"/>
      <c r="CL87" s="862"/>
      <c r="CM87" s="862"/>
      <c r="CN87" s="73">
        <f t="shared" si="500"/>
        <v>0</v>
      </c>
    </row>
    <row r="88" spans="1:98" s="37" customFormat="1" ht="20.25" customHeight="1" x14ac:dyDescent="0.2">
      <c r="A88" s="28"/>
      <c r="B88" s="1395" t="s">
        <v>552</v>
      </c>
      <c r="C88" s="29" t="s">
        <v>24</v>
      </c>
      <c r="D88" s="1037">
        <v>74</v>
      </c>
      <c r="E88" s="695">
        <v>30</v>
      </c>
      <c r="F88" s="30"/>
      <c r="G88" s="695">
        <v>30</v>
      </c>
      <c r="H88" s="30">
        <v>12</v>
      </c>
      <c r="I88" s="30"/>
      <c r="J88" s="30"/>
      <c r="K88" s="30"/>
      <c r="L88" s="30"/>
      <c r="M88" s="30"/>
      <c r="N88" s="30"/>
      <c r="O88" s="30"/>
      <c r="P88" s="30"/>
      <c r="Q88" s="31">
        <f t="shared" si="501"/>
        <v>72</v>
      </c>
      <c r="R88" s="760" t="s">
        <v>560</v>
      </c>
      <c r="S88" s="841">
        <v>120000</v>
      </c>
      <c r="T88" s="841">
        <v>120000</v>
      </c>
      <c r="U88" s="841"/>
      <c r="V88" s="841">
        <v>120000</v>
      </c>
      <c r="W88" s="970">
        <v>120000</v>
      </c>
      <c r="X88" s="861"/>
      <c r="Y88" s="861"/>
      <c r="Z88" s="861"/>
      <c r="AA88" s="861"/>
      <c r="AB88" s="861"/>
      <c r="AC88" s="861"/>
      <c r="AD88" s="861"/>
      <c r="AE88" s="861"/>
      <c r="AF88" s="629">
        <f t="shared" si="502"/>
        <v>8640000</v>
      </c>
      <c r="AG88" s="862">
        <f t="shared" si="503"/>
        <v>3600000</v>
      </c>
      <c r="AH88" s="862">
        <f t="shared" si="504"/>
        <v>0</v>
      </c>
      <c r="AI88" s="862">
        <f t="shared" si="505"/>
        <v>3600000</v>
      </c>
      <c r="AJ88" s="862">
        <f t="shared" si="506"/>
        <v>1440000</v>
      </c>
      <c r="AK88" s="862">
        <f t="shared" si="507"/>
        <v>0</v>
      </c>
      <c r="AL88" s="862">
        <f t="shared" si="508"/>
        <v>0</v>
      </c>
      <c r="AM88" s="862">
        <f t="shared" si="509"/>
        <v>0</v>
      </c>
      <c r="AN88" s="862">
        <f t="shared" si="510"/>
        <v>0</v>
      </c>
      <c r="AO88" s="862">
        <f t="shared" si="511"/>
        <v>0</v>
      </c>
      <c r="AP88" s="862">
        <f t="shared" si="512"/>
        <v>0</v>
      </c>
      <c r="AQ88" s="862">
        <f t="shared" si="513"/>
        <v>0</v>
      </c>
      <c r="AR88" s="862">
        <f t="shared" si="514"/>
        <v>0</v>
      </c>
      <c r="AS88" s="863">
        <f t="shared" si="515"/>
        <v>8640000</v>
      </c>
      <c r="AT88" s="862"/>
      <c r="AU88" s="862"/>
      <c r="AV88" s="862"/>
      <c r="AW88" s="862"/>
      <c r="AX88" s="862"/>
      <c r="AY88" s="862"/>
      <c r="AZ88" s="862"/>
      <c r="BA88" s="862">
        <f t="shared" si="489"/>
        <v>0</v>
      </c>
      <c r="BB88" s="862">
        <f t="shared" si="490"/>
        <v>0</v>
      </c>
      <c r="BC88" s="862">
        <f t="shared" si="491"/>
        <v>0</v>
      </c>
      <c r="BD88" s="862">
        <f t="shared" si="492"/>
        <v>0</v>
      </c>
      <c r="BE88" s="862">
        <f t="shared" si="493"/>
        <v>0</v>
      </c>
      <c r="BF88" s="863">
        <f t="shared" si="516"/>
        <v>0</v>
      </c>
      <c r="BG88" s="698">
        <f t="shared" si="517"/>
        <v>0</v>
      </c>
      <c r="BH88" s="687">
        <f t="shared" si="518"/>
        <v>8880000</v>
      </c>
      <c r="BI88" s="688">
        <f t="shared" si="519"/>
        <v>240000</v>
      </c>
      <c r="BJ88" s="630">
        <f t="shared" si="520"/>
        <v>0.97297297297297303</v>
      </c>
      <c r="BK88" s="1081"/>
      <c r="BL88" s="1081"/>
      <c r="BM88" s="1083"/>
      <c r="BN88" s="1084"/>
      <c r="BO88" s="862"/>
      <c r="BP88" s="862"/>
      <c r="BQ88" s="862"/>
      <c r="BR88" s="862"/>
      <c r="BS88" s="862"/>
      <c r="BT88" s="862"/>
      <c r="BU88" s="862"/>
      <c r="BV88" s="862"/>
      <c r="BW88" s="1081">
        <f t="shared" si="498"/>
        <v>0</v>
      </c>
      <c r="BX88" s="862"/>
      <c r="BY88" s="862"/>
      <c r="BZ88" s="862"/>
      <c r="CA88" s="73">
        <f t="shared" si="499"/>
        <v>0</v>
      </c>
      <c r="CB88" s="862"/>
      <c r="CC88" s="862"/>
      <c r="CD88" s="862"/>
      <c r="CE88" s="862"/>
      <c r="CF88" s="862"/>
      <c r="CG88" s="862"/>
      <c r="CH88" s="862"/>
      <c r="CI88" s="862"/>
      <c r="CJ88" s="1081"/>
      <c r="CK88" s="862"/>
      <c r="CL88" s="862"/>
      <c r="CM88" s="862"/>
      <c r="CN88" s="73">
        <f t="shared" si="500"/>
        <v>0</v>
      </c>
    </row>
    <row r="89" spans="1:98" s="37" customFormat="1" ht="20.25" customHeight="1" x14ac:dyDescent="0.2">
      <c r="A89" s="28"/>
      <c r="B89" s="1395" t="s">
        <v>553</v>
      </c>
      <c r="C89" s="29" t="s">
        <v>24</v>
      </c>
      <c r="D89" s="1037">
        <v>5</v>
      </c>
      <c r="E89" s="695"/>
      <c r="F89" s="30"/>
      <c r="G89" s="30"/>
      <c r="H89" s="30">
        <v>5</v>
      </c>
      <c r="I89" s="30"/>
      <c r="J89" s="30"/>
      <c r="K89" s="30"/>
      <c r="L89" s="30"/>
      <c r="M89" s="30"/>
      <c r="N89" s="30"/>
      <c r="O89" s="30"/>
      <c r="P89" s="30"/>
      <c r="Q89" s="31">
        <f t="shared" si="501"/>
        <v>5</v>
      </c>
      <c r="R89" s="760" t="s">
        <v>560</v>
      </c>
      <c r="S89" s="841">
        <v>130000</v>
      </c>
      <c r="T89" s="763"/>
      <c r="U89" s="861"/>
      <c r="V89" s="861"/>
      <c r="W89" s="970">
        <v>130000</v>
      </c>
      <c r="X89" s="861"/>
      <c r="Y89" s="861"/>
      <c r="Z89" s="861"/>
      <c r="AA89" s="861"/>
      <c r="AB89" s="861"/>
      <c r="AC89" s="861"/>
      <c r="AD89" s="861"/>
      <c r="AE89" s="861"/>
      <c r="AF89" s="629">
        <f t="shared" si="502"/>
        <v>650000</v>
      </c>
      <c r="AG89" s="862">
        <f t="shared" si="503"/>
        <v>0</v>
      </c>
      <c r="AH89" s="862">
        <f t="shared" si="504"/>
        <v>0</v>
      </c>
      <c r="AI89" s="862">
        <f t="shared" si="505"/>
        <v>0</v>
      </c>
      <c r="AJ89" s="862">
        <f t="shared" si="506"/>
        <v>650000</v>
      </c>
      <c r="AK89" s="862">
        <f t="shared" si="507"/>
        <v>0</v>
      </c>
      <c r="AL89" s="862">
        <f t="shared" si="508"/>
        <v>0</v>
      </c>
      <c r="AM89" s="862">
        <f t="shared" si="509"/>
        <v>0</v>
      </c>
      <c r="AN89" s="862">
        <f t="shared" si="510"/>
        <v>0</v>
      </c>
      <c r="AO89" s="862">
        <f t="shared" si="511"/>
        <v>0</v>
      </c>
      <c r="AP89" s="862">
        <f t="shared" si="512"/>
        <v>0</v>
      </c>
      <c r="AQ89" s="862">
        <f t="shared" si="513"/>
        <v>0</v>
      </c>
      <c r="AR89" s="862">
        <f t="shared" si="514"/>
        <v>0</v>
      </c>
      <c r="AS89" s="863">
        <f t="shared" si="515"/>
        <v>650000</v>
      </c>
      <c r="AT89" s="862">
        <f t="shared" si="497"/>
        <v>0</v>
      </c>
      <c r="AU89" s="862">
        <f t="shared" si="483"/>
        <v>0</v>
      </c>
      <c r="AV89" s="862">
        <f t="shared" si="484"/>
        <v>0</v>
      </c>
      <c r="AW89" s="862"/>
      <c r="AX89" s="862">
        <f t="shared" si="486"/>
        <v>0</v>
      </c>
      <c r="AY89" s="862">
        <f t="shared" si="487"/>
        <v>0</v>
      </c>
      <c r="AZ89" s="862">
        <f t="shared" si="488"/>
        <v>0</v>
      </c>
      <c r="BA89" s="862">
        <f t="shared" si="489"/>
        <v>0</v>
      </c>
      <c r="BB89" s="862">
        <f t="shared" si="490"/>
        <v>0</v>
      </c>
      <c r="BC89" s="862">
        <f t="shared" si="491"/>
        <v>0</v>
      </c>
      <c r="BD89" s="862">
        <f t="shared" si="492"/>
        <v>0</v>
      </c>
      <c r="BE89" s="862">
        <f t="shared" si="493"/>
        <v>0</v>
      </c>
      <c r="BF89" s="863">
        <f t="shared" si="516"/>
        <v>0</v>
      </c>
      <c r="BG89" s="698">
        <f t="shared" si="517"/>
        <v>0</v>
      </c>
      <c r="BH89" s="687">
        <f t="shared" si="518"/>
        <v>650000</v>
      </c>
      <c r="BI89" s="688">
        <f t="shared" si="519"/>
        <v>0</v>
      </c>
      <c r="BJ89" s="630">
        <f t="shared" si="520"/>
        <v>1</v>
      </c>
      <c r="BK89" s="1081"/>
      <c r="BL89" s="1081"/>
      <c r="BM89" s="1083"/>
      <c r="BN89" s="1084"/>
      <c r="BO89" s="862"/>
      <c r="BP89" s="862"/>
      <c r="BQ89" s="862"/>
      <c r="BR89" s="862"/>
      <c r="BS89" s="862"/>
      <c r="BT89" s="862"/>
      <c r="BU89" s="862"/>
      <c r="BV89" s="862"/>
      <c r="BW89" s="1081">
        <f t="shared" si="498"/>
        <v>0</v>
      </c>
      <c r="BX89" s="862"/>
      <c r="BY89" s="862"/>
      <c r="BZ89" s="862"/>
      <c r="CA89" s="73">
        <f t="shared" si="499"/>
        <v>0</v>
      </c>
      <c r="CB89" s="862"/>
      <c r="CC89" s="862"/>
      <c r="CD89" s="862"/>
      <c r="CE89" s="862"/>
      <c r="CF89" s="862"/>
      <c r="CG89" s="862"/>
      <c r="CH89" s="862"/>
      <c r="CI89" s="862"/>
      <c r="CJ89" s="1081"/>
      <c r="CK89" s="862"/>
      <c r="CL89" s="862"/>
      <c r="CM89" s="862"/>
      <c r="CN89" s="73">
        <f t="shared" si="500"/>
        <v>0</v>
      </c>
    </row>
    <row r="90" spans="1:98" s="38" customFormat="1" ht="20.25" customHeight="1" thickBot="1" x14ac:dyDescent="0.25">
      <c r="A90" s="1041"/>
      <c r="B90" s="1396" t="s">
        <v>554</v>
      </c>
      <c r="C90" s="1042" t="s">
        <v>24</v>
      </c>
      <c r="D90" s="1043">
        <v>1</v>
      </c>
      <c r="E90" s="766"/>
      <c r="F90" s="220">
        <v>1</v>
      </c>
      <c r="G90" s="220"/>
      <c r="H90" s="220">
        <v>1</v>
      </c>
      <c r="I90" s="220"/>
      <c r="J90" s="220"/>
      <c r="K90" s="220"/>
      <c r="L90" s="220"/>
      <c r="M90" s="220"/>
      <c r="N90" s="220"/>
      <c r="O90" s="220"/>
      <c r="P90" s="220"/>
      <c r="Q90" s="702">
        <v>1</v>
      </c>
      <c r="R90" s="1043" t="s">
        <v>14</v>
      </c>
      <c r="S90" s="1044">
        <v>2007460</v>
      </c>
      <c r="T90" s="767"/>
      <c r="U90" s="1045">
        <v>1100000</v>
      </c>
      <c r="V90" s="1045"/>
      <c r="W90" s="971">
        <v>907000</v>
      </c>
      <c r="X90" s="1045"/>
      <c r="Y90" s="1045"/>
      <c r="Z90" s="1045"/>
      <c r="AA90" s="1045"/>
      <c r="AB90" s="1045"/>
      <c r="AC90" s="1045"/>
      <c r="AD90" s="1045"/>
      <c r="AE90" s="1045"/>
      <c r="AF90" s="703">
        <f t="shared" si="502"/>
        <v>2007460</v>
      </c>
      <c r="AG90" s="1046">
        <f t="shared" si="503"/>
        <v>0</v>
      </c>
      <c r="AH90" s="1046">
        <f t="shared" si="504"/>
        <v>1100000</v>
      </c>
      <c r="AI90" s="1046">
        <f t="shared" si="505"/>
        <v>0</v>
      </c>
      <c r="AJ90" s="1046">
        <f t="shared" si="506"/>
        <v>907000</v>
      </c>
      <c r="AK90" s="1046">
        <f t="shared" si="507"/>
        <v>0</v>
      </c>
      <c r="AL90" s="1046">
        <f t="shared" si="508"/>
        <v>0</v>
      </c>
      <c r="AM90" s="1046">
        <f t="shared" si="509"/>
        <v>0</v>
      </c>
      <c r="AN90" s="1046">
        <f t="shared" si="510"/>
        <v>0</v>
      </c>
      <c r="AO90" s="1046">
        <f t="shared" si="511"/>
        <v>0</v>
      </c>
      <c r="AP90" s="1046">
        <f t="shared" si="512"/>
        <v>0</v>
      </c>
      <c r="AQ90" s="1046">
        <f t="shared" si="513"/>
        <v>0</v>
      </c>
      <c r="AR90" s="1046">
        <f t="shared" si="514"/>
        <v>0</v>
      </c>
      <c r="AS90" s="1047">
        <f t="shared" si="515"/>
        <v>2007000</v>
      </c>
      <c r="AT90" s="1046">
        <f t="shared" si="497"/>
        <v>0</v>
      </c>
      <c r="AU90" s="1046"/>
      <c r="AV90" s="1046">
        <f t="shared" si="484"/>
        <v>0</v>
      </c>
      <c r="AW90" s="1046"/>
      <c r="AX90" s="1046">
        <f t="shared" si="486"/>
        <v>0</v>
      </c>
      <c r="AY90" s="1046">
        <f t="shared" si="487"/>
        <v>0</v>
      </c>
      <c r="AZ90" s="1046">
        <f t="shared" si="488"/>
        <v>0</v>
      </c>
      <c r="BA90" s="1046">
        <f t="shared" si="489"/>
        <v>0</v>
      </c>
      <c r="BB90" s="1046">
        <f t="shared" si="490"/>
        <v>0</v>
      </c>
      <c r="BC90" s="1046">
        <f t="shared" si="491"/>
        <v>0</v>
      </c>
      <c r="BD90" s="1046">
        <f t="shared" si="492"/>
        <v>0</v>
      </c>
      <c r="BE90" s="1046">
        <f t="shared" si="493"/>
        <v>0</v>
      </c>
      <c r="BF90" s="1047">
        <f t="shared" si="516"/>
        <v>0</v>
      </c>
      <c r="BG90" s="704">
        <f t="shared" si="517"/>
        <v>460</v>
      </c>
      <c r="BH90" s="768">
        <f t="shared" si="518"/>
        <v>2007460</v>
      </c>
      <c r="BI90" s="688">
        <f t="shared" si="519"/>
        <v>460</v>
      </c>
      <c r="BJ90" s="630">
        <f t="shared" si="520"/>
        <v>1</v>
      </c>
      <c r="BK90" s="1081"/>
      <c r="BL90" s="1081"/>
      <c r="BM90" s="1083"/>
      <c r="BN90" s="1084"/>
      <c r="BO90" s="862"/>
      <c r="BP90" s="862"/>
      <c r="BQ90" s="862"/>
      <c r="BR90" s="862"/>
      <c r="BS90" s="862"/>
      <c r="BT90" s="862"/>
      <c r="BU90" s="862"/>
      <c r="BV90" s="862"/>
      <c r="BW90" s="1081">
        <f t="shared" si="498"/>
        <v>0</v>
      </c>
      <c r="BX90" s="862"/>
      <c r="BY90" s="862"/>
      <c r="BZ90" s="862"/>
      <c r="CA90" s="73">
        <f t="shared" si="499"/>
        <v>0</v>
      </c>
      <c r="CB90" s="862"/>
      <c r="CC90" s="862"/>
      <c r="CD90" s="862"/>
      <c r="CE90" s="862"/>
      <c r="CF90" s="862"/>
      <c r="CG90" s="862"/>
      <c r="CH90" s="862"/>
      <c r="CI90" s="862"/>
      <c r="CJ90" s="1081"/>
      <c r="CK90" s="862"/>
      <c r="CL90" s="862"/>
      <c r="CM90" s="862"/>
      <c r="CN90" s="73">
        <f t="shared" si="500"/>
        <v>0</v>
      </c>
    </row>
    <row r="91" spans="1:98" s="1839" customFormat="1" ht="24.75" customHeight="1" thickBot="1" x14ac:dyDescent="0.25">
      <c r="A91" s="1834">
        <v>5</v>
      </c>
      <c r="B91" s="1835" t="s">
        <v>4</v>
      </c>
      <c r="C91" s="1835"/>
      <c r="D91" s="183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7"/>
      <c r="R91" s="1837"/>
      <c r="S91" s="1048"/>
      <c r="T91" s="1049"/>
      <c r="U91" s="1050"/>
      <c r="V91" s="1050"/>
      <c r="W91" s="1050"/>
      <c r="X91" s="1050"/>
      <c r="Y91" s="1050"/>
      <c r="Z91" s="1050"/>
      <c r="AA91" s="1050"/>
      <c r="AB91" s="1050"/>
      <c r="AC91" s="1050"/>
      <c r="AD91" s="1050"/>
      <c r="AE91" s="1050"/>
      <c r="AF91" s="1051">
        <f t="shared" ref="AF91:BF91" si="521">SUM(AF73:AF90)</f>
        <v>86020360</v>
      </c>
      <c r="AG91" s="1051">
        <f t="shared" si="521"/>
        <v>29420000</v>
      </c>
      <c r="AH91" s="1051">
        <f t="shared" si="521"/>
        <v>9250000</v>
      </c>
      <c r="AI91" s="1051">
        <f t="shared" si="521"/>
        <v>12600000</v>
      </c>
      <c r="AJ91" s="1051">
        <f t="shared" si="521"/>
        <v>17652000</v>
      </c>
      <c r="AK91" s="1051">
        <f t="shared" si="521"/>
        <v>3940000</v>
      </c>
      <c r="AL91" s="1051">
        <f t="shared" si="521"/>
        <v>0</v>
      </c>
      <c r="AM91" s="1051">
        <f t="shared" si="521"/>
        <v>0</v>
      </c>
      <c r="AN91" s="1051">
        <f t="shared" si="521"/>
        <v>0</v>
      </c>
      <c r="AO91" s="1051">
        <f t="shared" si="521"/>
        <v>0</v>
      </c>
      <c r="AP91" s="1051">
        <f t="shared" si="521"/>
        <v>0</v>
      </c>
      <c r="AQ91" s="1051">
        <f t="shared" si="521"/>
        <v>0</v>
      </c>
      <c r="AR91" s="1051">
        <f t="shared" si="521"/>
        <v>0</v>
      </c>
      <c r="AS91" s="1051">
        <f>SUM(AS73:AS90)-3250000</f>
        <v>69612000</v>
      </c>
      <c r="AT91" s="1051">
        <f t="shared" si="521"/>
        <v>2342800.0000000005</v>
      </c>
      <c r="AU91" s="1051">
        <f t="shared" si="521"/>
        <v>1141000.0000000002</v>
      </c>
      <c r="AV91" s="1051">
        <f t="shared" si="521"/>
        <v>0</v>
      </c>
      <c r="AW91" s="1051">
        <f t="shared" si="521"/>
        <v>1547700.0000000002</v>
      </c>
      <c r="AX91" s="1051">
        <f t="shared" si="521"/>
        <v>495600.00000000006</v>
      </c>
      <c r="AY91" s="1051">
        <f t="shared" si="521"/>
        <v>0</v>
      </c>
      <c r="AZ91" s="1051">
        <f t="shared" si="521"/>
        <v>0</v>
      </c>
      <c r="BA91" s="1051">
        <f t="shared" si="521"/>
        <v>0</v>
      </c>
      <c r="BB91" s="1051">
        <f t="shared" si="521"/>
        <v>0</v>
      </c>
      <c r="BC91" s="1051">
        <f t="shared" si="521"/>
        <v>0</v>
      </c>
      <c r="BD91" s="1051">
        <f t="shared" si="521"/>
        <v>0</v>
      </c>
      <c r="BE91" s="1051">
        <f t="shared" si="521"/>
        <v>0</v>
      </c>
      <c r="BF91" s="1051">
        <f t="shared" si="521"/>
        <v>5527100.0000000009</v>
      </c>
      <c r="BG91" s="1052">
        <f>SUM(BG73:BG90)</f>
        <v>7631259.9999999991</v>
      </c>
      <c r="BH91" s="1051">
        <f>SUM(BH73:BH90)</f>
        <v>91338000</v>
      </c>
      <c r="BI91" s="1051">
        <f>SUM(BI73:BI90)</f>
        <v>12948900</v>
      </c>
      <c r="BJ91" s="1838">
        <v>1</v>
      </c>
      <c r="BK91" s="862"/>
      <c r="BL91" s="862"/>
      <c r="BM91" s="1102"/>
      <c r="BN91" s="1084"/>
      <c r="BO91" s="862"/>
      <c r="BP91" s="862"/>
      <c r="BQ91" s="862"/>
      <c r="BR91" s="862"/>
      <c r="BS91" s="862"/>
      <c r="BT91" s="862"/>
      <c r="BU91" s="862"/>
      <c r="BV91" s="862"/>
      <c r="BW91" s="862">
        <f t="shared" si="498"/>
        <v>0</v>
      </c>
      <c r="BX91" s="862"/>
      <c r="BY91" s="862"/>
      <c r="BZ91" s="862"/>
      <c r="CA91" s="73">
        <f t="shared" si="499"/>
        <v>0</v>
      </c>
      <c r="CB91" s="862"/>
      <c r="CC91" s="862"/>
      <c r="CD91" s="862"/>
      <c r="CE91" s="862"/>
      <c r="CF91" s="862"/>
      <c r="CG91" s="862"/>
      <c r="CH91" s="862"/>
      <c r="CI91" s="862"/>
      <c r="CJ91" s="862"/>
      <c r="CK91" s="862"/>
      <c r="CL91" s="862"/>
      <c r="CM91" s="862"/>
      <c r="CN91" s="73">
        <f t="shared" si="500"/>
        <v>0</v>
      </c>
    </row>
    <row r="92" spans="1:98" s="20" customFormat="1" ht="24.75" customHeight="1" x14ac:dyDescent="0.2">
      <c r="A92" s="50"/>
      <c r="B92" s="1274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236"/>
      <c r="T92" s="236"/>
      <c r="AE92" s="40"/>
      <c r="AS92" s="51"/>
      <c r="BF92" s="52">
        <f>SUM(AS91+BF91)</f>
        <v>75139100</v>
      </c>
      <c r="BG92" s="53">
        <f>AF91-AS91-BF91</f>
        <v>10881260</v>
      </c>
      <c r="BH92" s="54">
        <f>SUM(BI91+AS91+BF91)</f>
        <v>88088000</v>
      </c>
      <c r="BI92" s="55">
        <f>SUM(BG91)</f>
        <v>7631259.9999999991</v>
      </c>
      <c r="BJ92" s="40" t="s">
        <v>38</v>
      </c>
      <c r="BK92" s="171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</row>
    <row r="93" spans="1:98" s="20" customFormat="1" ht="24.75" customHeight="1" x14ac:dyDescent="0.2">
      <c r="A93" s="50"/>
      <c r="B93" s="1274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236"/>
      <c r="T93" s="236"/>
      <c r="AE93" s="40"/>
      <c r="AS93" s="40"/>
      <c r="AT93" s="123">
        <f>SUM(AG91+AT91)</f>
        <v>31762800</v>
      </c>
      <c r="AU93" s="123">
        <f t="shared" ref="AU93" si="522">SUM(AH91+AU91)</f>
        <v>10391000</v>
      </c>
      <c r="AV93" s="123">
        <f t="shared" ref="AV93" si="523">SUM(AI91+AV91)</f>
        <v>12600000</v>
      </c>
      <c r="AW93" s="123">
        <f t="shared" ref="AW93" si="524">SUM(AJ91+AW91)</f>
        <v>19199700</v>
      </c>
      <c r="AX93" s="972">
        <f t="shared" ref="AX93" si="525">SUM(AK91+AX91)</f>
        <v>4435600</v>
      </c>
      <c r="AY93" s="123">
        <f t="shared" ref="AY93" si="526">SUM(AL91+AY91)</f>
        <v>0</v>
      </c>
      <c r="AZ93" s="123">
        <f t="shared" ref="AZ93" si="527">SUM(AM91+AZ91)</f>
        <v>0</v>
      </c>
      <c r="BA93" s="123">
        <f t="shared" ref="BA93" si="528">SUM(AN91+BA91)</f>
        <v>0</v>
      </c>
      <c r="BB93" s="123">
        <f t="shared" ref="BB93" si="529">SUM(AO91+BB91)</f>
        <v>0</v>
      </c>
      <c r="BC93" s="123">
        <f t="shared" ref="BC93" si="530">SUM(AP91+BC91)</f>
        <v>0</v>
      </c>
      <c r="BD93" s="123">
        <f t="shared" ref="BD93" si="531">SUM(AQ91+BD91)</f>
        <v>0</v>
      </c>
      <c r="BE93" s="123">
        <f t="shared" ref="BE93" si="532">SUM(AR91+BE91)</f>
        <v>0</v>
      </c>
      <c r="BF93" s="123">
        <f>SUM(AT93:BE93)</f>
        <v>78389100</v>
      </c>
      <c r="BG93" s="40"/>
      <c r="BH93" s="56"/>
      <c r="BI93" s="57">
        <f>SUM(BI91-BI92)</f>
        <v>5317640.0000000009</v>
      </c>
      <c r="BJ93" s="40" t="s">
        <v>37</v>
      </c>
      <c r="BK93" s="171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</row>
    <row r="94" spans="1:98" s="781" customFormat="1" ht="24.75" customHeight="1" x14ac:dyDescent="0.2">
      <c r="A94" s="1785" t="s">
        <v>8</v>
      </c>
      <c r="B94" s="1786"/>
      <c r="C94" s="770" t="s">
        <v>633</v>
      </c>
      <c r="D94" s="771"/>
      <c r="E94" s="771"/>
      <c r="F94" s="771"/>
      <c r="G94" s="771"/>
      <c r="H94" s="771"/>
      <c r="I94" s="771"/>
      <c r="J94" s="771"/>
      <c r="K94" s="771"/>
      <c r="L94" s="771"/>
      <c r="M94" s="771"/>
      <c r="N94" s="771"/>
      <c r="O94" s="771"/>
      <c r="P94" s="771"/>
      <c r="Q94" s="771"/>
      <c r="R94" s="771"/>
      <c r="S94" s="772"/>
      <c r="T94" s="773"/>
      <c r="U94" s="774"/>
      <c r="V94" s="774"/>
      <c r="W94" s="774"/>
      <c r="X94" s="774"/>
      <c r="Y94" s="774"/>
      <c r="Z94" s="774"/>
      <c r="AA94" s="774"/>
      <c r="AB94" s="774"/>
      <c r="AC94" s="774"/>
      <c r="AD94" s="774"/>
      <c r="AE94" s="775"/>
      <c r="AF94" s="771"/>
      <c r="AG94" s="774"/>
      <c r="AH94" s="774"/>
      <c r="AI94" s="774"/>
      <c r="AJ94" s="774"/>
      <c r="AK94" s="774"/>
      <c r="AL94" s="774"/>
      <c r="AM94" s="774"/>
      <c r="AN94" s="774"/>
      <c r="AO94" s="774"/>
      <c r="AP94" s="774"/>
      <c r="AQ94" s="774"/>
      <c r="AR94" s="774"/>
      <c r="AS94" s="776"/>
      <c r="AT94" s="774"/>
      <c r="AU94" s="774"/>
      <c r="AV94" s="774"/>
      <c r="AW94" s="774"/>
      <c r="AX94" s="774"/>
      <c r="AY94" s="774"/>
      <c r="AZ94" s="774"/>
      <c r="BA94" s="774"/>
      <c r="BB94" s="774"/>
      <c r="BC94" s="774"/>
      <c r="BD94" s="774"/>
      <c r="BE94" s="774"/>
      <c r="BF94" s="776"/>
      <c r="BG94" s="776"/>
      <c r="BH94" s="769"/>
      <c r="BI94" s="777"/>
      <c r="BJ94" s="771"/>
      <c r="BK94" s="778"/>
      <c r="BL94" s="1565"/>
      <c r="BM94" s="774"/>
      <c r="BN94" s="774"/>
      <c r="BO94" s="774"/>
      <c r="BP94" s="775"/>
      <c r="BQ94" s="774"/>
      <c r="BR94" s="774"/>
      <c r="BS94" s="774"/>
      <c r="BT94" s="774"/>
      <c r="BU94" s="774"/>
      <c r="BV94" s="776"/>
      <c r="BW94" s="776"/>
      <c r="BX94" s="776"/>
      <c r="BY94" s="769"/>
      <c r="BZ94" s="777"/>
      <c r="CA94" s="776"/>
      <c r="CB94" s="776"/>
      <c r="CC94" s="779"/>
      <c r="CD94" s="779"/>
      <c r="CE94" s="779"/>
      <c r="CF94" s="779"/>
      <c r="CG94" s="779"/>
      <c r="CH94" s="780"/>
      <c r="CI94" s="779"/>
      <c r="CJ94" s="779"/>
      <c r="CK94" s="779"/>
      <c r="CL94" s="779"/>
      <c r="CM94" s="779"/>
      <c r="CN94" s="779"/>
      <c r="CO94" s="779"/>
      <c r="CP94" s="779"/>
      <c r="CQ94" s="779"/>
      <c r="CR94" s="779"/>
      <c r="CS94" s="779"/>
      <c r="CT94" s="779"/>
    </row>
    <row r="95" spans="1:98" s="8" customFormat="1" ht="48.75" customHeight="1" x14ac:dyDescent="0.2">
      <c r="A95" s="1703" t="s">
        <v>10</v>
      </c>
      <c r="B95" s="1787" t="s">
        <v>11</v>
      </c>
      <c r="C95" s="1706" t="s">
        <v>22</v>
      </c>
      <c r="D95" s="1721" t="s">
        <v>12</v>
      </c>
      <c r="E95" s="1721"/>
      <c r="F95" s="1721"/>
      <c r="G95" s="1721"/>
      <c r="H95" s="1721"/>
      <c r="I95" s="1721"/>
      <c r="J95" s="1721"/>
      <c r="K95" s="1721"/>
      <c r="L95" s="1721"/>
      <c r="M95" s="1721"/>
      <c r="N95" s="1721"/>
      <c r="O95" s="1721"/>
      <c r="P95" s="1721"/>
      <c r="Q95" s="1721"/>
      <c r="R95" s="1706" t="s">
        <v>20</v>
      </c>
      <c r="S95" s="1717" t="s">
        <v>17</v>
      </c>
      <c r="T95" s="1718"/>
      <c r="U95" s="1718"/>
      <c r="V95" s="1718"/>
      <c r="W95" s="1718"/>
      <c r="X95" s="1718"/>
      <c r="Y95" s="1718"/>
      <c r="Z95" s="1718"/>
      <c r="AA95" s="1718"/>
      <c r="AB95" s="1718"/>
      <c r="AC95" s="1718"/>
      <c r="AD95" s="1718"/>
      <c r="AE95" s="1719"/>
      <c r="AF95" s="1720" t="s">
        <v>6</v>
      </c>
      <c r="AG95" s="1720"/>
      <c r="AH95" s="1720"/>
      <c r="AI95" s="1720"/>
      <c r="AJ95" s="1720"/>
      <c r="AK95" s="1720"/>
      <c r="AL95" s="1720"/>
      <c r="AM95" s="1720"/>
      <c r="AN95" s="1720"/>
      <c r="AO95" s="1720"/>
      <c r="AP95" s="1720"/>
      <c r="AQ95" s="1720"/>
      <c r="AR95" s="1720"/>
      <c r="AS95" s="1720"/>
      <c r="AT95" s="1722" t="s">
        <v>41</v>
      </c>
      <c r="AU95" s="1723"/>
      <c r="AV95" s="1723"/>
      <c r="AW95" s="1723"/>
      <c r="AX95" s="1723"/>
      <c r="AY95" s="1723"/>
      <c r="AZ95" s="1723"/>
      <c r="BA95" s="1723"/>
      <c r="BB95" s="1723"/>
      <c r="BC95" s="1723"/>
      <c r="BD95" s="1723"/>
      <c r="BE95" s="1723"/>
      <c r="BF95" s="1724"/>
      <c r="BG95" s="1706" t="s">
        <v>38</v>
      </c>
      <c r="BH95" s="1706" t="s">
        <v>256</v>
      </c>
      <c r="BI95" s="1709" t="s">
        <v>39</v>
      </c>
      <c r="BJ95" s="135"/>
      <c r="BK95" s="135"/>
      <c r="BL95" s="135"/>
      <c r="BM95" s="135"/>
      <c r="BN95" s="135"/>
      <c r="BO95" s="1733" t="s">
        <v>41</v>
      </c>
      <c r="BP95" s="1734"/>
      <c r="BQ95" s="1734"/>
      <c r="BR95" s="1734"/>
      <c r="BS95" s="1734"/>
      <c r="BT95" s="1734"/>
      <c r="BU95" s="1734"/>
      <c r="BV95" s="1734"/>
      <c r="BW95" s="1734"/>
      <c r="BX95" s="1734"/>
      <c r="BY95" s="1734"/>
      <c r="BZ95" s="1734"/>
      <c r="CA95" s="1734"/>
      <c r="CB95" s="1734"/>
      <c r="CC95" s="1734"/>
      <c r="CD95" s="1734"/>
      <c r="CE95" s="1734"/>
      <c r="CF95" s="1734"/>
      <c r="CG95" s="1734"/>
      <c r="CH95" s="1734"/>
      <c r="CI95" s="1734"/>
      <c r="CJ95" s="1734"/>
      <c r="CK95" s="1734"/>
      <c r="CL95" s="1734"/>
      <c r="CM95" s="1734"/>
      <c r="CN95" s="1735"/>
    </row>
    <row r="96" spans="1:98" s="8" customFormat="1" ht="48.75" customHeight="1" x14ac:dyDescent="0.2">
      <c r="A96" s="1704"/>
      <c r="B96" s="1788"/>
      <c r="C96" s="1707"/>
      <c r="D96" s="1712" t="s">
        <v>18</v>
      </c>
      <c r="E96" s="1714">
        <v>2</v>
      </c>
      <c r="F96" s="1715"/>
      <c r="G96" s="1715"/>
      <c r="H96" s="1715"/>
      <c r="I96" s="1715"/>
      <c r="J96" s="1715"/>
      <c r="K96" s="1715"/>
      <c r="L96" s="1715"/>
      <c r="M96" s="1715"/>
      <c r="N96" s="1715"/>
      <c r="O96" s="1715"/>
      <c r="P96" s="1715"/>
      <c r="Q96" s="1715"/>
      <c r="R96" s="1707"/>
      <c r="S96" s="1728" t="s">
        <v>18</v>
      </c>
      <c r="T96" s="1714" t="s">
        <v>19</v>
      </c>
      <c r="U96" s="1715"/>
      <c r="V96" s="1715"/>
      <c r="W96" s="1715"/>
      <c r="X96" s="1715"/>
      <c r="Y96" s="1715"/>
      <c r="Z96" s="1715"/>
      <c r="AA96" s="1715"/>
      <c r="AB96" s="1715"/>
      <c r="AC96" s="1715"/>
      <c r="AD96" s="1715"/>
      <c r="AE96" s="1716"/>
      <c r="AF96" s="1712" t="s">
        <v>18</v>
      </c>
      <c r="AG96" s="1714" t="s">
        <v>19</v>
      </c>
      <c r="AH96" s="1715"/>
      <c r="AI96" s="1715"/>
      <c r="AJ96" s="1715"/>
      <c r="AK96" s="1715"/>
      <c r="AL96" s="1715"/>
      <c r="AM96" s="1715"/>
      <c r="AN96" s="1715"/>
      <c r="AO96" s="1715"/>
      <c r="AP96" s="1715"/>
      <c r="AQ96" s="1715"/>
      <c r="AR96" s="1715"/>
      <c r="AS96" s="1716"/>
      <c r="AT96" s="1725"/>
      <c r="AU96" s="1726"/>
      <c r="AV96" s="1726"/>
      <c r="AW96" s="1726"/>
      <c r="AX96" s="1726"/>
      <c r="AY96" s="1726"/>
      <c r="AZ96" s="1726"/>
      <c r="BA96" s="1726"/>
      <c r="BB96" s="1726"/>
      <c r="BC96" s="1726"/>
      <c r="BD96" s="1726"/>
      <c r="BE96" s="1726"/>
      <c r="BF96" s="1727"/>
      <c r="BG96" s="1707"/>
      <c r="BH96" s="1707"/>
      <c r="BI96" s="1710"/>
      <c r="BJ96" s="1284"/>
      <c r="BK96" s="1736">
        <f>SUM(BK98/60)</f>
        <v>15106.666666666666</v>
      </c>
      <c r="BL96" s="1736"/>
      <c r="BM96" s="1736"/>
      <c r="BN96" s="23"/>
      <c r="BO96" s="1737" t="s">
        <v>686</v>
      </c>
      <c r="BP96" s="1738"/>
      <c r="BQ96" s="1738"/>
      <c r="BR96" s="1738"/>
      <c r="BS96" s="1738"/>
      <c r="BT96" s="1738"/>
      <c r="BU96" s="1738"/>
      <c r="BV96" s="1738"/>
      <c r="BW96" s="1738"/>
      <c r="BX96" s="1738"/>
      <c r="BY96" s="1738"/>
      <c r="BZ96" s="1738"/>
      <c r="CA96" s="1739"/>
      <c r="CB96" s="1740" t="s">
        <v>687</v>
      </c>
      <c r="CC96" s="1741"/>
      <c r="CD96" s="1741"/>
      <c r="CE96" s="1741"/>
      <c r="CF96" s="1741"/>
      <c r="CG96" s="1741"/>
      <c r="CH96" s="1741"/>
      <c r="CI96" s="1741"/>
      <c r="CJ96" s="1741"/>
      <c r="CK96" s="1741"/>
      <c r="CL96" s="1741"/>
      <c r="CM96" s="1741"/>
      <c r="CN96" s="1742"/>
    </row>
    <row r="97" spans="1:98" s="6" customFormat="1" ht="28.5" customHeight="1" x14ac:dyDescent="0.2">
      <c r="A97" s="1704"/>
      <c r="B97" s="1788"/>
      <c r="C97" s="1707"/>
      <c r="D97" s="1784"/>
      <c r="E97" s="26">
        <v>1</v>
      </c>
      <c r="F97" s="26">
        <v>2</v>
      </c>
      <c r="G97" s="26">
        <v>3</v>
      </c>
      <c r="H97" s="26">
        <v>4</v>
      </c>
      <c r="I97" s="26">
        <v>5</v>
      </c>
      <c r="J97" s="26">
        <v>6</v>
      </c>
      <c r="K97" s="26">
        <v>7</v>
      </c>
      <c r="L97" s="26">
        <v>8</v>
      </c>
      <c r="M97" s="26">
        <v>9</v>
      </c>
      <c r="N97" s="26">
        <v>10</v>
      </c>
      <c r="O97" s="26">
        <v>11</v>
      </c>
      <c r="P97" s="26">
        <v>12</v>
      </c>
      <c r="Q97" s="26" t="s">
        <v>21</v>
      </c>
      <c r="R97" s="1707"/>
      <c r="S97" s="1732"/>
      <c r="T97" s="26">
        <v>1</v>
      </c>
      <c r="U97" s="26">
        <v>2</v>
      </c>
      <c r="V97" s="26">
        <v>3</v>
      </c>
      <c r="W97" s="26">
        <v>4</v>
      </c>
      <c r="X97" s="26">
        <v>5</v>
      </c>
      <c r="Y97" s="26">
        <v>6</v>
      </c>
      <c r="Z97" s="26">
        <v>7</v>
      </c>
      <c r="AA97" s="26">
        <v>8</v>
      </c>
      <c r="AB97" s="26">
        <v>9</v>
      </c>
      <c r="AC97" s="26">
        <v>10</v>
      </c>
      <c r="AD97" s="26">
        <v>11</v>
      </c>
      <c r="AE97" s="26">
        <v>12</v>
      </c>
      <c r="AF97" s="1784"/>
      <c r="AG97" s="26">
        <v>1</v>
      </c>
      <c r="AH97" s="26">
        <v>2</v>
      </c>
      <c r="AI97" s="26">
        <v>3</v>
      </c>
      <c r="AJ97" s="26">
        <v>4</v>
      </c>
      <c r="AK97" s="26">
        <v>5</v>
      </c>
      <c r="AL97" s="26">
        <v>6</v>
      </c>
      <c r="AM97" s="26">
        <v>7</v>
      </c>
      <c r="AN97" s="26">
        <v>8</v>
      </c>
      <c r="AO97" s="26">
        <v>9</v>
      </c>
      <c r="AP97" s="26">
        <v>10</v>
      </c>
      <c r="AQ97" s="26">
        <v>11</v>
      </c>
      <c r="AR97" s="26">
        <v>12</v>
      </c>
      <c r="AS97" s="26" t="s">
        <v>13</v>
      </c>
      <c r="AT97" s="173">
        <v>1</v>
      </c>
      <c r="AU97" s="173">
        <v>2</v>
      </c>
      <c r="AV97" s="173">
        <v>3</v>
      </c>
      <c r="AW97" s="173">
        <v>4</v>
      </c>
      <c r="AX97" s="173">
        <v>5</v>
      </c>
      <c r="AY97" s="173">
        <v>6</v>
      </c>
      <c r="AZ97" s="173">
        <v>7</v>
      </c>
      <c r="BA97" s="173">
        <v>8</v>
      </c>
      <c r="BB97" s="173">
        <v>9</v>
      </c>
      <c r="BC97" s="173">
        <v>10</v>
      </c>
      <c r="BD97" s="173">
        <v>11</v>
      </c>
      <c r="BE97" s="173">
        <v>12</v>
      </c>
      <c r="BF97" s="26" t="s">
        <v>13</v>
      </c>
      <c r="BG97" s="1707"/>
      <c r="BH97" s="1707"/>
      <c r="BI97" s="1711"/>
      <c r="BJ97" s="7"/>
      <c r="BK97" s="1743" t="s">
        <v>19</v>
      </c>
      <c r="BL97" s="1744"/>
      <c r="BM97" s="1745"/>
      <c r="BN97" s="621"/>
      <c r="BO97" s="173">
        <v>1</v>
      </c>
      <c r="BP97" s="173">
        <v>2</v>
      </c>
      <c r="BQ97" s="173">
        <v>3</v>
      </c>
      <c r="BR97" s="173">
        <v>4</v>
      </c>
      <c r="BS97" s="173">
        <v>5</v>
      </c>
      <c r="BT97" s="173">
        <v>6</v>
      </c>
      <c r="BU97" s="173">
        <v>7</v>
      </c>
      <c r="BV97" s="173">
        <v>8</v>
      </c>
      <c r="BW97" s="173">
        <v>9</v>
      </c>
      <c r="BX97" s="173">
        <v>10</v>
      </c>
      <c r="BY97" s="173">
        <v>11</v>
      </c>
      <c r="BZ97" s="173">
        <v>12</v>
      </c>
      <c r="CA97" s="26" t="s">
        <v>13</v>
      </c>
      <c r="CB97" s="173">
        <v>1</v>
      </c>
      <c r="CC97" s="173">
        <v>2</v>
      </c>
      <c r="CD97" s="173">
        <v>3</v>
      </c>
      <c r="CE97" s="173">
        <v>4</v>
      </c>
      <c r="CF97" s="173">
        <v>5</v>
      </c>
      <c r="CG97" s="173">
        <v>6</v>
      </c>
      <c r="CH97" s="173">
        <v>7</v>
      </c>
      <c r="CI97" s="173">
        <v>8</v>
      </c>
      <c r="CJ97" s="173">
        <v>9</v>
      </c>
      <c r="CK97" s="173">
        <v>10</v>
      </c>
      <c r="CL97" s="173">
        <v>11</v>
      </c>
      <c r="CM97" s="173">
        <v>12</v>
      </c>
      <c r="CN97" s="26" t="s">
        <v>13</v>
      </c>
    </row>
    <row r="98" spans="1:98" s="37" customFormat="1" ht="20.25" customHeight="1" x14ac:dyDescent="0.2">
      <c r="A98" s="28"/>
      <c r="B98" s="1391" t="s">
        <v>89</v>
      </c>
      <c r="C98" s="29" t="s">
        <v>24</v>
      </c>
      <c r="D98" s="978">
        <v>100</v>
      </c>
      <c r="E98" s="695"/>
      <c r="F98" s="1568">
        <v>100</v>
      </c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>SUM(E98:P98)</f>
        <v>100</v>
      </c>
      <c r="R98" s="759" t="s">
        <v>31</v>
      </c>
      <c r="S98" s="761">
        <v>10300</v>
      </c>
      <c r="T98" s="763"/>
      <c r="U98" s="763">
        <v>10300</v>
      </c>
      <c r="V98" s="692"/>
      <c r="W98" s="692"/>
      <c r="X98" s="692"/>
      <c r="Y98" s="692"/>
      <c r="Z98" s="692"/>
      <c r="AA98" s="692"/>
      <c r="AB98" s="692"/>
      <c r="AC98" s="692"/>
      <c r="AD98" s="692"/>
      <c r="AE98" s="692"/>
      <c r="AF98" s="629">
        <f t="shared" ref="AF98:AF99" si="533">SUM(Q98*S98)</f>
        <v>1030000</v>
      </c>
      <c r="AG98" s="70">
        <f t="shared" ref="AG98:AG99" si="534">T98*E98</f>
        <v>0</v>
      </c>
      <c r="AH98" s="1106">
        <f>U98*F98</f>
        <v>1030000</v>
      </c>
      <c r="AI98" s="70">
        <f t="shared" ref="AI98:AI99" si="535">V98*G98</f>
        <v>0</v>
      </c>
      <c r="AJ98" s="70">
        <f t="shared" ref="AJ98:AJ99" si="536">W98*H98</f>
        <v>0</v>
      </c>
      <c r="AK98" s="70">
        <f t="shared" ref="AK98:AK99" si="537">X98*I98</f>
        <v>0</v>
      </c>
      <c r="AL98" s="70">
        <f t="shared" ref="AL98:AL99" si="538">Y98*J98</f>
        <v>0</v>
      </c>
      <c r="AM98" s="70">
        <f t="shared" ref="AM98:AM99" si="539">Z98*K98</f>
        <v>0</v>
      </c>
      <c r="AN98" s="70">
        <f t="shared" ref="AN98:AN99" si="540">AA98*L98</f>
        <v>0</v>
      </c>
      <c r="AO98" s="70">
        <f t="shared" ref="AO98:AO99" si="541">AB98*M98</f>
        <v>0</v>
      </c>
      <c r="AP98" s="70">
        <f t="shared" ref="AP98:AP99" si="542">AC98*N98</f>
        <v>0</v>
      </c>
      <c r="AQ98" s="70">
        <f t="shared" ref="AQ98:AQ99" si="543">AD98*O98</f>
        <v>0</v>
      </c>
      <c r="AR98" s="70">
        <f t="shared" ref="AR98:AR99" si="544">AE98*P98</f>
        <v>0</v>
      </c>
      <c r="AS98" s="71">
        <f t="shared" ref="AS98:AS99" si="545">SUM(AG98:AR98)</f>
        <v>1030000</v>
      </c>
      <c r="AT98" s="70">
        <f t="shared" ref="AT98:AT105" si="546">SUM(AG98*14%)</f>
        <v>0</v>
      </c>
      <c r="AU98" s="70">
        <f>SUM(AH98*12%)</f>
        <v>123600</v>
      </c>
      <c r="AV98" s="70">
        <f t="shared" ref="AV98:AV106" si="547">SUM(AI98*14%)</f>
        <v>0</v>
      </c>
      <c r="AW98" s="70">
        <f t="shared" ref="AW98:AW106" si="548">SUM(AJ98*14%)</f>
        <v>0</v>
      </c>
      <c r="AX98" s="70">
        <f t="shared" ref="AX98:AX106" si="549">SUM(AK98*14%)</f>
        <v>0</v>
      </c>
      <c r="AY98" s="70">
        <f t="shared" ref="AY98:AY106" si="550">SUM(AL98*14%)</f>
        <v>0</v>
      </c>
      <c r="AZ98" s="70">
        <f t="shared" ref="AZ98:AZ106" si="551">SUM(AM98*14%)</f>
        <v>0</v>
      </c>
      <c r="BA98" s="70">
        <f t="shared" ref="BA98:BA106" si="552">SUM(AN98*14%)</f>
        <v>0</v>
      </c>
      <c r="BB98" s="70">
        <f t="shared" ref="BB98:BB106" si="553">SUM(AO98*14%)</f>
        <v>0</v>
      </c>
      <c r="BC98" s="70">
        <f t="shared" ref="BC98:BC106" si="554">SUM(AP98*14%)</f>
        <v>0</v>
      </c>
      <c r="BD98" s="70">
        <f t="shared" ref="BD98:BD106" si="555">SUM(AQ98*14%)</f>
        <v>0</v>
      </c>
      <c r="BE98" s="70">
        <f t="shared" ref="BE98:BE106" si="556">SUM(AR98*14%)</f>
        <v>0</v>
      </c>
      <c r="BF98" s="71">
        <f>SUM(AT98:BE98)</f>
        <v>123600</v>
      </c>
      <c r="BG98" s="698">
        <f>AF98-AS98</f>
        <v>0</v>
      </c>
      <c r="BH98" s="687">
        <f>S98*D98</f>
        <v>1030000</v>
      </c>
      <c r="BI98" s="688">
        <f>BH98-AS98</f>
        <v>0</v>
      </c>
      <c r="BJ98" s="630">
        <f>SUM(Q98/D98)</f>
        <v>1</v>
      </c>
      <c r="BK98" s="1081">
        <f>AH98-AU98</f>
        <v>906400</v>
      </c>
      <c r="BL98" s="1081">
        <f>100*9000</f>
        <v>900000</v>
      </c>
      <c r="BM98" s="1083">
        <f>BK98-BL98</f>
        <v>6400</v>
      </c>
      <c r="BN98" s="1084"/>
      <c r="BO98" s="862"/>
      <c r="BP98" s="862"/>
      <c r="BQ98" s="862"/>
      <c r="BR98" s="862"/>
      <c r="BS98" s="862"/>
      <c r="BT98" s="862"/>
      <c r="BU98" s="862"/>
      <c r="BV98" s="862"/>
      <c r="BW98" s="1081">
        <f t="shared" ref="BW98:BW99" si="557">SUM(AN98*12.5%)</f>
        <v>0</v>
      </c>
      <c r="BX98" s="862"/>
      <c r="BY98" s="862"/>
      <c r="BZ98" s="862"/>
      <c r="CA98" s="73">
        <f t="shared" ref="CA98" si="558">SUM(BO98:BZ98)</f>
        <v>0</v>
      </c>
      <c r="CB98" s="862"/>
      <c r="CC98" s="862"/>
      <c r="CD98" s="862"/>
      <c r="CE98" s="862"/>
      <c r="CF98" s="862"/>
      <c r="CG98" s="862"/>
      <c r="CH98" s="862"/>
      <c r="CI98" s="862"/>
      <c r="CJ98" s="1081"/>
      <c r="CK98" s="862"/>
      <c r="CL98" s="862"/>
      <c r="CM98" s="862"/>
      <c r="CN98" s="73">
        <f t="shared" ref="CN98:CN99" si="559">SUM(CB98:CM98)</f>
        <v>0</v>
      </c>
    </row>
    <row r="99" spans="1:98" s="37" customFormat="1" ht="20.25" customHeight="1" x14ac:dyDescent="0.2">
      <c r="A99" s="28"/>
      <c r="B99" s="1392" t="s">
        <v>90</v>
      </c>
      <c r="C99" s="29" t="s">
        <v>24</v>
      </c>
      <c r="D99" s="978">
        <v>100</v>
      </c>
      <c r="E99" s="695"/>
      <c r="F99" s="1568">
        <v>100</v>
      </c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>SUM(E99:P99)</f>
        <v>100</v>
      </c>
      <c r="R99" s="759" t="s">
        <v>31</v>
      </c>
      <c r="S99" s="761">
        <v>28500</v>
      </c>
      <c r="T99" s="763"/>
      <c r="U99" s="763">
        <v>28000</v>
      </c>
      <c r="V99" s="692"/>
      <c r="W99" s="692"/>
      <c r="X99" s="692"/>
      <c r="Y99" s="692"/>
      <c r="Z99" s="692"/>
      <c r="AA99" s="692"/>
      <c r="AB99" s="692"/>
      <c r="AC99" s="692"/>
      <c r="AD99" s="692"/>
      <c r="AE99" s="692"/>
      <c r="AF99" s="629">
        <f t="shared" si="533"/>
        <v>2850000</v>
      </c>
      <c r="AG99" s="70">
        <f t="shared" si="534"/>
        <v>0</v>
      </c>
      <c r="AH99" s="1106">
        <f t="shared" ref="AH99" si="560">U99*F99</f>
        <v>2800000</v>
      </c>
      <c r="AI99" s="70">
        <f t="shared" si="535"/>
        <v>0</v>
      </c>
      <c r="AJ99" s="70">
        <f t="shared" si="536"/>
        <v>0</v>
      </c>
      <c r="AK99" s="70">
        <f t="shared" si="537"/>
        <v>0</v>
      </c>
      <c r="AL99" s="70">
        <f t="shared" si="538"/>
        <v>0</v>
      </c>
      <c r="AM99" s="70">
        <f t="shared" si="539"/>
        <v>0</v>
      </c>
      <c r="AN99" s="70">
        <f t="shared" si="540"/>
        <v>0</v>
      </c>
      <c r="AO99" s="70">
        <f t="shared" si="541"/>
        <v>0</v>
      </c>
      <c r="AP99" s="70">
        <f t="shared" si="542"/>
        <v>0</v>
      </c>
      <c r="AQ99" s="70">
        <f t="shared" si="543"/>
        <v>0</v>
      </c>
      <c r="AR99" s="70">
        <f t="shared" si="544"/>
        <v>0</v>
      </c>
      <c r="AS99" s="71">
        <f t="shared" si="545"/>
        <v>2800000</v>
      </c>
      <c r="AT99" s="70">
        <f t="shared" si="546"/>
        <v>0</v>
      </c>
      <c r="AU99" s="70">
        <f>SUM(AH99*12%)</f>
        <v>336000</v>
      </c>
      <c r="AV99" s="70">
        <f t="shared" si="547"/>
        <v>0</v>
      </c>
      <c r="AW99" s="70">
        <f t="shared" si="548"/>
        <v>0</v>
      </c>
      <c r="AX99" s="70">
        <f t="shared" si="549"/>
        <v>0</v>
      </c>
      <c r="AY99" s="70">
        <f t="shared" si="550"/>
        <v>0</v>
      </c>
      <c r="AZ99" s="70">
        <f t="shared" si="551"/>
        <v>0</v>
      </c>
      <c r="BA99" s="70">
        <f t="shared" si="552"/>
        <v>0</v>
      </c>
      <c r="BB99" s="70">
        <f t="shared" si="553"/>
        <v>0</v>
      </c>
      <c r="BC99" s="70">
        <f t="shared" si="554"/>
        <v>0</v>
      </c>
      <c r="BD99" s="70">
        <f t="shared" si="555"/>
        <v>0</v>
      </c>
      <c r="BE99" s="70">
        <f t="shared" si="556"/>
        <v>0</v>
      </c>
      <c r="BF99" s="71">
        <f>SUM(AT99:BE99)</f>
        <v>336000</v>
      </c>
      <c r="BG99" s="698">
        <f>AF99-AS99</f>
        <v>50000</v>
      </c>
      <c r="BH99" s="687">
        <f>S99*D99</f>
        <v>2850000</v>
      </c>
      <c r="BI99" s="688">
        <f t="shared" ref="BI99:BI105" si="561">BH99-AS99</f>
        <v>50000</v>
      </c>
      <c r="BJ99" s="630">
        <f>SUM(Q99/D99)</f>
        <v>1</v>
      </c>
      <c r="BK99" s="1081">
        <f t="shared" ref="BK99:BK104" si="562">AH99-AU99</f>
        <v>2464000</v>
      </c>
      <c r="BL99" s="1081">
        <f>100*24500</f>
        <v>2450000</v>
      </c>
      <c r="BM99" s="1083">
        <f t="shared" ref="BM99:BM102" si="563">BK99-BL99</f>
        <v>14000</v>
      </c>
      <c r="BN99" s="1084"/>
      <c r="BO99" s="862"/>
      <c r="BP99" s="862"/>
      <c r="BQ99" s="862"/>
      <c r="BR99" s="862"/>
      <c r="BS99" s="862"/>
      <c r="BT99" s="862"/>
      <c r="BU99" s="862"/>
      <c r="BV99" s="862"/>
      <c r="BW99" s="1081">
        <f t="shared" si="557"/>
        <v>0</v>
      </c>
      <c r="BX99" s="862"/>
      <c r="BY99" s="862"/>
      <c r="BZ99" s="862"/>
      <c r="CA99" s="73">
        <f t="shared" ref="CA99" si="564">SUM(BO99:BZ99)</f>
        <v>0</v>
      </c>
      <c r="CB99" s="862"/>
      <c r="CC99" s="862"/>
      <c r="CD99" s="862"/>
      <c r="CE99" s="862"/>
      <c r="CF99" s="862"/>
      <c r="CG99" s="862"/>
      <c r="CH99" s="862"/>
      <c r="CI99" s="862"/>
      <c r="CJ99" s="1081"/>
      <c r="CK99" s="862"/>
      <c r="CL99" s="862"/>
      <c r="CM99" s="862"/>
      <c r="CN99" s="73">
        <f t="shared" si="559"/>
        <v>0</v>
      </c>
    </row>
    <row r="100" spans="1:98" s="37" customFormat="1" ht="20.25" customHeight="1" x14ac:dyDescent="0.2">
      <c r="A100" s="28"/>
      <c r="B100" s="1392" t="s">
        <v>498</v>
      </c>
      <c r="C100" s="29" t="s">
        <v>24</v>
      </c>
      <c r="D100" s="978">
        <v>24</v>
      </c>
      <c r="E100" s="695"/>
      <c r="F100" s="1568">
        <v>5</v>
      </c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1">
        <f t="shared" ref="Q100:Q102" si="565">SUM(E100:P100)</f>
        <v>5</v>
      </c>
      <c r="R100" s="760" t="s">
        <v>0</v>
      </c>
      <c r="S100" s="765">
        <v>18000</v>
      </c>
      <c r="T100" s="763"/>
      <c r="U100" s="763">
        <v>17000</v>
      </c>
      <c r="V100" s="692"/>
      <c r="W100" s="692"/>
      <c r="X100" s="692"/>
      <c r="Y100" s="692"/>
      <c r="Z100" s="692"/>
      <c r="AA100" s="692"/>
      <c r="AB100" s="692"/>
      <c r="AC100" s="692"/>
      <c r="AD100" s="692"/>
      <c r="AE100" s="692"/>
      <c r="AF100" s="629">
        <f t="shared" ref="AF100:AF102" si="566">SUM(Q100*S100)</f>
        <v>90000</v>
      </c>
      <c r="AG100" s="70">
        <f t="shared" ref="AG100:AG102" si="567">T100*E100</f>
        <v>0</v>
      </c>
      <c r="AH100" s="1106">
        <f t="shared" ref="AH100:AH102" si="568">U100*F100</f>
        <v>85000</v>
      </c>
      <c r="AI100" s="70">
        <f t="shared" ref="AI100:AI102" si="569">V100*G100</f>
        <v>0</v>
      </c>
      <c r="AJ100" s="70">
        <f t="shared" ref="AJ100:AJ102" si="570">W100*H100</f>
        <v>0</v>
      </c>
      <c r="AK100" s="70">
        <f t="shared" ref="AK100:AK102" si="571">X100*I100</f>
        <v>0</v>
      </c>
      <c r="AL100" s="70">
        <f t="shared" ref="AL100:AL102" si="572">Y100*J100</f>
        <v>0</v>
      </c>
      <c r="AM100" s="70">
        <f t="shared" ref="AM100:AM102" si="573">Z100*K100</f>
        <v>0</v>
      </c>
      <c r="AN100" s="70">
        <f t="shared" ref="AN100:AN102" si="574">AA100*L100</f>
        <v>0</v>
      </c>
      <c r="AO100" s="70">
        <f t="shared" ref="AO100:AO102" si="575">AB100*M100</f>
        <v>0</v>
      </c>
      <c r="AP100" s="70">
        <f t="shared" ref="AP100:AP102" si="576">AC100*N100</f>
        <v>0</v>
      </c>
      <c r="AQ100" s="70">
        <f t="shared" ref="AQ100:AQ102" si="577">AD100*O100</f>
        <v>0</v>
      </c>
      <c r="AR100" s="70">
        <f t="shared" ref="AR100:AR102" si="578">AE100*P100</f>
        <v>0</v>
      </c>
      <c r="AS100" s="71">
        <f t="shared" ref="AS100:AS102" si="579">SUM(AG100:AR100)</f>
        <v>85000</v>
      </c>
      <c r="AT100" s="70">
        <f t="shared" si="546"/>
        <v>0</v>
      </c>
      <c r="AU100" s="70"/>
      <c r="AV100" s="70">
        <f t="shared" si="547"/>
        <v>0</v>
      </c>
      <c r="AW100" s="70">
        <f t="shared" si="548"/>
        <v>0</v>
      </c>
      <c r="AX100" s="70">
        <f t="shared" si="549"/>
        <v>0</v>
      </c>
      <c r="AY100" s="70">
        <f t="shared" si="550"/>
        <v>0</v>
      </c>
      <c r="AZ100" s="70">
        <f t="shared" si="551"/>
        <v>0</v>
      </c>
      <c r="BA100" s="70">
        <f t="shared" si="552"/>
        <v>0</v>
      </c>
      <c r="BB100" s="70">
        <f t="shared" si="553"/>
        <v>0</v>
      </c>
      <c r="BC100" s="70">
        <f t="shared" si="554"/>
        <v>0</v>
      </c>
      <c r="BD100" s="70">
        <f t="shared" si="555"/>
        <v>0</v>
      </c>
      <c r="BE100" s="70">
        <f t="shared" si="556"/>
        <v>0</v>
      </c>
      <c r="BF100" s="71">
        <f t="shared" ref="BF100:BF102" si="580">SUM(AT100:BE100)</f>
        <v>0</v>
      </c>
      <c r="BG100" s="698">
        <f t="shared" ref="BG100:BG105" si="581">AF100-AS100</f>
        <v>5000</v>
      </c>
      <c r="BH100" s="687">
        <f t="shared" ref="BH100:BH102" si="582">S100*D100</f>
        <v>432000</v>
      </c>
      <c r="BI100" s="688">
        <f t="shared" si="561"/>
        <v>347000</v>
      </c>
      <c r="BJ100" s="630">
        <f t="shared" ref="BJ100:BJ102" si="583">SUM(Q100/D100)</f>
        <v>0.20833333333333334</v>
      </c>
      <c r="BK100" s="1081">
        <f t="shared" si="562"/>
        <v>85000</v>
      </c>
      <c r="BL100" s="1081">
        <f>BK100</f>
        <v>85000</v>
      </c>
      <c r="BM100" s="1083">
        <f t="shared" si="563"/>
        <v>0</v>
      </c>
      <c r="BN100" s="1084"/>
      <c r="BO100" s="862"/>
      <c r="BP100" s="862"/>
      <c r="BQ100" s="862"/>
      <c r="BR100" s="862"/>
      <c r="BS100" s="862"/>
      <c r="BT100" s="862"/>
      <c r="BU100" s="862"/>
      <c r="BV100" s="862"/>
      <c r="BW100" s="1081">
        <f t="shared" ref="BW100:BW107" si="584">SUM(AN100*12.5%)</f>
        <v>0</v>
      </c>
      <c r="BX100" s="862"/>
      <c r="BY100" s="862"/>
      <c r="BZ100" s="862"/>
      <c r="CA100" s="73">
        <f t="shared" ref="CA100:CA107" si="585">SUM(BO100:BZ100)</f>
        <v>0</v>
      </c>
      <c r="CB100" s="862"/>
      <c r="CC100" s="862"/>
      <c r="CD100" s="862"/>
      <c r="CE100" s="862"/>
      <c r="CF100" s="862"/>
      <c r="CG100" s="862"/>
      <c r="CH100" s="862"/>
      <c r="CI100" s="862"/>
      <c r="CJ100" s="1081"/>
      <c r="CK100" s="862"/>
      <c r="CL100" s="862"/>
      <c r="CM100" s="862"/>
      <c r="CN100" s="73">
        <f t="shared" ref="CN100:CN107" si="586">SUM(CB100:CM100)</f>
        <v>0</v>
      </c>
    </row>
    <row r="101" spans="1:98" s="37" customFormat="1" ht="20.25" customHeight="1" x14ac:dyDescent="0.2">
      <c r="A101" s="28"/>
      <c r="B101" s="1392" t="s">
        <v>634</v>
      </c>
      <c r="C101" s="29" t="s">
        <v>24</v>
      </c>
      <c r="D101" s="978">
        <v>1</v>
      </c>
      <c r="E101" s="695"/>
      <c r="F101" s="1568">
        <v>1</v>
      </c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1">
        <f t="shared" si="565"/>
        <v>1</v>
      </c>
      <c r="R101" s="760" t="s">
        <v>14</v>
      </c>
      <c r="S101" s="765">
        <v>20500</v>
      </c>
      <c r="T101" s="763"/>
      <c r="U101" s="763">
        <v>15000</v>
      </c>
      <c r="V101" s="692"/>
      <c r="W101" s="692"/>
      <c r="X101" s="692"/>
      <c r="Y101" s="692"/>
      <c r="Z101" s="692"/>
      <c r="AA101" s="692"/>
      <c r="AB101" s="692"/>
      <c r="AC101" s="692"/>
      <c r="AD101" s="692"/>
      <c r="AE101" s="692"/>
      <c r="AF101" s="629">
        <f t="shared" si="566"/>
        <v>20500</v>
      </c>
      <c r="AG101" s="70">
        <f t="shared" si="567"/>
        <v>0</v>
      </c>
      <c r="AH101" s="1106">
        <f t="shared" si="568"/>
        <v>15000</v>
      </c>
      <c r="AI101" s="70">
        <f t="shared" si="569"/>
        <v>0</v>
      </c>
      <c r="AJ101" s="70">
        <f t="shared" si="570"/>
        <v>0</v>
      </c>
      <c r="AK101" s="70">
        <f t="shared" si="571"/>
        <v>0</v>
      </c>
      <c r="AL101" s="70">
        <f t="shared" si="572"/>
        <v>0</v>
      </c>
      <c r="AM101" s="70">
        <f t="shared" si="573"/>
        <v>0</v>
      </c>
      <c r="AN101" s="70">
        <f t="shared" si="574"/>
        <v>0</v>
      </c>
      <c r="AO101" s="70">
        <f t="shared" si="575"/>
        <v>0</v>
      </c>
      <c r="AP101" s="70">
        <f t="shared" si="576"/>
        <v>0</v>
      </c>
      <c r="AQ101" s="70">
        <f t="shared" si="577"/>
        <v>0</v>
      </c>
      <c r="AR101" s="70">
        <f t="shared" si="578"/>
        <v>0</v>
      </c>
      <c r="AS101" s="71">
        <f t="shared" si="579"/>
        <v>15000</v>
      </c>
      <c r="AT101" s="70">
        <f t="shared" si="546"/>
        <v>0</v>
      </c>
      <c r="AU101" s="70"/>
      <c r="AV101" s="70">
        <f t="shared" si="547"/>
        <v>0</v>
      </c>
      <c r="AW101" s="70">
        <f t="shared" si="548"/>
        <v>0</v>
      </c>
      <c r="AX101" s="70">
        <f t="shared" si="549"/>
        <v>0</v>
      </c>
      <c r="AY101" s="70">
        <f t="shared" si="550"/>
        <v>0</v>
      </c>
      <c r="AZ101" s="70">
        <f t="shared" si="551"/>
        <v>0</v>
      </c>
      <c r="BA101" s="70">
        <f t="shared" si="552"/>
        <v>0</v>
      </c>
      <c r="BB101" s="70">
        <f t="shared" si="553"/>
        <v>0</v>
      </c>
      <c r="BC101" s="70">
        <f t="shared" si="554"/>
        <v>0</v>
      </c>
      <c r="BD101" s="70">
        <f t="shared" si="555"/>
        <v>0</v>
      </c>
      <c r="BE101" s="70">
        <f t="shared" si="556"/>
        <v>0</v>
      </c>
      <c r="BF101" s="71">
        <f t="shared" si="580"/>
        <v>0</v>
      </c>
      <c r="BG101" s="698">
        <f t="shared" si="581"/>
        <v>5500</v>
      </c>
      <c r="BH101" s="687">
        <f t="shared" si="582"/>
        <v>20500</v>
      </c>
      <c r="BI101" s="688">
        <f t="shared" si="561"/>
        <v>5500</v>
      </c>
      <c r="BJ101" s="630">
        <f t="shared" si="583"/>
        <v>1</v>
      </c>
      <c r="BK101" s="1081">
        <f t="shared" si="562"/>
        <v>15000</v>
      </c>
      <c r="BL101" s="1081">
        <f>BK101</f>
        <v>15000</v>
      </c>
      <c r="BM101" s="1083">
        <f t="shared" si="563"/>
        <v>0</v>
      </c>
      <c r="BN101" s="1084"/>
      <c r="BO101" s="862"/>
      <c r="BP101" s="862"/>
      <c r="BQ101" s="862"/>
      <c r="BR101" s="862"/>
      <c r="BS101" s="862"/>
      <c r="BT101" s="862"/>
      <c r="BU101" s="862"/>
      <c r="BV101" s="862"/>
      <c r="BW101" s="1081">
        <f t="shared" si="584"/>
        <v>0</v>
      </c>
      <c r="BX101" s="862"/>
      <c r="BY101" s="862"/>
      <c r="BZ101" s="862"/>
      <c r="CA101" s="73">
        <f t="shared" si="585"/>
        <v>0</v>
      </c>
      <c r="CB101" s="862"/>
      <c r="CC101" s="862"/>
      <c r="CD101" s="862"/>
      <c r="CE101" s="862"/>
      <c r="CF101" s="862"/>
      <c r="CG101" s="862"/>
      <c r="CH101" s="862"/>
      <c r="CI101" s="862"/>
      <c r="CJ101" s="1081"/>
      <c r="CK101" s="862"/>
      <c r="CL101" s="862"/>
      <c r="CM101" s="862"/>
      <c r="CN101" s="73">
        <f t="shared" si="586"/>
        <v>0</v>
      </c>
    </row>
    <row r="102" spans="1:98" s="37" customFormat="1" ht="20.25" customHeight="1" x14ac:dyDescent="0.2">
      <c r="A102" s="28"/>
      <c r="B102" s="1392" t="s">
        <v>635</v>
      </c>
      <c r="C102" s="29" t="s">
        <v>24</v>
      </c>
      <c r="D102" s="978">
        <v>2</v>
      </c>
      <c r="E102" s="695"/>
      <c r="F102" s="1568">
        <v>2</v>
      </c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1">
        <f t="shared" si="565"/>
        <v>2</v>
      </c>
      <c r="R102" s="760" t="s">
        <v>297</v>
      </c>
      <c r="S102" s="765">
        <v>35000</v>
      </c>
      <c r="T102" s="763"/>
      <c r="U102" s="763">
        <v>35000</v>
      </c>
      <c r="V102" s="692"/>
      <c r="W102" s="692"/>
      <c r="X102" s="692"/>
      <c r="Y102" s="692"/>
      <c r="Z102" s="692"/>
      <c r="AA102" s="692"/>
      <c r="AB102" s="692"/>
      <c r="AC102" s="692"/>
      <c r="AD102" s="692"/>
      <c r="AE102" s="692"/>
      <c r="AF102" s="629">
        <f t="shared" si="566"/>
        <v>70000</v>
      </c>
      <c r="AG102" s="70">
        <f t="shared" si="567"/>
        <v>0</v>
      </c>
      <c r="AH102" s="1106">
        <f t="shared" si="568"/>
        <v>70000</v>
      </c>
      <c r="AI102" s="70">
        <f t="shared" si="569"/>
        <v>0</v>
      </c>
      <c r="AJ102" s="70">
        <f t="shared" si="570"/>
        <v>0</v>
      </c>
      <c r="AK102" s="70">
        <f t="shared" si="571"/>
        <v>0</v>
      </c>
      <c r="AL102" s="70">
        <f t="shared" si="572"/>
        <v>0</v>
      </c>
      <c r="AM102" s="70">
        <f t="shared" si="573"/>
        <v>0</v>
      </c>
      <c r="AN102" s="70">
        <f t="shared" si="574"/>
        <v>0</v>
      </c>
      <c r="AO102" s="70">
        <f t="shared" si="575"/>
        <v>0</v>
      </c>
      <c r="AP102" s="70">
        <f t="shared" si="576"/>
        <v>0</v>
      </c>
      <c r="AQ102" s="70">
        <f t="shared" si="577"/>
        <v>0</v>
      </c>
      <c r="AR102" s="70">
        <f t="shared" si="578"/>
        <v>0</v>
      </c>
      <c r="AS102" s="71">
        <f t="shared" si="579"/>
        <v>70000</v>
      </c>
      <c r="AT102" s="70">
        <f t="shared" si="546"/>
        <v>0</v>
      </c>
      <c r="AU102" s="70"/>
      <c r="AV102" s="70">
        <f t="shared" si="547"/>
        <v>0</v>
      </c>
      <c r="AW102" s="70">
        <f t="shared" si="548"/>
        <v>0</v>
      </c>
      <c r="AX102" s="70">
        <f t="shared" si="549"/>
        <v>0</v>
      </c>
      <c r="AY102" s="70">
        <f t="shared" si="550"/>
        <v>0</v>
      </c>
      <c r="AZ102" s="70">
        <f t="shared" si="551"/>
        <v>0</v>
      </c>
      <c r="BA102" s="70">
        <f t="shared" si="552"/>
        <v>0</v>
      </c>
      <c r="BB102" s="70">
        <f t="shared" si="553"/>
        <v>0</v>
      </c>
      <c r="BC102" s="70">
        <f t="shared" si="554"/>
        <v>0</v>
      </c>
      <c r="BD102" s="70">
        <f t="shared" si="555"/>
        <v>0</v>
      </c>
      <c r="BE102" s="70">
        <f t="shared" si="556"/>
        <v>0</v>
      </c>
      <c r="BF102" s="71">
        <f t="shared" si="580"/>
        <v>0</v>
      </c>
      <c r="BG102" s="698">
        <f t="shared" si="581"/>
        <v>0</v>
      </c>
      <c r="BH102" s="687">
        <f t="shared" si="582"/>
        <v>70000</v>
      </c>
      <c r="BI102" s="688">
        <f t="shared" si="561"/>
        <v>0</v>
      </c>
      <c r="BJ102" s="630">
        <f t="shared" si="583"/>
        <v>1</v>
      </c>
      <c r="BK102" s="1081">
        <f t="shared" si="562"/>
        <v>70000</v>
      </c>
      <c r="BL102" s="1081">
        <f>2*30000</f>
        <v>60000</v>
      </c>
      <c r="BM102" s="1083">
        <f t="shared" si="563"/>
        <v>10000</v>
      </c>
      <c r="BN102" s="1084"/>
      <c r="BO102" s="862"/>
      <c r="BP102" s="862"/>
      <c r="BQ102" s="862"/>
      <c r="BR102" s="862"/>
      <c r="BS102" s="862"/>
      <c r="BT102" s="862"/>
      <c r="BU102" s="862"/>
      <c r="BV102" s="862"/>
      <c r="BW102" s="1081">
        <f t="shared" si="584"/>
        <v>0</v>
      </c>
      <c r="BX102" s="862"/>
      <c r="BY102" s="862"/>
      <c r="BZ102" s="862"/>
      <c r="CA102" s="73">
        <f t="shared" si="585"/>
        <v>0</v>
      </c>
      <c r="CB102" s="862"/>
      <c r="CC102" s="862"/>
      <c r="CD102" s="862"/>
      <c r="CE102" s="862"/>
      <c r="CF102" s="862"/>
      <c r="CG102" s="862"/>
      <c r="CH102" s="862"/>
      <c r="CI102" s="862"/>
      <c r="CJ102" s="1081"/>
      <c r="CK102" s="862"/>
      <c r="CL102" s="862"/>
      <c r="CM102" s="862"/>
      <c r="CN102" s="73">
        <f t="shared" si="586"/>
        <v>0</v>
      </c>
    </row>
    <row r="103" spans="1:98" s="37" customFormat="1" ht="20.25" customHeight="1" x14ac:dyDescent="0.2">
      <c r="A103" s="28"/>
      <c r="B103" s="1395" t="s">
        <v>636</v>
      </c>
      <c r="C103" s="29" t="s">
        <v>24</v>
      </c>
      <c r="D103" s="978">
        <v>2</v>
      </c>
      <c r="E103" s="695"/>
      <c r="F103" s="1568">
        <v>2</v>
      </c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1">
        <f t="shared" ref="Q103:Q106" si="587">SUM(E103:P103)</f>
        <v>2</v>
      </c>
      <c r="R103" s="760" t="s">
        <v>297</v>
      </c>
      <c r="S103" s="762">
        <v>35000</v>
      </c>
      <c r="T103" s="763"/>
      <c r="U103" s="762">
        <v>35000</v>
      </c>
      <c r="V103" s="692"/>
      <c r="W103" s="692"/>
      <c r="X103" s="692"/>
      <c r="Y103" s="692"/>
      <c r="Z103" s="692"/>
      <c r="AA103" s="692"/>
      <c r="AB103" s="692"/>
      <c r="AC103" s="692"/>
      <c r="AD103" s="692"/>
      <c r="AE103" s="692"/>
      <c r="AF103" s="629">
        <f t="shared" ref="AF103:AF105" si="588">SUM(Q103*S103)</f>
        <v>70000</v>
      </c>
      <c r="AG103" s="70">
        <f t="shared" ref="AG103:AG105" si="589">T103*E103</f>
        <v>0</v>
      </c>
      <c r="AH103" s="1106">
        <f t="shared" ref="AH103:AH106" si="590">U103*F103</f>
        <v>70000</v>
      </c>
      <c r="AI103" s="70">
        <f t="shared" ref="AI103:AI106" si="591">V103*G103</f>
        <v>0</v>
      </c>
      <c r="AJ103" s="70">
        <f t="shared" ref="AJ103:AJ106" si="592">W103*H103</f>
        <v>0</v>
      </c>
      <c r="AK103" s="70">
        <f t="shared" ref="AK103:AK106" si="593">X103*I103</f>
        <v>0</v>
      </c>
      <c r="AL103" s="70">
        <f t="shared" ref="AL103:AL106" si="594">Y103*J103</f>
        <v>0</v>
      </c>
      <c r="AM103" s="70">
        <f t="shared" ref="AM103:AM106" si="595">Z103*K103</f>
        <v>0</v>
      </c>
      <c r="AN103" s="70">
        <f t="shared" ref="AN103:AN106" si="596">AA103*L103</f>
        <v>0</v>
      </c>
      <c r="AO103" s="70">
        <f t="shared" ref="AO103:AO106" si="597">AB103*M103</f>
        <v>0</v>
      </c>
      <c r="AP103" s="70">
        <f t="shared" ref="AP103:AP106" si="598">AC103*N103</f>
        <v>0</v>
      </c>
      <c r="AQ103" s="70">
        <f t="shared" ref="AQ103:AQ106" si="599">AD103*O103</f>
        <v>0</v>
      </c>
      <c r="AR103" s="70">
        <f t="shared" ref="AR103:AR106" si="600">AE103*P103</f>
        <v>0</v>
      </c>
      <c r="AS103" s="71">
        <f t="shared" ref="AS103:AS106" si="601">SUM(AG103:AR103)</f>
        <v>70000</v>
      </c>
      <c r="AT103" s="70">
        <f t="shared" si="546"/>
        <v>0</v>
      </c>
      <c r="AU103" s="70"/>
      <c r="AV103" s="70">
        <f t="shared" si="547"/>
        <v>0</v>
      </c>
      <c r="AW103" s="70">
        <f t="shared" si="548"/>
        <v>0</v>
      </c>
      <c r="AX103" s="70">
        <f t="shared" si="549"/>
        <v>0</v>
      </c>
      <c r="AY103" s="70">
        <f t="shared" si="550"/>
        <v>0</v>
      </c>
      <c r="AZ103" s="70">
        <f t="shared" si="551"/>
        <v>0</v>
      </c>
      <c r="BA103" s="70">
        <f t="shared" si="552"/>
        <v>0</v>
      </c>
      <c r="BB103" s="70">
        <f t="shared" si="553"/>
        <v>0</v>
      </c>
      <c r="BC103" s="70">
        <f t="shared" si="554"/>
        <v>0</v>
      </c>
      <c r="BD103" s="70">
        <f t="shared" si="555"/>
        <v>0</v>
      </c>
      <c r="BE103" s="70">
        <f t="shared" si="556"/>
        <v>0</v>
      </c>
      <c r="BF103" s="71">
        <f t="shared" ref="BF103:BF106" si="602">SUM(AT103:BE103)</f>
        <v>0</v>
      </c>
      <c r="BG103" s="698">
        <f t="shared" si="581"/>
        <v>0</v>
      </c>
      <c r="BH103" s="687">
        <f t="shared" ref="BH103:BH106" si="603">S103*D103</f>
        <v>70000</v>
      </c>
      <c r="BI103" s="688">
        <f t="shared" si="561"/>
        <v>0</v>
      </c>
      <c r="BJ103" s="630">
        <f t="shared" ref="BJ103:BJ106" si="604">SUM(Q103/D103)</f>
        <v>1</v>
      </c>
      <c r="BK103" s="1081">
        <f t="shared" si="562"/>
        <v>70000</v>
      </c>
      <c r="BL103" s="1081"/>
      <c r="BM103" s="1083"/>
      <c r="BN103" s="1084"/>
      <c r="BO103" s="862"/>
      <c r="BP103" s="862"/>
      <c r="BQ103" s="862"/>
      <c r="BR103" s="862"/>
      <c r="BS103" s="862"/>
      <c r="BT103" s="862"/>
      <c r="BU103" s="862"/>
      <c r="BV103" s="862"/>
      <c r="BW103" s="1081">
        <f t="shared" si="584"/>
        <v>0</v>
      </c>
      <c r="BX103" s="862"/>
      <c r="BY103" s="862"/>
      <c r="BZ103" s="862"/>
      <c r="CA103" s="73">
        <f t="shared" si="585"/>
        <v>0</v>
      </c>
      <c r="CB103" s="862"/>
      <c r="CC103" s="862"/>
      <c r="CD103" s="862"/>
      <c r="CE103" s="862"/>
      <c r="CF103" s="862"/>
      <c r="CG103" s="862"/>
      <c r="CH103" s="862"/>
      <c r="CI103" s="862"/>
      <c r="CJ103" s="1081"/>
      <c r="CK103" s="862"/>
      <c r="CL103" s="862"/>
      <c r="CM103" s="862"/>
      <c r="CN103" s="73">
        <f t="shared" si="586"/>
        <v>0</v>
      </c>
    </row>
    <row r="104" spans="1:98" s="37" customFormat="1" ht="20.25" customHeight="1" x14ac:dyDescent="0.2">
      <c r="A104" s="28"/>
      <c r="B104" s="1395" t="s">
        <v>637</v>
      </c>
      <c r="C104" s="29" t="s">
        <v>24</v>
      </c>
      <c r="D104" s="978">
        <v>1</v>
      </c>
      <c r="E104" s="695"/>
      <c r="F104" s="1568">
        <v>1</v>
      </c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1">
        <f t="shared" si="587"/>
        <v>1</v>
      </c>
      <c r="R104" s="760" t="s">
        <v>33</v>
      </c>
      <c r="S104" s="762">
        <v>5000000</v>
      </c>
      <c r="T104" s="763"/>
      <c r="U104" s="762">
        <v>5000000</v>
      </c>
      <c r="V104" s="692"/>
      <c r="W104" s="692"/>
      <c r="X104" s="692"/>
      <c r="Y104" s="692"/>
      <c r="Z104" s="692"/>
      <c r="AA104" s="692"/>
      <c r="AB104" s="692"/>
      <c r="AC104" s="692"/>
      <c r="AD104" s="692"/>
      <c r="AE104" s="692"/>
      <c r="AF104" s="629">
        <f t="shared" si="588"/>
        <v>5000000</v>
      </c>
      <c r="AG104" s="70">
        <f t="shared" si="589"/>
        <v>0</v>
      </c>
      <c r="AH104" s="1106">
        <f t="shared" si="590"/>
        <v>5000000</v>
      </c>
      <c r="AI104" s="70">
        <f t="shared" si="591"/>
        <v>0</v>
      </c>
      <c r="AJ104" s="70">
        <f t="shared" si="592"/>
        <v>0</v>
      </c>
      <c r="AK104" s="70">
        <f t="shared" si="593"/>
        <v>0</v>
      </c>
      <c r="AL104" s="70">
        <f t="shared" si="594"/>
        <v>0</v>
      </c>
      <c r="AM104" s="70">
        <f t="shared" si="595"/>
        <v>0</v>
      </c>
      <c r="AN104" s="70">
        <f t="shared" si="596"/>
        <v>0</v>
      </c>
      <c r="AO104" s="70">
        <f t="shared" si="597"/>
        <v>0</v>
      </c>
      <c r="AP104" s="70">
        <f t="shared" si="598"/>
        <v>0</v>
      </c>
      <c r="AQ104" s="70">
        <f t="shared" si="599"/>
        <v>0</v>
      </c>
      <c r="AR104" s="70">
        <f t="shared" si="600"/>
        <v>0</v>
      </c>
      <c r="AS104" s="71">
        <f t="shared" si="601"/>
        <v>5000000</v>
      </c>
      <c r="AT104" s="70">
        <f t="shared" si="546"/>
        <v>0</v>
      </c>
      <c r="AU104" s="70">
        <f>SUM(AH104*12.5%)</f>
        <v>625000</v>
      </c>
      <c r="AV104" s="70">
        <f t="shared" si="547"/>
        <v>0</v>
      </c>
      <c r="AW104" s="70">
        <f t="shared" si="548"/>
        <v>0</v>
      </c>
      <c r="AX104" s="70">
        <f t="shared" si="549"/>
        <v>0</v>
      </c>
      <c r="AY104" s="70">
        <f t="shared" si="550"/>
        <v>0</v>
      </c>
      <c r="AZ104" s="70">
        <f t="shared" si="551"/>
        <v>0</v>
      </c>
      <c r="BA104" s="70">
        <f t="shared" si="552"/>
        <v>0</v>
      </c>
      <c r="BB104" s="70">
        <f t="shared" si="553"/>
        <v>0</v>
      </c>
      <c r="BC104" s="70">
        <f t="shared" si="554"/>
        <v>0</v>
      </c>
      <c r="BD104" s="70">
        <f t="shared" si="555"/>
        <v>0</v>
      </c>
      <c r="BE104" s="70">
        <f t="shared" si="556"/>
        <v>0</v>
      </c>
      <c r="BF104" s="71">
        <f t="shared" si="602"/>
        <v>625000</v>
      </c>
      <c r="BG104" s="698">
        <f t="shared" si="581"/>
        <v>0</v>
      </c>
      <c r="BH104" s="687">
        <f t="shared" si="603"/>
        <v>5000000</v>
      </c>
      <c r="BI104" s="688">
        <f t="shared" si="561"/>
        <v>0</v>
      </c>
      <c r="BJ104" s="630">
        <f t="shared" si="604"/>
        <v>1</v>
      </c>
      <c r="BK104" s="1081">
        <f t="shared" si="562"/>
        <v>4375000</v>
      </c>
      <c r="BL104" s="1081"/>
      <c r="BM104" s="1083"/>
      <c r="BN104" s="1084"/>
      <c r="BO104" s="862"/>
      <c r="BP104" s="862"/>
      <c r="BQ104" s="862"/>
      <c r="BR104" s="862"/>
      <c r="BS104" s="862"/>
      <c r="BT104" s="862"/>
      <c r="BU104" s="862"/>
      <c r="BV104" s="862"/>
      <c r="BW104" s="1081">
        <f t="shared" si="584"/>
        <v>0</v>
      </c>
      <c r="BX104" s="862"/>
      <c r="BY104" s="862"/>
      <c r="BZ104" s="862"/>
      <c r="CA104" s="73">
        <f t="shared" si="585"/>
        <v>0</v>
      </c>
      <c r="CB104" s="862"/>
      <c r="CC104" s="862"/>
      <c r="CD104" s="862"/>
      <c r="CE104" s="862"/>
      <c r="CF104" s="862"/>
      <c r="CG104" s="862"/>
      <c r="CH104" s="862"/>
      <c r="CI104" s="862"/>
      <c r="CJ104" s="1081"/>
      <c r="CK104" s="862"/>
      <c r="CL104" s="862"/>
      <c r="CM104" s="862"/>
      <c r="CN104" s="73">
        <f t="shared" si="586"/>
        <v>0</v>
      </c>
    </row>
    <row r="105" spans="1:98" s="37" customFormat="1" ht="20.25" customHeight="1" x14ac:dyDescent="0.2">
      <c r="A105" s="28"/>
      <c r="B105" s="1395" t="s">
        <v>638</v>
      </c>
      <c r="C105" s="29" t="s">
        <v>24</v>
      </c>
      <c r="D105" s="978">
        <v>1</v>
      </c>
      <c r="E105" s="695"/>
      <c r="F105" s="1568">
        <v>1</v>
      </c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1">
        <f t="shared" si="587"/>
        <v>1</v>
      </c>
      <c r="R105" s="760" t="s">
        <v>33</v>
      </c>
      <c r="S105" s="762">
        <v>3000000</v>
      </c>
      <c r="T105" s="763"/>
      <c r="U105" s="692">
        <v>3000000</v>
      </c>
      <c r="V105" s="692"/>
      <c r="W105" s="692"/>
      <c r="X105" s="692"/>
      <c r="Y105" s="692"/>
      <c r="Z105" s="692"/>
      <c r="AA105" s="692"/>
      <c r="AB105" s="692"/>
      <c r="AC105" s="692"/>
      <c r="AD105" s="692"/>
      <c r="AE105" s="692"/>
      <c r="AF105" s="629">
        <f t="shared" si="588"/>
        <v>3000000</v>
      </c>
      <c r="AG105" s="70">
        <f t="shared" si="589"/>
        <v>0</v>
      </c>
      <c r="AH105" s="1106">
        <v>3000000</v>
      </c>
      <c r="AI105" s="70">
        <f t="shared" si="591"/>
        <v>0</v>
      </c>
      <c r="AJ105" s="70">
        <f t="shared" si="592"/>
        <v>0</v>
      </c>
      <c r="AK105" s="70">
        <f t="shared" si="593"/>
        <v>0</v>
      </c>
      <c r="AL105" s="70">
        <f t="shared" si="594"/>
        <v>0</v>
      </c>
      <c r="AM105" s="70">
        <f t="shared" si="595"/>
        <v>0</v>
      </c>
      <c r="AN105" s="70">
        <f t="shared" si="596"/>
        <v>0</v>
      </c>
      <c r="AO105" s="70">
        <f t="shared" si="597"/>
        <v>0</v>
      </c>
      <c r="AP105" s="70">
        <f t="shared" si="598"/>
        <v>0</v>
      </c>
      <c r="AQ105" s="70">
        <f t="shared" si="599"/>
        <v>0</v>
      </c>
      <c r="AR105" s="70">
        <f t="shared" si="600"/>
        <v>0</v>
      </c>
      <c r="AS105" s="71">
        <f t="shared" si="601"/>
        <v>3000000</v>
      </c>
      <c r="AT105" s="70">
        <f t="shared" si="546"/>
        <v>0</v>
      </c>
      <c r="AU105" s="70">
        <f>SUM(AH105*12.5%)</f>
        <v>375000</v>
      </c>
      <c r="AV105" s="70">
        <f t="shared" si="547"/>
        <v>0</v>
      </c>
      <c r="AW105" s="70">
        <f t="shared" si="548"/>
        <v>0</v>
      </c>
      <c r="AX105" s="70">
        <f t="shared" si="549"/>
        <v>0</v>
      </c>
      <c r="AY105" s="70">
        <f t="shared" si="550"/>
        <v>0</v>
      </c>
      <c r="AZ105" s="70">
        <f t="shared" si="551"/>
        <v>0</v>
      </c>
      <c r="BA105" s="70">
        <f t="shared" si="552"/>
        <v>0</v>
      </c>
      <c r="BB105" s="70">
        <f t="shared" si="553"/>
        <v>0</v>
      </c>
      <c r="BC105" s="70">
        <f t="shared" si="554"/>
        <v>0</v>
      </c>
      <c r="BD105" s="70">
        <f t="shared" si="555"/>
        <v>0</v>
      </c>
      <c r="BE105" s="70">
        <f t="shared" si="556"/>
        <v>0</v>
      </c>
      <c r="BF105" s="71">
        <f t="shared" si="602"/>
        <v>375000</v>
      </c>
      <c r="BG105" s="698">
        <f t="shared" si="581"/>
        <v>0</v>
      </c>
      <c r="BH105" s="687">
        <f t="shared" si="603"/>
        <v>3000000</v>
      </c>
      <c r="BI105" s="688">
        <f t="shared" si="561"/>
        <v>0</v>
      </c>
      <c r="BJ105" s="630">
        <f t="shared" si="604"/>
        <v>1</v>
      </c>
      <c r="BK105" s="1081"/>
      <c r="BL105" s="1081"/>
      <c r="BM105" s="1083"/>
      <c r="BN105" s="1084"/>
      <c r="BO105" s="862"/>
      <c r="BP105" s="862"/>
      <c r="BQ105" s="862"/>
      <c r="BR105" s="862"/>
      <c r="BS105" s="862"/>
      <c r="BT105" s="862"/>
      <c r="BU105" s="862"/>
      <c r="BV105" s="862"/>
      <c r="BW105" s="1081">
        <f t="shared" si="584"/>
        <v>0</v>
      </c>
      <c r="BX105" s="862"/>
      <c r="BY105" s="862"/>
      <c r="BZ105" s="862"/>
      <c r="CA105" s="73">
        <f t="shared" si="585"/>
        <v>0</v>
      </c>
      <c r="CB105" s="862"/>
      <c r="CC105" s="862"/>
      <c r="CD105" s="862"/>
      <c r="CE105" s="862"/>
      <c r="CF105" s="862"/>
      <c r="CG105" s="862"/>
      <c r="CH105" s="862"/>
      <c r="CI105" s="862"/>
      <c r="CJ105" s="1081"/>
      <c r="CK105" s="862"/>
      <c r="CL105" s="862"/>
      <c r="CM105" s="862"/>
      <c r="CN105" s="73">
        <f t="shared" si="586"/>
        <v>0</v>
      </c>
    </row>
    <row r="106" spans="1:98" s="37" customFormat="1" ht="20.25" customHeight="1" thickBot="1" x14ac:dyDescent="0.25">
      <c r="A106" s="1041"/>
      <c r="B106" s="1397" t="s">
        <v>639</v>
      </c>
      <c r="C106" s="1042" t="s">
        <v>24</v>
      </c>
      <c r="D106" s="1043">
        <v>546</v>
      </c>
      <c r="E106" s="766">
        <v>546</v>
      </c>
      <c r="F106" s="1569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702">
        <f t="shared" si="587"/>
        <v>546</v>
      </c>
      <c r="R106" s="1043" t="s">
        <v>33</v>
      </c>
      <c r="S106" s="1063">
        <v>30000</v>
      </c>
      <c r="T106" s="767">
        <v>16000</v>
      </c>
      <c r="U106" s="1045"/>
      <c r="V106" s="1045"/>
      <c r="W106" s="1045"/>
      <c r="X106" s="1045"/>
      <c r="Y106" s="1045"/>
      <c r="Z106" s="1045"/>
      <c r="AA106" s="1045"/>
      <c r="AB106" s="1045"/>
      <c r="AC106" s="1045"/>
      <c r="AD106" s="1045"/>
      <c r="AE106" s="1045"/>
      <c r="AF106" s="703">
        <f>SUM(Q106*S106)</f>
        <v>16380000</v>
      </c>
      <c r="AG106" s="1046">
        <f>SUM(Q106*T106)</f>
        <v>8736000</v>
      </c>
      <c r="AH106" s="1570">
        <f t="shared" si="590"/>
        <v>0</v>
      </c>
      <c r="AI106" s="1046">
        <f t="shared" si="591"/>
        <v>0</v>
      </c>
      <c r="AJ106" s="1046">
        <f t="shared" si="592"/>
        <v>0</v>
      </c>
      <c r="AK106" s="1046">
        <f t="shared" si="593"/>
        <v>0</v>
      </c>
      <c r="AL106" s="1046">
        <f t="shared" si="594"/>
        <v>0</v>
      </c>
      <c r="AM106" s="1046">
        <f t="shared" si="595"/>
        <v>0</v>
      </c>
      <c r="AN106" s="1046">
        <f t="shared" si="596"/>
        <v>0</v>
      </c>
      <c r="AO106" s="1046">
        <f t="shared" si="597"/>
        <v>0</v>
      </c>
      <c r="AP106" s="1046">
        <f t="shared" si="598"/>
        <v>0</v>
      </c>
      <c r="AQ106" s="1046">
        <f t="shared" si="599"/>
        <v>0</v>
      </c>
      <c r="AR106" s="1046">
        <f t="shared" si="600"/>
        <v>0</v>
      </c>
      <c r="AS106" s="1047">
        <f t="shared" si="601"/>
        <v>8736000</v>
      </c>
      <c r="AT106" s="1046">
        <f>SUM(AG106*14%)</f>
        <v>1223040</v>
      </c>
      <c r="AU106" s="1046">
        <f t="shared" ref="AU106" si="605">SUM(AH106*14%)</f>
        <v>0</v>
      </c>
      <c r="AV106" s="1046">
        <f t="shared" si="547"/>
        <v>0</v>
      </c>
      <c r="AW106" s="1046">
        <f t="shared" si="548"/>
        <v>0</v>
      </c>
      <c r="AX106" s="1046">
        <f t="shared" si="549"/>
        <v>0</v>
      </c>
      <c r="AY106" s="1046">
        <f t="shared" si="550"/>
        <v>0</v>
      </c>
      <c r="AZ106" s="1046">
        <f t="shared" si="551"/>
        <v>0</v>
      </c>
      <c r="BA106" s="1046">
        <f t="shared" si="552"/>
        <v>0</v>
      </c>
      <c r="BB106" s="1046">
        <f t="shared" si="553"/>
        <v>0</v>
      </c>
      <c r="BC106" s="1046">
        <f t="shared" si="554"/>
        <v>0</v>
      </c>
      <c r="BD106" s="1046">
        <f t="shared" si="555"/>
        <v>0</v>
      </c>
      <c r="BE106" s="1046">
        <f t="shared" si="556"/>
        <v>0</v>
      </c>
      <c r="BF106" s="1047">
        <f t="shared" si="602"/>
        <v>1223040</v>
      </c>
      <c r="BG106" s="704">
        <f t="shared" ref="BG106" si="606">AF106-AS106-BF106</f>
        <v>6420960</v>
      </c>
      <c r="BH106" s="768">
        <f t="shared" si="603"/>
        <v>16380000</v>
      </c>
      <c r="BI106" s="688">
        <f t="shared" ref="BI106" si="607">BH106-AS106-BF106</f>
        <v>6420960</v>
      </c>
      <c r="BJ106" s="630">
        <f t="shared" si="604"/>
        <v>1</v>
      </c>
      <c r="BK106" s="1081"/>
      <c r="BL106" s="1081"/>
      <c r="BM106" s="1083"/>
      <c r="BN106" s="1084"/>
      <c r="BO106" s="862"/>
      <c r="BP106" s="862"/>
      <c r="BQ106" s="862"/>
      <c r="BR106" s="862"/>
      <c r="BS106" s="862"/>
      <c r="BT106" s="862"/>
      <c r="BU106" s="862"/>
      <c r="BV106" s="862"/>
      <c r="BW106" s="1081">
        <f t="shared" si="584"/>
        <v>0</v>
      </c>
      <c r="BX106" s="862"/>
      <c r="BY106" s="862"/>
      <c r="BZ106" s="862"/>
      <c r="CA106" s="73">
        <f t="shared" si="585"/>
        <v>0</v>
      </c>
      <c r="CB106" s="862"/>
      <c r="CC106" s="862"/>
      <c r="CD106" s="862"/>
      <c r="CE106" s="862"/>
      <c r="CF106" s="862"/>
      <c r="CG106" s="862"/>
      <c r="CH106" s="862"/>
      <c r="CI106" s="862"/>
      <c r="CJ106" s="1081"/>
      <c r="CK106" s="862"/>
      <c r="CL106" s="862"/>
      <c r="CM106" s="862"/>
      <c r="CN106" s="73">
        <f t="shared" si="586"/>
        <v>0</v>
      </c>
    </row>
    <row r="107" spans="1:98" s="1839" customFormat="1" ht="24.75" customHeight="1" thickBot="1" x14ac:dyDescent="0.25">
      <c r="A107" s="1834">
        <v>6</v>
      </c>
      <c r="B107" s="1835" t="s">
        <v>4</v>
      </c>
      <c r="C107" s="1835"/>
      <c r="D107" s="183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7"/>
      <c r="R107" s="1837"/>
      <c r="S107" s="1048"/>
      <c r="T107" s="1049"/>
      <c r="U107" s="1050"/>
      <c r="V107" s="1050"/>
      <c r="W107" s="1050"/>
      <c r="X107" s="1050"/>
      <c r="Y107" s="1050"/>
      <c r="Z107" s="1050"/>
      <c r="AA107" s="1050"/>
      <c r="AB107" s="1050"/>
      <c r="AC107" s="1050"/>
      <c r="AD107" s="1050"/>
      <c r="AE107" s="1050"/>
      <c r="AF107" s="1051">
        <f t="shared" ref="AF107:BF107" si="608">SUM(AF98:AF106)</f>
        <v>28510500</v>
      </c>
      <c r="AG107" s="1051">
        <f t="shared" si="608"/>
        <v>8736000</v>
      </c>
      <c r="AH107" s="1051">
        <f>SUM(AH98:AH106)</f>
        <v>12070000</v>
      </c>
      <c r="AI107" s="1051">
        <f t="shared" si="608"/>
        <v>0</v>
      </c>
      <c r="AJ107" s="1051">
        <f t="shared" si="608"/>
        <v>0</v>
      </c>
      <c r="AK107" s="1051">
        <f t="shared" si="608"/>
        <v>0</v>
      </c>
      <c r="AL107" s="1051">
        <f t="shared" si="608"/>
        <v>0</v>
      </c>
      <c r="AM107" s="1051">
        <f t="shared" si="608"/>
        <v>0</v>
      </c>
      <c r="AN107" s="1051">
        <f t="shared" si="608"/>
        <v>0</v>
      </c>
      <c r="AO107" s="1051">
        <f t="shared" si="608"/>
        <v>0</v>
      </c>
      <c r="AP107" s="1051">
        <f t="shared" si="608"/>
        <v>0</v>
      </c>
      <c r="AQ107" s="1051">
        <f t="shared" si="608"/>
        <v>0</v>
      </c>
      <c r="AR107" s="1051">
        <f t="shared" si="608"/>
        <v>0</v>
      </c>
      <c r="AS107" s="1051">
        <f>SUM(AS98:AS106)</f>
        <v>20806000</v>
      </c>
      <c r="AT107" s="1051">
        <f t="shared" si="608"/>
        <v>1223040</v>
      </c>
      <c r="AU107" s="1051">
        <f>SUM(AU98:AU106)</f>
        <v>1459600</v>
      </c>
      <c r="AV107" s="1051">
        <f t="shared" si="608"/>
        <v>0</v>
      </c>
      <c r="AW107" s="1051">
        <f t="shared" si="608"/>
        <v>0</v>
      </c>
      <c r="AX107" s="1051">
        <f t="shared" si="608"/>
        <v>0</v>
      </c>
      <c r="AY107" s="1051">
        <f t="shared" si="608"/>
        <v>0</v>
      </c>
      <c r="AZ107" s="1051">
        <f t="shared" si="608"/>
        <v>0</v>
      </c>
      <c r="BA107" s="1051">
        <f t="shared" si="608"/>
        <v>0</v>
      </c>
      <c r="BB107" s="1051">
        <f t="shared" si="608"/>
        <v>0</v>
      </c>
      <c r="BC107" s="1051">
        <f t="shared" si="608"/>
        <v>0</v>
      </c>
      <c r="BD107" s="1051">
        <f t="shared" si="608"/>
        <v>0</v>
      </c>
      <c r="BE107" s="1051">
        <f t="shared" si="608"/>
        <v>0</v>
      </c>
      <c r="BF107" s="1051">
        <f t="shared" si="608"/>
        <v>2682640</v>
      </c>
      <c r="BG107" s="1052">
        <f>SUM(BG98:BG106)</f>
        <v>6481460</v>
      </c>
      <c r="BH107" s="1051">
        <f>SUM(BH98:BH106)</f>
        <v>28852500</v>
      </c>
      <c r="BI107" s="1051">
        <f>SUM(BI98:BI106)</f>
        <v>6823460</v>
      </c>
      <c r="BJ107" s="1838">
        <v>1</v>
      </c>
      <c r="BK107" s="862">
        <f>SUM(BK98:BK106)</f>
        <v>7985400</v>
      </c>
      <c r="BL107" s="862">
        <f>SUM(BL98:BL106)</f>
        <v>3510000</v>
      </c>
      <c r="BM107" s="1102">
        <f>SUM(BM98:BM106)</f>
        <v>30400</v>
      </c>
      <c r="BN107" s="1084"/>
      <c r="BO107" s="862"/>
      <c r="BP107" s="862"/>
      <c r="BQ107" s="862"/>
      <c r="BR107" s="862"/>
      <c r="BS107" s="862"/>
      <c r="BT107" s="862"/>
      <c r="BU107" s="862"/>
      <c r="BV107" s="862"/>
      <c r="BW107" s="862">
        <f t="shared" si="584"/>
        <v>0</v>
      </c>
      <c r="BX107" s="862"/>
      <c r="BY107" s="862"/>
      <c r="BZ107" s="862"/>
      <c r="CA107" s="73">
        <f t="shared" si="585"/>
        <v>0</v>
      </c>
      <c r="CB107" s="862"/>
      <c r="CC107" s="862"/>
      <c r="CD107" s="862"/>
      <c r="CE107" s="862"/>
      <c r="CF107" s="862"/>
      <c r="CG107" s="862"/>
      <c r="CH107" s="862"/>
      <c r="CI107" s="862"/>
      <c r="CJ107" s="862"/>
      <c r="CK107" s="862"/>
      <c r="CL107" s="862"/>
      <c r="CM107" s="862"/>
      <c r="CN107" s="73">
        <f t="shared" si="586"/>
        <v>0</v>
      </c>
    </row>
    <row r="108" spans="1:98" s="20" customFormat="1" ht="24.75" customHeight="1" x14ac:dyDescent="0.2">
      <c r="A108" s="50"/>
      <c r="B108" s="1274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236"/>
      <c r="T108" s="236"/>
      <c r="AE108" s="40"/>
      <c r="AS108" s="51"/>
      <c r="BF108" s="52">
        <f>SUM(AS107+BF107)</f>
        <v>23488640</v>
      </c>
      <c r="BG108" s="53">
        <f>AF107-AS107-BF107+AU107</f>
        <v>6481460</v>
      </c>
      <c r="BH108" s="54">
        <f>SUM(BI107+AS107+BF107-AU107)</f>
        <v>28852500</v>
      </c>
      <c r="BI108" s="55">
        <f>SUM(BG107)</f>
        <v>6481460</v>
      </c>
      <c r="BJ108" s="40" t="s">
        <v>38</v>
      </c>
      <c r="BK108" s="171"/>
      <c r="BL108" s="236">
        <v>1</v>
      </c>
      <c r="BM108" s="236">
        <v>29000</v>
      </c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</row>
    <row r="109" spans="1:98" s="20" customFormat="1" ht="24.75" customHeight="1" x14ac:dyDescent="0.2">
      <c r="A109" s="50"/>
      <c r="B109" s="1274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236"/>
      <c r="T109" s="236"/>
      <c r="AE109" s="40"/>
      <c r="AS109" s="40"/>
      <c r="AT109" s="1033">
        <f>SUM(AG107+AT107)</f>
        <v>9959040</v>
      </c>
      <c r="AU109" s="123">
        <f t="shared" ref="AU109" si="609">SUM(AH107+AU107)</f>
        <v>13529600</v>
      </c>
      <c r="AV109" s="123">
        <f t="shared" ref="AV109" si="610">SUM(AI107+AV107)</f>
        <v>0</v>
      </c>
      <c r="AW109" s="123">
        <f t="shared" ref="AW109" si="611">SUM(AJ107+AW107)</f>
        <v>0</v>
      </c>
      <c r="AX109" s="123">
        <f t="shared" ref="AX109" si="612">SUM(AK107+AX107)</f>
        <v>0</v>
      </c>
      <c r="AY109" s="123">
        <f t="shared" ref="AY109" si="613">SUM(AL107+AY107)</f>
        <v>0</v>
      </c>
      <c r="AZ109" s="123">
        <f t="shared" ref="AZ109" si="614">SUM(AM107+AZ107)</f>
        <v>0</v>
      </c>
      <c r="BA109" s="123">
        <f t="shared" ref="BA109" si="615">SUM(AN107+BA107)</f>
        <v>0</v>
      </c>
      <c r="BB109" s="123">
        <f t="shared" ref="BB109" si="616">SUM(AO107+BB107)</f>
        <v>0</v>
      </c>
      <c r="BC109" s="123">
        <f t="shared" ref="BC109" si="617">SUM(AP107+BC107)</f>
        <v>0</v>
      </c>
      <c r="BD109" s="123">
        <f t="shared" ref="BD109" si="618">SUM(AQ107+BD107)</f>
        <v>0</v>
      </c>
      <c r="BE109" s="123">
        <f t="shared" ref="BE109" si="619">SUM(AR107+BE107)</f>
        <v>0</v>
      </c>
      <c r="BF109" s="123"/>
      <c r="BG109" s="123"/>
      <c r="BH109" s="123"/>
      <c r="BI109" s="57">
        <f>SUM(BI107-BI108)</f>
        <v>342000</v>
      </c>
      <c r="BJ109" s="40" t="s">
        <v>37</v>
      </c>
      <c r="BK109" s="171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</row>
    <row r="110" spans="1:98" s="781" customFormat="1" ht="24.75" customHeight="1" x14ac:dyDescent="0.2">
      <c r="A110" s="1785" t="s">
        <v>8</v>
      </c>
      <c r="B110" s="1786"/>
      <c r="C110" s="770" t="s">
        <v>629</v>
      </c>
      <c r="D110" s="771"/>
      <c r="E110" s="771"/>
      <c r="F110" s="771"/>
      <c r="G110" s="771"/>
      <c r="H110" s="771"/>
      <c r="I110" s="771"/>
      <c r="J110" s="771"/>
      <c r="K110" s="771"/>
      <c r="L110" s="771"/>
      <c r="M110" s="771"/>
      <c r="N110" s="771"/>
      <c r="O110" s="771"/>
      <c r="P110" s="771"/>
      <c r="Q110" s="771"/>
      <c r="R110" s="771"/>
      <c r="S110" s="772"/>
      <c r="T110" s="773"/>
      <c r="U110" s="774"/>
      <c r="V110" s="774"/>
      <c r="W110" s="774"/>
      <c r="X110" s="774"/>
      <c r="Y110" s="774"/>
      <c r="Z110" s="774"/>
      <c r="AA110" s="774"/>
      <c r="AB110" s="774"/>
      <c r="AC110" s="774"/>
      <c r="AD110" s="774"/>
      <c r="AE110" s="775"/>
      <c r="AF110" s="771"/>
      <c r="AG110" s="774"/>
      <c r="AH110" s="774"/>
      <c r="AI110" s="774"/>
      <c r="AJ110" s="774"/>
      <c r="AK110" s="774"/>
      <c r="AL110" s="774"/>
      <c r="AM110" s="774"/>
      <c r="AN110" s="774"/>
      <c r="AO110" s="774"/>
      <c r="AP110" s="774"/>
      <c r="AQ110" s="774"/>
      <c r="AR110" s="774"/>
      <c r="AS110" s="776"/>
      <c r="AT110" s="774"/>
      <c r="AU110" s="774"/>
      <c r="AV110" s="774"/>
      <c r="AW110" s="774"/>
      <c r="AX110" s="774"/>
      <c r="AY110" s="774"/>
      <c r="AZ110" s="774"/>
      <c r="BA110" s="774"/>
      <c r="BB110" s="774"/>
      <c r="BC110" s="774"/>
      <c r="BD110" s="1565"/>
      <c r="BE110" s="774"/>
      <c r="BF110" s="776"/>
      <c r="BG110" s="776"/>
      <c r="BH110" s="769"/>
      <c r="BI110" s="777"/>
      <c r="BJ110" s="771"/>
      <c r="BK110" s="778"/>
      <c r="BL110" s="774"/>
      <c r="BM110" s="774"/>
      <c r="BN110" s="774"/>
      <c r="BO110" s="774"/>
      <c r="BP110" s="775"/>
      <c r="BQ110" s="774"/>
      <c r="BR110" s="774"/>
      <c r="BS110" s="774"/>
      <c r="BT110" s="774"/>
      <c r="BU110" s="774"/>
      <c r="BV110" s="776"/>
      <c r="BW110" s="776"/>
      <c r="BX110" s="776"/>
      <c r="BY110" s="769"/>
      <c r="BZ110" s="777"/>
      <c r="CA110" s="776"/>
      <c r="CB110" s="776"/>
      <c r="CC110" s="779"/>
      <c r="CD110" s="779"/>
      <c r="CE110" s="779"/>
      <c r="CF110" s="779"/>
      <c r="CG110" s="779"/>
      <c r="CH110" s="780"/>
      <c r="CI110" s="779"/>
      <c r="CJ110" s="779"/>
      <c r="CK110" s="779"/>
      <c r="CL110" s="779"/>
      <c r="CM110" s="779"/>
      <c r="CN110" s="779"/>
      <c r="CO110" s="779"/>
      <c r="CP110" s="779"/>
      <c r="CQ110" s="779"/>
      <c r="CR110" s="779"/>
      <c r="CS110" s="779"/>
      <c r="CT110" s="779"/>
    </row>
    <row r="111" spans="1:98" s="8" customFormat="1" ht="48.75" customHeight="1" x14ac:dyDescent="0.2">
      <c r="A111" s="1703" t="s">
        <v>10</v>
      </c>
      <c r="B111" s="1787" t="s">
        <v>11</v>
      </c>
      <c r="C111" s="1706" t="s">
        <v>22</v>
      </c>
      <c r="D111" s="1721" t="s">
        <v>12</v>
      </c>
      <c r="E111" s="1721"/>
      <c r="F111" s="1721"/>
      <c r="G111" s="1721"/>
      <c r="H111" s="1721"/>
      <c r="I111" s="1721"/>
      <c r="J111" s="1721"/>
      <c r="K111" s="1721"/>
      <c r="L111" s="1721"/>
      <c r="M111" s="1721"/>
      <c r="N111" s="1721"/>
      <c r="O111" s="1721"/>
      <c r="P111" s="1721"/>
      <c r="Q111" s="1721"/>
      <c r="R111" s="1706" t="s">
        <v>20</v>
      </c>
      <c r="S111" s="1717" t="s">
        <v>17</v>
      </c>
      <c r="T111" s="1718"/>
      <c r="U111" s="1718"/>
      <c r="V111" s="1718"/>
      <c r="W111" s="1718"/>
      <c r="X111" s="1718"/>
      <c r="Y111" s="1718"/>
      <c r="Z111" s="1718"/>
      <c r="AA111" s="1718"/>
      <c r="AB111" s="1718"/>
      <c r="AC111" s="1718"/>
      <c r="AD111" s="1718"/>
      <c r="AE111" s="1719"/>
      <c r="AF111" s="1720" t="s">
        <v>6</v>
      </c>
      <c r="AG111" s="1720"/>
      <c r="AH111" s="1720"/>
      <c r="AI111" s="1720"/>
      <c r="AJ111" s="1720"/>
      <c r="AK111" s="1720"/>
      <c r="AL111" s="1720"/>
      <c r="AM111" s="1720"/>
      <c r="AN111" s="1720"/>
      <c r="AO111" s="1720"/>
      <c r="AP111" s="1720"/>
      <c r="AQ111" s="1720"/>
      <c r="AR111" s="1720"/>
      <c r="AS111" s="1720"/>
      <c r="AT111" s="1722" t="s">
        <v>41</v>
      </c>
      <c r="AU111" s="1723"/>
      <c r="AV111" s="1723"/>
      <c r="AW111" s="1723"/>
      <c r="AX111" s="1723"/>
      <c r="AY111" s="1723"/>
      <c r="AZ111" s="1723"/>
      <c r="BA111" s="1723"/>
      <c r="BB111" s="1723"/>
      <c r="BC111" s="1723"/>
      <c r="BD111" s="1723"/>
      <c r="BE111" s="1723"/>
      <c r="BF111" s="1724"/>
      <c r="BG111" s="1706" t="s">
        <v>38</v>
      </c>
      <c r="BH111" s="1706" t="s">
        <v>256</v>
      </c>
      <c r="BI111" s="1709" t="s">
        <v>39</v>
      </c>
      <c r="BJ111" s="1284">
        <f>SUM(BI107+BG107+BF107+AH107)</f>
        <v>28057560</v>
      </c>
      <c r="BK111" s="135"/>
      <c r="BL111" s="135"/>
      <c r="BM111" s="135"/>
      <c r="BN111" s="135"/>
      <c r="BO111" s="1733" t="s">
        <v>41</v>
      </c>
      <c r="BP111" s="1734"/>
      <c r="BQ111" s="1734"/>
      <c r="BR111" s="1734"/>
      <c r="BS111" s="1734"/>
      <c r="BT111" s="1734"/>
      <c r="BU111" s="1734"/>
      <c r="BV111" s="1734"/>
      <c r="BW111" s="1734"/>
      <c r="BX111" s="1734"/>
      <c r="BY111" s="1734"/>
      <c r="BZ111" s="1734"/>
      <c r="CA111" s="1734"/>
      <c r="CB111" s="1734"/>
      <c r="CC111" s="1734"/>
      <c r="CD111" s="1734"/>
      <c r="CE111" s="1734"/>
      <c r="CF111" s="1734"/>
      <c r="CG111" s="1734"/>
      <c r="CH111" s="1734"/>
      <c r="CI111" s="1734"/>
      <c r="CJ111" s="1734"/>
      <c r="CK111" s="1734"/>
      <c r="CL111" s="1734"/>
      <c r="CM111" s="1734"/>
      <c r="CN111" s="1735"/>
    </row>
    <row r="112" spans="1:98" s="8" customFormat="1" ht="48.75" customHeight="1" x14ac:dyDescent="0.2">
      <c r="A112" s="1704"/>
      <c r="B112" s="1788"/>
      <c r="C112" s="1707"/>
      <c r="D112" s="1712" t="s">
        <v>18</v>
      </c>
      <c r="E112" s="1714">
        <v>2</v>
      </c>
      <c r="F112" s="1715"/>
      <c r="G112" s="1715"/>
      <c r="H112" s="1715"/>
      <c r="I112" s="1715"/>
      <c r="J112" s="1715"/>
      <c r="K112" s="1715"/>
      <c r="L112" s="1715"/>
      <c r="M112" s="1715"/>
      <c r="N112" s="1715"/>
      <c r="O112" s="1715"/>
      <c r="P112" s="1715"/>
      <c r="Q112" s="1715"/>
      <c r="R112" s="1707"/>
      <c r="S112" s="1728" t="s">
        <v>18</v>
      </c>
      <c r="T112" s="1714" t="s">
        <v>19</v>
      </c>
      <c r="U112" s="1715"/>
      <c r="V112" s="1715"/>
      <c r="W112" s="1715"/>
      <c r="X112" s="1715"/>
      <c r="Y112" s="1715"/>
      <c r="Z112" s="1715"/>
      <c r="AA112" s="1715"/>
      <c r="AB112" s="1715"/>
      <c r="AC112" s="1715"/>
      <c r="AD112" s="1715"/>
      <c r="AE112" s="1716"/>
      <c r="AF112" s="1712" t="s">
        <v>18</v>
      </c>
      <c r="AG112" s="1714" t="s">
        <v>19</v>
      </c>
      <c r="AH112" s="1715"/>
      <c r="AI112" s="1715"/>
      <c r="AJ112" s="1715"/>
      <c r="AK112" s="1715"/>
      <c r="AL112" s="1715"/>
      <c r="AM112" s="1715"/>
      <c r="AN112" s="1715"/>
      <c r="AO112" s="1715"/>
      <c r="AP112" s="1715"/>
      <c r="AQ112" s="1715"/>
      <c r="AR112" s="1715"/>
      <c r="AS112" s="1716"/>
      <c r="AT112" s="1725"/>
      <c r="AU112" s="1726"/>
      <c r="AV112" s="1726"/>
      <c r="AW112" s="1726"/>
      <c r="AX112" s="1726"/>
      <c r="AY112" s="1726"/>
      <c r="AZ112" s="1726"/>
      <c r="BA112" s="1726"/>
      <c r="BB112" s="1726"/>
      <c r="BC112" s="1726"/>
      <c r="BD112" s="1726"/>
      <c r="BE112" s="1726"/>
      <c r="BF112" s="1727"/>
      <c r="BG112" s="1707"/>
      <c r="BH112" s="1707"/>
      <c r="BI112" s="1710"/>
      <c r="BJ112" s="1284">
        <f>SUM(BH107-BJ111)</f>
        <v>794940</v>
      </c>
      <c r="BK112" s="1736">
        <f>SUM(BK114/60)</f>
        <v>0</v>
      </c>
      <c r="BL112" s="1736"/>
      <c r="BM112" s="1736"/>
      <c r="BN112" s="23"/>
      <c r="BO112" s="1737" t="s">
        <v>686</v>
      </c>
      <c r="BP112" s="1738"/>
      <c r="BQ112" s="1738"/>
      <c r="BR112" s="1738"/>
      <c r="BS112" s="1738"/>
      <c r="BT112" s="1738"/>
      <c r="BU112" s="1738"/>
      <c r="BV112" s="1738"/>
      <c r="BW112" s="1738"/>
      <c r="BX112" s="1738"/>
      <c r="BY112" s="1738"/>
      <c r="BZ112" s="1738"/>
      <c r="CA112" s="1739"/>
      <c r="CB112" s="1740" t="s">
        <v>687</v>
      </c>
      <c r="CC112" s="1741"/>
      <c r="CD112" s="1741"/>
      <c r="CE112" s="1741"/>
      <c r="CF112" s="1741"/>
      <c r="CG112" s="1741"/>
      <c r="CH112" s="1741"/>
      <c r="CI112" s="1741"/>
      <c r="CJ112" s="1741"/>
      <c r="CK112" s="1741"/>
      <c r="CL112" s="1741"/>
      <c r="CM112" s="1741"/>
      <c r="CN112" s="1742"/>
    </row>
    <row r="113" spans="1:92" s="6" customFormat="1" ht="28.5" customHeight="1" x14ac:dyDescent="0.2">
      <c r="A113" s="1704"/>
      <c r="B113" s="1788"/>
      <c r="C113" s="1707"/>
      <c r="D113" s="1784"/>
      <c r="E113" s="26">
        <v>1</v>
      </c>
      <c r="F113" s="26">
        <v>2</v>
      </c>
      <c r="G113" s="26">
        <v>3</v>
      </c>
      <c r="H113" s="26">
        <v>4</v>
      </c>
      <c r="I113" s="26">
        <v>5</v>
      </c>
      <c r="J113" s="26">
        <v>6</v>
      </c>
      <c r="K113" s="26">
        <v>7</v>
      </c>
      <c r="L113" s="26">
        <v>8</v>
      </c>
      <c r="M113" s="26">
        <v>9</v>
      </c>
      <c r="N113" s="26">
        <v>10</v>
      </c>
      <c r="O113" s="26">
        <v>11</v>
      </c>
      <c r="P113" s="26">
        <v>12</v>
      </c>
      <c r="Q113" s="26" t="s">
        <v>21</v>
      </c>
      <c r="R113" s="1707"/>
      <c r="S113" s="1732"/>
      <c r="T113" s="26">
        <v>1</v>
      </c>
      <c r="U113" s="26">
        <v>2</v>
      </c>
      <c r="V113" s="26">
        <v>3</v>
      </c>
      <c r="W113" s="26">
        <v>4</v>
      </c>
      <c r="X113" s="26">
        <v>5</v>
      </c>
      <c r="Y113" s="26">
        <v>6</v>
      </c>
      <c r="Z113" s="26">
        <v>7</v>
      </c>
      <c r="AA113" s="26">
        <v>8</v>
      </c>
      <c r="AB113" s="26">
        <v>9</v>
      </c>
      <c r="AC113" s="26">
        <v>10</v>
      </c>
      <c r="AD113" s="26">
        <v>11</v>
      </c>
      <c r="AE113" s="26">
        <v>12</v>
      </c>
      <c r="AF113" s="1784"/>
      <c r="AG113" s="26">
        <v>1</v>
      </c>
      <c r="AH113" s="26">
        <v>2</v>
      </c>
      <c r="AI113" s="26">
        <v>3</v>
      </c>
      <c r="AJ113" s="26">
        <v>4</v>
      </c>
      <c r="AK113" s="26">
        <v>5</v>
      </c>
      <c r="AL113" s="26">
        <v>6</v>
      </c>
      <c r="AM113" s="26">
        <v>7</v>
      </c>
      <c r="AN113" s="26">
        <v>8</v>
      </c>
      <c r="AO113" s="26">
        <v>9</v>
      </c>
      <c r="AP113" s="26">
        <v>10</v>
      </c>
      <c r="AQ113" s="26">
        <v>11</v>
      </c>
      <c r="AR113" s="26">
        <v>12</v>
      </c>
      <c r="AS113" s="26" t="s">
        <v>13</v>
      </c>
      <c r="AT113" s="173">
        <v>1</v>
      </c>
      <c r="AU113" s="173">
        <v>2</v>
      </c>
      <c r="AV113" s="173">
        <v>3</v>
      </c>
      <c r="AW113" s="173">
        <v>4</v>
      </c>
      <c r="AX113" s="173">
        <v>5</v>
      </c>
      <c r="AY113" s="173">
        <v>6</v>
      </c>
      <c r="AZ113" s="173">
        <v>7</v>
      </c>
      <c r="BA113" s="173">
        <v>8</v>
      </c>
      <c r="BB113" s="173">
        <v>9</v>
      </c>
      <c r="BC113" s="173">
        <v>10</v>
      </c>
      <c r="BD113" s="173">
        <v>11</v>
      </c>
      <c r="BE113" s="173">
        <v>12</v>
      </c>
      <c r="BF113" s="26" t="s">
        <v>13</v>
      </c>
      <c r="BG113" s="1707"/>
      <c r="BH113" s="1707"/>
      <c r="BI113" s="1711"/>
      <c r="BJ113" s="7"/>
      <c r="BK113" s="1743" t="s">
        <v>19</v>
      </c>
      <c r="BL113" s="1744"/>
      <c r="BM113" s="1745"/>
      <c r="BN113" s="621"/>
      <c r="BO113" s="173">
        <v>1</v>
      </c>
      <c r="BP113" s="173">
        <v>2</v>
      </c>
      <c r="BQ113" s="173">
        <v>3</v>
      </c>
      <c r="BR113" s="173">
        <v>4</v>
      </c>
      <c r="BS113" s="173">
        <v>5</v>
      </c>
      <c r="BT113" s="173">
        <v>6</v>
      </c>
      <c r="BU113" s="173">
        <v>7</v>
      </c>
      <c r="BV113" s="173">
        <v>8</v>
      </c>
      <c r="BW113" s="173">
        <v>9</v>
      </c>
      <c r="BX113" s="173">
        <v>10</v>
      </c>
      <c r="BY113" s="173">
        <v>11</v>
      </c>
      <c r="BZ113" s="173">
        <v>12</v>
      </c>
      <c r="CA113" s="26" t="s">
        <v>13</v>
      </c>
      <c r="CB113" s="173">
        <v>1</v>
      </c>
      <c r="CC113" s="173">
        <v>2</v>
      </c>
      <c r="CD113" s="173">
        <v>3</v>
      </c>
      <c r="CE113" s="173">
        <v>4</v>
      </c>
      <c r="CF113" s="173">
        <v>5</v>
      </c>
      <c r="CG113" s="173">
        <v>6</v>
      </c>
      <c r="CH113" s="173">
        <v>7</v>
      </c>
      <c r="CI113" s="173">
        <v>8</v>
      </c>
      <c r="CJ113" s="173">
        <v>9</v>
      </c>
      <c r="CK113" s="173">
        <v>10</v>
      </c>
      <c r="CL113" s="173">
        <v>11</v>
      </c>
      <c r="CM113" s="173">
        <v>12</v>
      </c>
      <c r="CN113" s="26" t="s">
        <v>13</v>
      </c>
    </row>
    <row r="114" spans="1:92" s="37" customFormat="1" ht="20.25" customHeight="1" thickBot="1" x14ac:dyDescent="0.25">
      <c r="A114" s="28"/>
      <c r="B114" s="1391" t="s">
        <v>630</v>
      </c>
      <c r="C114" s="29" t="s">
        <v>24</v>
      </c>
      <c r="D114" s="1064">
        <v>1000</v>
      </c>
      <c r="E114" s="1065">
        <v>1000</v>
      </c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1">
        <f>SUM(E114:P114)</f>
        <v>1000</v>
      </c>
      <c r="R114" s="759" t="s">
        <v>631</v>
      </c>
      <c r="S114" s="1038">
        <v>20000</v>
      </c>
      <c r="T114" s="763">
        <v>17000</v>
      </c>
      <c r="U114" s="861"/>
      <c r="V114" s="861"/>
      <c r="W114" s="861"/>
      <c r="X114" s="861"/>
      <c r="Y114" s="861"/>
      <c r="Z114" s="861"/>
      <c r="AA114" s="861"/>
      <c r="AB114" s="861"/>
      <c r="AC114" s="861"/>
      <c r="AD114" s="861"/>
      <c r="AE114" s="861"/>
      <c r="AF114" s="629">
        <f t="shared" ref="AF114" si="620">SUM(Q114*S114)</f>
        <v>20000000</v>
      </c>
      <c r="AG114" s="862">
        <f t="shared" ref="AG114" si="621">T114*E114</f>
        <v>17000000</v>
      </c>
      <c r="AH114" s="862">
        <f t="shared" ref="AH114" si="622">U114*F114</f>
        <v>0</v>
      </c>
      <c r="AI114" s="862">
        <f t="shared" ref="AI114" si="623">V114*G114</f>
        <v>0</v>
      </c>
      <c r="AJ114" s="862">
        <f t="shared" ref="AJ114" si="624">W114*H114</f>
        <v>0</v>
      </c>
      <c r="AK114" s="862">
        <f t="shared" ref="AK114" si="625">X114*I114</f>
        <v>0</v>
      </c>
      <c r="AL114" s="862">
        <f t="shared" ref="AL114" si="626">Y114*J114</f>
        <v>0</v>
      </c>
      <c r="AM114" s="862">
        <f t="shared" ref="AM114" si="627">Z114*K114</f>
        <v>0</v>
      </c>
      <c r="AN114" s="862">
        <f t="shared" ref="AN114" si="628">AA114*L114</f>
        <v>0</v>
      </c>
      <c r="AO114" s="862">
        <f t="shared" ref="AO114" si="629">AB114*M114</f>
        <v>0</v>
      </c>
      <c r="AP114" s="862">
        <f t="shared" ref="AP114" si="630">AC114*N114</f>
        <v>0</v>
      </c>
      <c r="AQ114" s="862">
        <f t="shared" ref="AQ114" si="631">AD114*O114</f>
        <v>0</v>
      </c>
      <c r="AR114" s="862">
        <f t="shared" ref="AR114" si="632">AE114*P114</f>
        <v>0</v>
      </c>
      <c r="AS114" s="863">
        <f t="shared" ref="AS114" si="633">SUM(AG114:AR114)</f>
        <v>17000000</v>
      </c>
      <c r="AT114" s="862">
        <f t="shared" ref="AT114" si="634">SUM(AG114*14%)</f>
        <v>2380000</v>
      </c>
      <c r="AU114" s="862">
        <f t="shared" ref="AU114" si="635">SUM(AH114*14%)</f>
        <v>0</v>
      </c>
      <c r="AV114" s="862">
        <f t="shared" ref="AV114" si="636">SUM(AI114*14%)</f>
        <v>0</v>
      </c>
      <c r="AW114" s="862">
        <f t="shared" ref="AW114" si="637">SUM(AJ114*14%)</f>
        <v>0</v>
      </c>
      <c r="AX114" s="862">
        <f t="shared" ref="AX114" si="638">SUM(AK114*14%)</f>
        <v>0</v>
      </c>
      <c r="AY114" s="862">
        <f t="shared" ref="AY114" si="639">SUM(AL114*14%)</f>
        <v>0</v>
      </c>
      <c r="AZ114" s="862">
        <f t="shared" ref="AZ114" si="640">SUM(AM114*14%)</f>
        <v>0</v>
      </c>
      <c r="BA114" s="862">
        <f t="shared" ref="BA114" si="641">SUM(AN114*14%)</f>
        <v>0</v>
      </c>
      <c r="BB114" s="862">
        <f t="shared" ref="BB114" si="642">SUM(AO114*14%)</f>
        <v>0</v>
      </c>
      <c r="BC114" s="862">
        <f t="shared" ref="BC114" si="643">SUM(AP114*14%)</f>
        <v>0</v>
      </c>
      <c r="BD114" s="862">
        <f t="shared" ref="BD114" si="644">SUM(AQ114*14%)</f>
        <v>0</v>
      </c>
      <c r="BE114" s="862">
        <f t="shared" ref="BE114" si="645">SUM(AR114*14%)</f>
        <v>0</v>
      </c>
      <c r="BF114" s="863">
        <f>SUM(AT114:BE114)</f>
        <v>2380000</v>
      </c>
      <c r="BG114" s="698">
        <f t="shared" ref="BG114" si="646">AF114-AS114-BF114</f>
        <v>620000</v>
      </c>
      <c r="BH114" s="687">
        <f>S114*D114</f>
        <v>20000000</v>
      </c>
      <c r="BI114" s="688">
        <f t="shared" ref="BI114" si="647">BH114-AS114-BF114</f>
        <v>620000</v>
      </c>
      <c r="BJ114" s="630">
        <f>SUM(Q114/D114)</f>
        <v>1</v>
      </c>
      <c r="BK114" s="1081"/>
      <c r="BL114" s="1081"/>
      <c r="BM114" s="1083"/>
      <c r="BN114" s="1084"/>
      <c r="BO114" s="862"/>
      <c r="BP114" s="862"/>
      <c r="BQ114" s="862"/>
      <c r="BR114" s="862"/>
      <c r="BS114" s="862"/>
      <c r="BT114" s="862"/>
      <c r="BU114" s="862"/>
      <c r="BV114" s="862"/>
      <c r="BW114" s="1081">
        <f t="shared" ref="BW114:BW115" si="648">SUM(AN114*12.5%)</f>
        <v>0</v>
      </c>
      <c r="BX114" s="862"/>
      <c r="BY114" s="862"/>
      <c r="BZ114" s="862"/>
      <c r="CA114" s="73">
        <f t="shared" ref="CA114" si="649">SUM(BO114:BZ114)</f>
        <v>0</v>
      </c>
      <c r="CB114" s="862"/>
      <c r="CC114" s="862"/>
      <c r="CD114" s="862"/>
      <c r="CE114" s="862"/>
      <c r="CF114" s="862"/>
      <c r="CG114" s="862"/>
      <c r="CH114" s="862"/>
      <c r="CI114" s="862"/>
      <c r="CJ114" s="1081"/>
      <c r="CK114" s="862"/>
      <c r="CL114" s="862"/>
      <c r="CM114" s="862"/>
      <c r="CN114" s="73">
        <f t="shared" ref="CN114:CN115" si="650">SUM(CB114:CM114)</f>
        <v>0</v>
      </c>
    </row>
    <row r="115" spans="1:92" s="38" customFormat="1" ht="24.75" customHeight="1" thickBot="1" x14ac:dyDescent="0.25">
      <c r="A115" s="577">
        <v>7</v>
      </c>
      <c r="B115" s="1386" t="s">
        <v>4</v>
      </c>
      <c r="C115" s="44"/>
      <c r="D115" s="97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7"/>
      <c r="R115" s="77"/>
      <c r="S115" s="234"/>
      <c r="T115" s="235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3">
        <f t="shared" ref="AF115:BF115" si="651">SUM(AF114:AF114)</f>
        <v>20000000</v>
      </c>
      <c r="AG115" s="1590">
        <f t="shared" si="651"/>
        <v>17000000</v>
      </c>
      <c r="AH115" s="103">
        <f t="shared" si="651"/>
        <v>0</v>
      </c>
      <c r="AI115" s="103">
        <f t="shared" si="651"/>
        <v>0</v>
      </c>
      <c r="AJ115" s="103">
        <f t="shared" si="651"/>
        <v>0</v>
      </c>
      <c r="AK115" s="103">
        <f t="shared" si="651"/>
        <v>0</v>
      </c>
      <c r="AL115" s="103">
        <f t="shared" si="651"/>
        <v>0</v>
      </c>
      <c r="AM115" s="103">
        <f t="shared" si="651"/>
        <v>0</v>
      </c>
      <c r="AN115" s="103">
        <f t="shared" si="651"/>
        <v>0</v>
      </c>
      <c r="AO115" s="103">
        <f t="shared" si="651"/>
        <v>0</v>
      </c>
      <c r="AP115" s="103">
        <f t="shared" si="651"/>
        <v>0</v>
      </c>
      <c r="AQ115" s="103">
        <f t="shared" si="651"/>
        <v>0</v>
      </c>
      <c r="AR115" s="103">
        <f t="shared" si="651"/>
        <v>0</v>
      </c>
      <c r="AS115" s="103">
        <f t="shared" si="651"/>
        <v>17000000</v>
      </c>
      <c r="AT115" s="103">
        <f t="shared" si="651"/>
        <v>2380000</v>
      </c>
      <c r="AU115" s="103">
        <f t="shared" si="651"/>
        <v>0</v>
      </c>
      <c r="AV115" s="103">
        <f t="shared" si="651"/>
        <v>0</v>
      </c>
      <c r="AW115" s="103">
        <f t="shared" si="651"/>
        <v>0</v>
      </c>
      <c r="AX115" s="103">
        <f t="shared" si="651"/>
        <v>0</v>
      </c>
      <c r="AY115" s="103">
        <f t="shared" si="651"/>
        <v>0</v>
      </c>
      <c r="AZ115" s="103">
        <f t="shared" si="651"/>
        <v>0</v>
      </c>
      <c r="BA115" s="103">
        <f t="shared" si="651"/>
        <v>0</v>
      </c>
      <c r="BB115" s="103">
        <f t="shared" si="651"/>
        <v>0</v>
      </c>
      <c r="BC115" s="103">
        <f t="shared" si="651"/>
        <v>0</v>
      </c>
      <c r="BD115" s="103">
        <f t="shared" si="651"/>
        <v>0</v>
      </c>
      <c r="BE115" s="103">
        <f t="shared" si="651"/>
        <v>0</v>
      </c>
      <c r="BF115" s="103">
        <f t="shared" si="651"/>
        <v>2380000</v>
      </c>
      <c r="BG115" s="104">
        <f t="shared" ref="BG115" si="652">AF115-AS115-BF115</f>
        <v>620000</v>
      </c>
      <c r="BH115" s="103">
        <f>SUM(BH114:BH114)</f>
        <v>20000000</v>
      </c>
      <c r="BI115" s="103">
        <f>SUM(BI114:BI114)</f>
        <v>620000</v>
      </c>
      <c r="BJ115" s="164">
        <f>SUM(BJ114)</f>
        <v>1</v>
      </c>
      <c r="BK115" s="1081"/>
      <c r="BL115" s="1081"/>
      <c r="BM115" s="1083"/>
      <c r="BN115" s="1084"/>
      <c r="BO115" s="862"/>
      <c r="BP115" s="862"/>
      <c r="BQ115" s="862"/>
      <c r="BR115" s="862"/>
      <c r="BS115" s="862"/>
      <c r="BT115" s="862"/>
      <c r="BU115" s="862"/>
      <c r="BV115" s="862"/>
      <c r="BW115" s="1081">
        <f t="shared" si="648"/>
        <v>0</v>
      </c>
      <c r="BX115" s="862"/>
      <c r="BY115" s="862"/>
      <c r="BZ115" s="862"/>
      <c r="CA115" s="73">
        <f t="shared" ref="CA115" si="653">SUM(BO115:BZ115)</f>
        <v>0</v>
      </c>
      <c r="CB115" s="862"/>
      <c r="CC115" s="862"/>
      <c r="CD115" s="862"/>
      <c r="CE115" s="862"/>
      <c r="CF115" s="862"/>
      <c r="CG115" s="862"/>
      <c r="CH115" s="862"/>
      <c r="CI115" s="862"/>
      <c r="CJ115" s="1081"/>
      <c r="CK115" s="862"/>
      <c r="CL115" s="862"/>
      <c r="CM115" s="862"/>
      <c r="CN115" s="73">
        <f t="shared" si="650"/>
        <v>0</v>
      </c>
    </row>
    <row r="116" spans="1:92" s="20" customFormat="1" ht="24.75" customHeight="1" x14ac:dyDescent="0.2">
      <c r="A116" s="50"/>
      <c r="B116" s="1274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236"/>
      <c r="T116" s="236"/>
      <c r="AE116" s="40"/>
      <c r="AS116" s="51"/>
      <c r="BF116" s="52">
        <f>SUM(AS115+BF115)</f>
        <v>19380000</v>
      </c>
      <c r="BG116" s="53">
        <f>AF115-AS115-BF115</f>
        <v>620000</v>
      </c>
      <c r="BH116" s="54">
        <f>SUM(BI115+AS115+BF115)</f>
        <v>20000000</v>
      </c>
      <c r="BI116" s="55">
        <f>SUM(BG115)</f>
        <v>620000</v>
      </c>
      <c r="BJ116" s="40" t="s">
        <v>38</v>
      </c>
      <c r="BK116" s="171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</row>
    <row r="117" spans="1:92" s="20" customFormat="1" ht="24.75" customHeight="1" x14ac:dyDescent="0.2">
      <c r="A117" s="50"/>
      <c r="B117" s="1274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236"/>
      <c r="T117" s="236"/>
      <c r="AE117" s="40"/>
      <c r="AS117" s="40"/>
      <c r="AT117" s="972">
        <f>SUM(AG115+AT115)</f>
        <v>19380000</v>
      </c>
      <c r="AU117" s="123">
        <f t="shared" ref="AU117" si="654">SUM(AH115+AU115)</f>
        <v>0</v>
      </c>
      <c r="AV117" s="123">
        <f t="shared" ref="AV117" si="655">SUM(AI115+AV115)</f>
        <v>0</v>
      </c>
      <c r="AW117" s="123">
        <f t="shared" ref="AW117" si="656">SUM(AJ115+AW115)</f>
        <v>0</v>
      </c>
      <c r="AX117" s="123">
        <f t="shared" ref="AX117" si="657">SUM(AK115+AX115)</f>
        <v>0</v>
      </c>
      <c r="AY117" s="123">
        <f t="shared" ref="AY117" si="658">SUM(AL115+AY115)</f>
        <v>0</v>
      </c>
      <c r="AZ117" s="123">
        <f t="shared" ref="AZ117" si="659">SUM(AM115+AZ115)</f>
        <v>0</v>
      </c>
      <c r="BA117" s="123">
        <f t="shared" ref="BA117" si="660">SUM(AN115+BA115)</f>
        <v>0</v>
      </c>
      <c r="BB117" s="123">
        <f t="shared" ref="BB117" si="661">SUM(AO115+BB115)</f>
        <v>0</v>
      </c>
      <c r="BC117" s="123">
        <f t="shared" ref="BC117" si="662">SUM(AP115+BC115)</f>
        <v>0</v>
      </c>
      <c r="BD117" s="123">
        <f t="shared" ref="BD117" si="663">SUM(AQ115+BD115)</f>
        <v>0</v>
      </c>
      <c r="BE117" s="123">
        <f t="shared" ref="BE117" si="664">SUM(AR115+BE115)</f>
        <v>0</v>
      </c>
      <c r="BF117" s="123">
        <f>SUM(AT117:BE117)</f>
        <v>19380000</v>
      </c>
      <c r="BG117" s="40"/>
      <c r="BH117" s="56"/>
      <c r="BI117" s="57">
        <f>SUM(BI115-BI116)</f>
        <v>0</v>
      </c>
      <c r="BJ117" s="40" t="s">
        <v>37</v>
      </c>
      <c r="BK117" s="171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</row>
  </sheetData>
  <mergeCells count="161">
    <mergeCell ref="BK97:BM97"/>
    <mergeCell ref="BO111:CN111"/>
    <mergeCell ref="BK112:BM112"/>
    <mergeCell ref="BO112:CA112"/>
    <mergeCell ref="CB112:CN112"/>
    <mergeCell ref="BK113:BM113"/>
    <mergeCell ref="BK45:BM45"/>
    <mergeCell ref="BO70:CN70"/>
    <mergeCell ref="BK71:BM71"/>
    <mergeCell ref="BO71:CA71"/>
    <mergeCell ref="CB71:CN71"/>
    <mergeCell ref="BK72:BM72"/>
    <mergeCell ref="BO95:CN95"/>
    <mergeCell ref="BK96:BM96"/>
    <mergeCell ref="BO96:CA96"/>
    <mergeCell ref="CB96:CN96"/>
    <mergeCell ref="BK22:BM22"/>
    <mergeCell ref="BO28:CN28"/>
    <mergeCell ref="BK29:BM29"/>
    <mergeCell ref="BO29:CA29"/>
    <mergeCell ref="CB29:CN29"/>
    <mergeCell ref="BK30:BM30"/>
    <mergeCell ref="BO43:CN43"/>
    <mergeCell ref="BK44:BM44"/>
    <mergeCell ref="BO44:CA44"/>
    <mergeCell ref="CB44:CN44"/>
    <mergeCell ref="BO2:CN2"/>
    <mergeCell ref="BK3:BM3"/>
    <mergeCell ref="BO3:CA3"/>
    <mergeCell ref="CB3:CN3"/>
    <mergeCell ref="BK4:BM4"/>
    <mergeCell ref="BO20:CN20"/>
    <mergeCell ref="BK21:BM21"/>
    <mergeCell ref="BO21:CA21"/>
    <mergeCell ref="CB21:CN21"/>
    <mergeCell ref="B28:B30"/>
    <mergeCell ref="C28:C30"/>
    <mergeCell ref="BI2:BI4"/>
    <mergeCell ref="S3:S4"/>
    <mergeCell ref="T3:AE3"/>
    <mergeCell ref="S2:AE2"/>
    <mergeCell ref="A42:B42"/>
    <mergeCell ref="A43:A45"/>
    <mergeCell ref="B43:B45"/>
    <mergeCell ref="C43:C45"/>
    <mergeCell ref="D43:Q43"/>
    <mergeCell ref="AT28:BF29"/>
    <mergeCell ref="BH43:BH45"/>
    <mergeCell ref="BI43:BI45"/>
    <mergeCell ref="D44:D45"/>
    <mergeCell ref="E44:Q44"/>
    <mergeCell ref="S44:S45"/>
    <mergeCell ref="T44:AE44"/>
    <mergeCell ref="AF44:AF45"/>
    <mergeCell ref="AG44:AS44"/>
    <mergeCell ref="R43:R45"/>
    <mergeCell ref="S43:AE43"/>
    <mergeCell ref="AF43:AS43"/>
    <mergeCell ref="AT43:BF44"/>
    <mergeCell ref="BG43:BG45"/>
    <mergeCell ref="A28:A30"/>
    <mergeCell ref="BH20:BH22"/>
    <mergeCell ref="S21:S22"/>
    <mergeCell ref="BG2:BG4"/>
    <mergeCell ref="D29:D30"/>
    <mergeCell ref="E29:Q29"/>
    <mergeCell ref="S29:S30"/>
    <mergeCell ref="T29:AE29"/>
    <mergeCell ref="AF29:AF30"/>
    <mergeCell ref="AG29:AS29"/>
    <mergeCell ref="R28:R30"/>
    <mergeCell ref="S28:AE28"/>
    <mergeCell ref="AF28:AS28"/>
    <mergeCell ref="D28:Q28"/>
    <mergeCell ref="R2:R4"/>
    <mergeCell ref="R20:R22"/>
    <mergeCell ref="BH2:BH4"/>
    <mergeCell ref="A19:B19"/>
    <mergeCell ref="D3:D4"/>
    <mergeCell ref="E3:Q3"/>
    <mergeCell ref="A27:B27"/>
    <mergeCell ref="C20:C22"/>
    <mergeCell ref="D20:Q20"/>
    <mergeCell ref="A1:B1"/>
    <mergeCell ref="A2:A4"/>
    <mergeCell ref="B2:B4"/>
    <mergeCell ref="C2:C4"/>
    <mergeCell ref="D2:Q2"/>
    <mergeCell ref="D21:D22"/>
    <mergeCell ref="E21:Q21"/>
    <mergeCell ref="A20:A22"/>
    <mergeCell ref="B20:B22"/>
    <mergeCell ref="BH70:BH72"/>
    <mergeCell ref="BI70:BI72"/>
    <mergeCell ref="D71:D72"/>
    <mergeCell ref="E71:Q71"/>
    <mergeCell ref="S71:S72"/>
    <mergeCell ref="T71:AE71"/>
    <mergeCell ref="AF71:AF72"/>
    <mergeCell ref="AG71:AS71"/>
    <mergeCell ref="AF2:AS2"/>
    <mergeCell ref="AT2:BF3"/>
    <mergeCell ref="AG3:AS3"/>
    <mergeCell ref="AF3:AF4"/>
    <mergeCell ref="BG20:BG22"/>
    <mergeCell ref="T21:AE21"/>
    <mergeCell ref="AF21:AF22"/>
    <mergeCell ref="AG21:AS21"/>
    <mergeCell ref="AT20:BF21"/>
    <mergeCell ref="S20:AE20"/>
    <mergeCell ref="AF20:AS20"/>
    <mergeCell ref="BG70:BG72"/>
    <mergeCell ref="BI20:BI22"/>
    <mergeCell ref="BG28:BG30"/>
    <mergeCell ref="BH28:BH30"/>
    <mergeCell ref="BI28:BI30"/>
    <mergeCell ref="A69:B69"/>
    <mergeCell ref="A70:A72"/>
    <mergeCell ref="B70:B72"/>
    <mergeCell ref="C70:C72"/>
    <mergeCell ref="D70:Q70"/>
    <mergeCell ref="R70:R72"/>
    <mergeCell ref="S70:AE70"/>
    <mergeCell ref="AF70:AS70"/>
    <mergeCell ref="AT70:BF71"/>
    <mergeCell ref="BH95:BH97"/>
    <mergeCell ref="BI95:BI97"/>
    <mergeCell ref="D96:D97"/>
    <mergeCell ref="E96:Q96"/>
    <mergeCell ref="S96:S97"/>
    <mergeCell ref="T96:AE96"/>
    <mergeCell ref="AF96:AF97"/>
    <mergeCell ref="AG96:AS96"/>
    <mergeCell ref="A94:B94"/>
    <mergeCell ref="A95:A97"/>
    <mergeCell ref="B95:B97"/>
    <mergeCell ref="C95:C97"/>
    <mergeCell ref="D95:Q95"/>
    <mergeCell ref="R95:R97"/>
    <mergeCell ref="S95:AE95"/>
    <mergeCell ref="AF95:AS95"/>
    <mergeCell ref="AT95:BF96"/>
    <mergeCell ref="BG95:BG97"/>
    <mergeCell ref="A110:B110"/>
    <mergeCell ref="A111:A113"/>
    <mergeCell ref="B111:B113"/>
    <mergeCell ref="C111:C113"/>
    <mergeCell ref="D111:Q111"/>
    <mergeCell ref="R111:R113"/>
    <mergeCell ref="S111:AE111"/>
    <mergeCell ref="AF111:AS111"/>
    <mergeCell ref="AT111:BF112"/>
    <mergeCell ref="BG111:BG113"/>
    <mergeCell ref="BH111:BH113"/>
    <mergeCell ref="BI111:BI113"/>
    <mergeCell ref="D112:D113"/>
    <mergeCell ref="E112:Q112"/>
    <mergeCell ref="S112:S113"/>
    <mergeCell ref="T112:AE112"/>
    <mergeCell ref="AF112:AF113"/>
    <mergeCell ref="AG112:AS112"/>
  </mergeCells>
  <phoneticPr fontId="92" type="noConversion"/>
  <pageMargins left="0.70866141732283472" right="0.70866141732283472" top="0.74803149606299213" bottom="1.5354330708661419" header="0.31496062992125984" footer="0.31496062992125984"/>
  <pageSetup paperSize="5" scale="7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CT321"/>
  <sheetViews>
    <sheetView topLeftCell="A191" zoomScale="78" zoomScaleNormal="78" workbookViewId="0">
      <selection activeCell="AT121" sqref="AT121"/>
    </sheetView>
  </sheetViews>
  <sheetFormatPr defaultRowHeight="15" x14ac:dyDescent="0.2"/>
  <cols>
    <col min="1" max="1" width="7.5" style="10" customWidth="1"/>
    <col min="2" max="2" width="88.1640625" style="9" customWidth="1"/>
    <col min="3" max="3" width="7.6640625" style="10" customWidth="1"/>
    <col min="4" max="4" width="18" style="9" customWidth="1"/>
    <col min="5" max="16" width="11.6640625" style="4" customWidth="1"/>
    <col min="17" max="17" width="11.6640625" style="15" customWidth="1"/>
    <col min="18" max="18" width="14.33203125" style="167" customWidth="1"/>
    <col min="19" max="19" width="21.83203125" style="9" customWidth="1"/>
    <col min="20" max="20" width="16.1640625" customWidth="1"/>
    <col min="21" max="21" width="16.5" customWidth="1"/>
    <col min="22" max="22" width="15.83203125" customWidth="1"/>
    <col min="23" max="23" width="15.1640625" customWidth="1"/>
    <col min="24" max="24" width="14.83203125" customWidth="1"/>
    <col min="25" max="30" width="11.6640625" customWidth="1"/>
    <col min="31" max="31" width="11.6640625" style="2" customWidth="1"/>
    <col min="32" max="32" width="20.5" style="11" customWidth="1"/>
    <col min="33" max="44" width="17.5" customWidth="1"/>
    <col min="45" max="45" width="17.5" style="13" customWidth="1"/>
    <col min="46" max="46" width="18.6640625" customWidth="1"/>
    <col min="47" max="57" width="17.5" customWidth="1"/>
    <col min="58" max="58" width="18.6640625" style="13" customWidth="1"/>
    <col min="59" max="59" width="17.5" style="13" customWidth="1"/>
    <col min="60" max="61" width="17.5" style="14" customWidth="1"/>
    <col min="62" max="62" width="16.1640625" style="1" bestFit="1" customWidth="1"/>
    <col min="63" max="63" width="14.1640625" style="172" customWidth="1"/>
    <col min="64" max="64" width="22.1640625" style="3" customWidth="1"/>
    <col min="65" max="65" width="18" style="3" customWidth="1"/>
    <col min="66" max="66" width="16.33203125" style="3" customWidth="1"/>
    <col min="67" max="67" width="14.1640625" style="3" customWidth="1"/>
    <col min="68" max="68" width="11.1640625" style="3" customWidth="1"/>
    <col min="69" max="69" width="15.5" style="3" customWidth="1"/>
    <col min="70" max="70" width="15" style="3" customWidth="1"/>
    <col min="71" max="71" width="10.83203125" style="3" customWidth="1"/>
    <col min="72" max="73" width="9.33203125" style="3"/>
    <col min="74" max="74" width="16.33203125" style="3" customWidth="1"/>
    <col min="75" max="75" width="12.83203125" style="3" customWidth="1"/>
    <col min="76" max="78" width="9.33203125" style="3"/>
    <col min="79" max="79" width="15.33203125" style="3" customWidth="1"/>
    <col min="80" max="80" width="9.33203125" style="3"/>
    <col min="81" max="81" width="14.1640625" customWidth="1"/>
    <col min="82" max="82" width="18.1640625" customWidth="1"/>
    <col min="83" max="83" width="15.5" customWidth="1"/>
    <col min="84" max="84" width="12.1640625" customWidth="1"/>
    <col min="87" max="87" width="19.1640625" customWidth="1"/>
    <col min="92" max="92" width="16.1640625" customWidth="1"/>
  </cols>
  <sheetData>
    <row r="1" spans="1:98" s="6" customFormat="1" ht="15.75" x14ac:dyDescent="0.2">
      <c r="A1" s="58"/>
      <c r="C1" s="5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50"/>
      <c r="R1" s="8"/>
      <c r="AE1" s="66"/>
      <c r="AF1" s="62"/>
      <c r="AS1" s="67"/>
      <c r="BF1" s="67"/>
      <c r="BG1" s="67"/>
      <c r="BH1" s="185"/>
      <c r="BI1" s="185"/>
      <c r="BJ1" s="58"/>
      <c r="BK1" s="170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</row>
    <row r="2" spans="1:98" s="20" customFormat="1" ht="16.5" customHeight="1" x14ac:dyDescent="0.2">
      <c r="A2" s="1730" t="s">
        <v>8</v>
      </c>
      <c r="B2" s="1731"/>
      <c r="C2" s="124" t="s">
        <v>208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7"/>
      <c r="AF2" s="23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8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8"/>
      <c r="BG2" s="138"/>
      <c r="BH2" s="135"/>
      <c r="BI2" s="139"/>
      <c r="BJ2" s="23"/>
      <c r="BK2" s="169"/>
      <c r="BL2" s="136"/>
      <c r="BM2" s="136"/>
      <c r="BN2" s="136"/>
      <c r="BO2" s="136"/>
      <c r="BP2" s="137"/>
      <c r="BQ2" s="136"/>
      <c r="BR2" s="136"/>
      <c r="BS2" s="136"/>
      <c r="BT2" s="136"/>
      <c r="BU2" s="136"/>
      <c r="BV2" s="138"/>
      <c r="BW2" s="138"/>
      <c r="BX2" s="138"/>
      <c r="BY2" s="135"/>
      <c r="BZ2" s="139"/>
      <c r="CA2" s="138"/>
      <c r="CB2" s="138"/>
      <c r="CC2" s="24"/>
      <c r="CD2" s="24"/>
      <c r="CE2" s="24"/>
      <c r="CF2" s="24"/>
      <c r="CG2" s="24"/>
      <c r="CH2" s="140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</row>
    <row r="3" spans="1:98" s="8" customFormat="1" ht="48.75" customHeight="1" x14ac:dyDescent="0.2">
      <c r="A3" s="1703" t="s">
        <v>10</v>
      </c>
      <c r="B3" s="1706" t="s">
        <v>11</v>
      </c>
      <c r="C3" s="1706" t="s">
        <v>22</v>
      </c>
      <c r="D3" s="1721" t="s">
        <v>12</v>
      </c>
      <c r="E3" s="1721"/>
      <c r="F3" s="1721"/>
      <c r="G3" s="1721"/>
      <c r="H3" s="1721"/>
      <c r="I3" s="1721"/>
      <c r="J3" s="1721"/>
      <c r="K3" s="1721"/>
      <c r="L3" s="1721"/>
      <c r="M3" s="1721"/>
      <c r="N3" s="1721"/>
      <c r="O3" s="1721"/>
      <c r="P3" s="1721"/>
      <c r="Q3" s="1721"/>
      <c r="R3" s="1706" t="s">
        <v>20</v>
      </c>
      <c r="S3" s="1717" t="s">
        <v>17</v>
      </c>
      <c r="T3" s="1718"/>
      <c r="U3" s="1718"/>
      <c r="V3" s="1718"/>
      <c r="W3" s="1718"/>
      <c r="X3" s="1718"/>
      <c r="Y3" s="1718"/>
      <c r="Z3" s="1718"/>
      <c r="AA3" s="1718"/>
      <c r="AB3" s="1718"/>
      <c r="AC3" s="1718"/>
      <c r="AD3" s="1718"/>
      <c r="AE3" s="1719"/>
      <c r="AF3" s="1720" t="s">
        <v>6</v>
      </c>
      <c r="AG3" s="1720"/>
      <c r="AH3" s="1720"/>
      <c r="AI3" s="1720"/>
      <c r="AJ3" s="1720"/>
      <c r="AK3" s="1720"/>
      <c r="AL3" s="1720"/>
      <c r="AM3" s="1720"/>
      <c r="AN3" s="1720"/>
      <c r="AO3" s="1720"/>
      <c r="AP3" s="1720"/>
      <c r="AQ3" s="1720"/>
      <c r="AR3" s="1720"/>
      <c r="AS3" s="1720"/>
      <c r="AT3" s="1722" t="s">
        <v>41</v>
      </c>
      <c r="AU3" s="1723"/>
      <c r="AV3" s="1723"/>
      <c r="AW3" s="1723"/>
      <c r="AX3" s="1723"/>
      <c r="AY3" s="1723"/>
      <c r="AZ3" s="1723"/>
      <c r="BA3" s="1723"/>
      <c r="BB3" s="1723"/>
      <c r="BC3" s="1723"/>
      <c r="BD3" s="1723"/>
      <c r="BE3" s="1723"/>
      <c r="BF3" s="1724"/>
      <c r="BG3" s="1706" t="s">
        <v>38</v>
      </c>
      <c r="BH3" s="1706" t="s">
        <v>256</v>
      </c>
      <c r="BI3" s="1709" t="s">
        <v>39</v>
      </c>
      <c r="BJ3" s="135"/>
      <c r="BK3" s="135"/>
      <c r="BL3" s="135"/>
      <c r="BM3" s="135"/>
      <c r="BN3" s="135"/>
      <c r="BO3" s="1733" t="s">
        <v>41</v>
      </c>
      <c r="BP3" s="1734"/>
      <c r="BQ3" s="1734"/>
      <c r="BR3" s="1734"/>
      <c r="BS3" s="1734"/>
      <c r="BT3" s="1734"/>
      <c r="BU3" s="1734"/>
      <c r="BV3" s="1734"/>
      <c r="BW3" s="1734"/>
      <c r="BX3" s="1734"/>
      <c r="BY3" s="1734"/>
      <c r="BZ3" s="1734"/>
      <c r="CA3" s="1734"/>
      <c r="CB3" s="1734"/>
      <c r="CC3" s="1734"/>
      <c r="CD3" s="1734"/>
      <c r="CE3" s="1734"/>
      <c r="CF3" s="1734"/>
      <c r="CG3" s="1734"/>
      <c r="CH3" s="1734"/>
      <c r="CI3" s="1734"/>
      <c r="CJ3" s="1734"/>
      <c r="CK3" s="1734"/>
      <c r="CL3" s="1734"/>
      <c r="CM3" s="1734"/>
      <c r="CN3" s="1735"/>
    </row>
    <row r="4" spans="1:98" s="8" customFormat="1" ht="48.75" customHeight="1" x14ac:dyDescent="0.2">
      <c r="A4" s="1704"/>
      <c r="B4" s="1707"/>
      <c r="C4" s="1707"/>
      <c r="D4" s="1712" t="s">
        <v>18</v>
      </c>
      <c r="E4" s="1714" t="s">
        <v>19</v>
      </c>
      <c r="F4" s="1715"/>
      <c r="G4" s="1715"/>
      <c r="H4" s="1715"/>
      <c r="I4" s="1715"/>
      <c r="J4" s="1715"/>
      <c r="K4" s="1715"/>
      <c r="L4" s="1715"/>
      <c r="M4" s="1715"/>
      <c r="N4" s="1715"/>
      <c r="O4" s="1715"/>
      <c r="P4" s="1715"/>
      <c r="Q4" s="1715"/>
      <c r="R4" s="1707"/>
      <c r="S4" s="1712" t="s">
        <v>18</v>
      </c>
      <c r="T4" s="1714" t="s">
        <v>19</v>
      </c>
      <c r="U4" s="1715"/>
      <c r="V4" s="1715"/>
      <c r="W4" s="1715"/>
      <c r="X4" s="1715"/>
      <c r="Y4" s="1715"/>
      <c r="Z4" s="1715"/>
      <c r="AA4" s="1715"/>
      <c r="AB4" s="1715"/>
      <c r="AC4" s="1715"/>
      <c r="AD4" s="1715"/>
      <c r="AE4" s="1716"/>
      <c r="AF4" s="1712" t="s">
        <v>18</v>
      </c>
      <c r="AG4" s="1714" t="s">
        <v>19</v>
      </c>
      <c r="AH4" s="1715"/>
      <c r="AI4" s="1715"/>
      <c r="AJ4" s="1715"/>
      <c r="AK4" s="1715"/>
      <c r="AL4" s="1715"/>
      <c r="AM4" s="1715"/>
      <c r="AN4" s="1715"/>
      <c r="AO4" s="1715"/>
      <c r="AP4" s="1715"/>
      <c r="AQ4" s="1715"/>
      <c r="AR4" s="1715"/>
      <c r="AS4" s="1716"/>
      <c r="AT4" s="1725"/>
      <c r="AU4" s="1726"/>
      <c r="AV4" s="1726"/>
      <c r="AW4" s="1726"/>
      <c r="AX4" s="1726"/>
      <c r="AY4" s="1726"/>
      <c r="AZ4" s="1726"/>
      <c r="BA4" s="1726"/>
      <c r="BB4" s="1726"/>
      <c r="BC4" s="1726"/>
      <c r="BD4" s="1726"/>
      <c r="BE4" s="1726"/>
      <c r="BF4" s="1727"/>
      <c r="BG4" s="1707"/>
      <c r="BH4" s="1707"/>
      <c r="BI4" s="1710"/>
      <c r="BJ4" s="135"/>
      <c r="BK4" s="1736">
        <f>SUM(BK6/60)</f>
        <v>0</v>
      </c>
      <c r="BL4" s="1736"/>
      <c r="BM4" s="1736"/>
      <c r="BN4" s="23"/>
      <c r="BO4" s="1737" t="s">
        <v>686</v>
      </c>
      <c r="BP4" s="1738"/>
      <c r="BQ4" s="1738"/>
      <c r="BR4" s="1738"/>
      <c r="BS4" s="1738"/>
      <c r="BT4" s="1738"/>
      <c r="BU4" s="1738"/>
      <c r="BV4" s="1738"/>
      <c r="BW4" s="1738"/>
      <c r="BX4" s="1738"/>
      <c r="BY4" s="1738"/>
      <c r="BZ4" s="1738"/>
      <c r="CA4" s="1739"/>
      <c r="CB4" s="1740" t="s">
        <v>687</v>
      </c>
      <c r="CC4" s="1741"/>
      <c r="CD4" s="1741"/>
      <c r="CE4" s="1741"/>
      <c r="CF4" s="1741"/>
      <c r="CG4" s="1741"/>
      <c r="CH4" s="1741"/>
      <c r="CI4" s="1741"/>
      <c r="CJ4" s="1741"/>
      <c r="CK4" s="1741"/>
      <c r="CL4" s="1741"/>
      <c r="CM4" s="1741"/>
      <c r="CN4" s="1742"/>
    </row>
    <row r="5" spans="1:98" s="6" customFormat="1" ht="28.5" customHeight="1" x14ac:dyDescent="0.2">
      <c r="A5" s="1705"/>
      <c r="B5" s="1708"/>
      <c r="C5" s="1708"/>
      <c r="D5" s="1713"/>
      <c r="E5" s="26">
        <v>1</v>
      </c>
      <c r="F5" s="26">
        <v>2</v>
      </c>
      <c r="G5" s="26">
        <v>3</v>
      </c>
      <c r="H5" s="26">
        <v>4</v>
      </c>
      <c r="I5" s="26">
        <v>5</v>
      </c>
      <c r="J5" s="26">
        <v>6</v>
      </c>
      <c r="K5" s="26">
        <v>7</v>
      </c>
      <c r="L5" s="26">
        <v>8</v>
      </c>
      <c r="M5" s="26">
        <v>9</v>
      </c>
      <c r="N5" s="26">
        <v>10</v>
      </c>
      <c r="O5" s="26">
        <v>11</v>
      </c>
      <c r="P5" s="26">
        <v>12</v>
      </c>
      <c r="Q5" s="26" t="s">
        <v>21</v>
      </c>
      <c r="R5" s="1708"/>
      <c r="S5" s="1713"/>
      <c r="T5" s="26">
        <v>1</v>
      </c>
      <c r="U5" s="26">
        <v>2</v>
      </c>
      <c r="V5" s="26">
        <v>3</v>
      </c>
      <c r="W5" s="26">
        <v>4</v>
      </c>
      <c r="X5" s="26">
        <v>5</v>
      </c>
      <c r="Y5" s="26">
        <v>6</v>
      </c>
      <c r="Z5" s="26">
        <v>7</v>
      </c>
      <c r="AA5" s="26">
        <v>8</v>
      </c>
      <c r="AB5" s="26">
        <v>9</v>
      </c>
      <c r="AC5" s="26">
        <v>10</v>
      </c>
      <c r="AD5" s="26">
        <v>11</v>
      </c>
      <c r="AE5" s="26">
        <v>12</v>
      </c>
      <c r="AF5" s="1713"/>
      <c r="AG5" s="26">
        <v>1</v>
      </c>
      <c r="AH5" s="26">
        <v>2</v>
      </c>
      <c r="AI5" s="26">
        <v>3</v>
      </c>
      <c r="AJ5" s="26">
        <v>4</v>
      </c>
      <c r="AK5" s="26">
        <v>5</v>
      </c>
      <c r="AL5" s="26">
        <v>6</v>
      </c>
      <c r="AM5" s="26">
        <v>7</v>
      </c>
      <c r="AN5" s="26">
        <v>8</v>
      </c>
      <c r="AO5" s="26">
        <v>9</v>
      </c>
      <c r="AP5" s="26">
        <v>10</v>
      </c>
      <c r="AQ5" s="26">
        <v>11</v>
      </c>
      <c r="AR5" s="26">
        <v>12</v>
      </c>
      <c r="AS5" s="26" t="s">
        <v>13</v>
      </c>
      <c r="AT5" s="173">
        <v>1</v>
      </c>
      <c r="AU5" s="173">
        <v>2</v>
      </c>
      <c r="AV5" s="173">
        <v>3</v>
      </c>
      <c r="AW5" s="173">
        <v>4</v>
      </c>
      <c r="AX5" s="173">
        <v>5</v>
      </c>
      <c r="AY5" s="173">
        <v>6</v>
      </c>
      <c r="AZ5" s="173">
        <v>7</v>
      </c>
      <c r="BA5" s="173">
        <v>8</v>
      </c>
      <c r="BB5" s="173">
        <v>9</v>
      </c>
      <c r="BC5" s="173">
        <v>10</v>
      </c>
      <c r="BD5" s="173">
        <v>11</v>
      </c>
      <c r="BE5" s="173">
        <v>12</v>
      </c>
      <c r="BF5" s="26" t="s">
        <v>13</v>
      </c>
      <c r="BG5" s="1708"/>
      <c r="BH5" s="1708"/>
      <c r="BI5" s="1711"/>
      <c r="BJ5" s="7"/>
      <c r="BK5" s="1743" t="s">
        <v>19</v>
      </c>
      <c r="BL5" s="1744"/>
      <c r="BM5" s="1745"/>
      <c r="BN5" s="621"/>
      <c r="BO5" s="173">
        <v>1</v>
      </c>
      <c r="BP5" s="173">
        <v>2</v>
      </c>
      <c r="BQ5" s="173">
        <v>3</v>
      </c>
      <c r="BR5" s="173">
        <v>4</v>
      </c>
      <c r="BS5" s="173">
        <v>5</v>
      </c>
      <c r="BT5" s="173">
        <v>6</v>
      </c>
      <c r="BU5" s="173">
        <v>7</v>
      </c>
      <c r="BV5" s="173">
        <v>8</v>
      </c>
      <c r="BW5" s="173">
        <v>9</v>
      </c>
      <c r="BX5" s="173">
        <v>10</v>
      </c>
      <c r="BY5" s="173">
        <v>11</v>
      </c>
      <c r="BZ5" s="173">
        <v>12</v>
      </c>
      <c r="CA5" s="26" t="s">
        <v>13</v>
      </c>
      <c r="CB5" s="173">
        <v>1</v>
      </c>
      <c r="CC5" s="173">
        <v>2</v>
      </c>
      <c r="CD5" s="173">
        <v>3</v>
      </c>
      <c r="CE5" s="173">
        <v>4</v>
      </c>
      <c r="CF5" s="173">
        <v>5</v>
      </c>
      <c r="CG5" s="173">
        <v>6</v>
      </c>
      <c r="CH5" s="173">
        <v>7</v>
      </c>
      <c r="CI5" s="173">
        <v>8</v>
      </c>
      <c r="CJ5" s="173">
        <v>9</v>
      </c>
      <c r="CK5" s="173">
        <v>10</v>
      </c>
      <c r="CL5" s="173">
        <v>11</v>
      </c>
      <c r="CM5" s="173">
        <v>12</v>
      </c>
      <c r="CN5" s="26" t="s">
        <v>13</v>
      </c>
    </row>
    <row r="6" spans="1:98" s="7" customFormat="1" ht="24.75" customHeight="1" thickBot="1" x14ac:dyDescent="0.25">
      <c r="A6" s="41"/>
      <c r="B6" s="191" t="s">
        <v>209</v>
      </c>
      <c r="C6" s="29" t="s">
        <v>54</v>
      </c>
      <c r="D6" s="192">
        <v>10</v>
      </c>
      <c r="E6" s="82">
        <v>5</v>
      </c>
      <c r="F6" s="1200">
        <v>5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1">
        <f>SUM(E6:P6)</f>
        <v>10</v>
      </c>
      <c r="R6" s="83" t="s">
        <v>185</v>
      </c>
      <c r="S6" s="593">
        <v>79500</v>
      </c>
      <c r="T6" s="84">
        <v>65000</v>
      </c>
      <c r="U6" s="1151">
        <v>65000</v>
      </c>
      <c r="V6" s="84"/>
      <c r="W6" s="33"/>
      <c r="X6" s="33"/>
      <c r="Y6" s="33"/>
      <c r="Z6" s="33"/>
      <c r="AA6" s="33"/>
      <c r="AB6" s="33"/>
      <c r="AC6" s="33"/>
      <c r="AD6" s="33"/>
      <c r="AE6" s="33"/>
      <c r="AF6" s="69">
        <f t="shared" ref="AF6" si="0">SUM(Q6*S6)</f>
        <v>795000</v>
      </c>
      <c r="AG6" s="70">
        <f>T6*E6</f>
        <v>325000</v>
      </c>
      <c r="AH6" s="1103">
        <f>U6*F6</f>
        <v>325000</v>
      </c>
      <c r="AI6" s="70">
        <f>V6*G6</f>
        <v>0</v>
      </c>
      <c r="AJ6" s="70">
        <f t="shared" ref="AJ6:AR6" si="1">W6*H6</f>
        <v>0</v>
      </c>
      <c r="AK6" s="70">
        <f t="shared" si="1"/>
        <v>0</v>
      </c>
      <c r="AL6" s="70">
        <f t="shared" si="1"/>
        <v>0</v>
      </c>
      <c r="AM6" s="70">
        <f t="shared" si="1"/>
        <v>0</v>
      </c>
      <c r="AN6" s="70">
        <f t="shared" si="1"/>
        <v>0</v>
      </c>
      <c r="AO6" s="70">
        <f t="shared" si="1"/>
        <v>0</v>
      </c>
      <c r="AP6" s="70">
        <f t="shared" si="1"/>
        <v>0</v>
      </c>
      <c r="AQ6" s="70">
        <f t="shared" si="1"/>
        <v>0</v>
      </c>
      <c r="AR6" s="70">
        <f t="shared" si="1"/>
        <v>0</v>
      </c>
      <c r="AS6" s="71">
        <f>SUM(AG6:AR6)</f>
        <v>650000</v>
      </c>
      <c r="AT6" s="70"/>
      <c r="AU6" s="70"/>
      <c r="AV6" s="70"/>
      <c r="AW6" s="70">
        <f t="shared" ref="AW6:BE6" si="2">SUM(AJ6*14%)</f>
        <v>0</v>
      </c>
      <c r="AX6" s="70">
        <f t="shared" si="2"/>
        <v>0</v>
      </c>
      <c r="AY6" s="70">
        <f t="shared" si="2"/>
        <v>0</v>
      </c>
      <c r="AZ6" s="70">
        <f t="shared" si="2"/>
        <v>0</v>
      </c>
      <c r="BA6" s="70">
        <f t="shared" si="2"/>
        <v>0</v>
      </c>
      <c r="BB6" s="70">
        <f t="shared" si="2"/>
        <v>0</v>
      </c>
      <c r="BC6" s="70">
        <f t="shared" si="2"/>
        <v>0</v>
      </c>
      <c r="BD6" s="70">
        <f t="shared" si="2"/>
        <v>0</v>
      </c>
      <c r="BE6" s="70">
        <f t="shared" si="2"/>
        <v>0</v>
      </c>
      <c r="BF6" s="72">
        <f t="shared" ref="BF6" si="3">SUM(AT6:BE6)</f>
        <v>0</v>
      </c>
      <c r="BG6" s="73">
        <f>AF6-AS6-BF6</f>
        <v>145000</v>
      </c>
      <c r="BH6" s="74">
        <f>S6*D6</f>
        <v>795000</v>
      </c>
      <c r="BI6" s="75">
        <f t="shared" ref="BI6" si="4">BH6-AS6-BF6</f>
        <v>145000</v>
      </c>
      <c r="BJ6" s="163">
        <f>SUM(Q6/D6)</f>
        <v>1</v>
      </c>
      <c r="BK6" s="1081"/>
      <c r="BL6" s="1081"/>
      <c r="BM6" s="1083"/>
      <c r="BN6" s="1084"/>
      <c r="BO6" s="862"/>
      <c r="BP6" s="862"/>
      <c r="BQ6" s="862"/>
      <c r="BR6" s="862"/>
      <c r="BS6" s="862"/>
      <c r="BT6" s="862"/>
      <c r="BU6" s="862"/>
      <c r="BV6" s="862"/>
      <c r="BW6" s="1081">
        <f t="shared" ref="BW6:BW7" si="5">SUM(AN6*12.5%)</f>
        <v>0</v>
      </c>
      <c r="BX6" s="862"/>
      <c r="BY6" s="862"/>
      <c r="BZ6" s="862"/>
      <c r="CA6" s="73">
        <f t="shared" ref="CA6" si="6">SUM(BO6:BZ6)</f>
        <v>0</v>
      </c>
      <c r="CB6" s="862"/>
      <c r="CC6" s="862"/>
      <c r="CD6" s="862"/>
      <c r="CE6" s="862"/>
      <c r="CF6" s="862"/>
      <c r="CG6" s="862"/>
      <c r="CH6" s="862"/>
      <c r="CI6" s="862"/>
      <c r="CJ6" s="1081"/>
      <c r="CK6" s="862"/>
      <c r="CL6" s="862"/>
      <c r="CM6" s="862"/>
      <c r="CN6" s="73">
        <f t="shared" ref="CN6:CN7" si="7">SUM(CB6:CM6)</f>
        <v>0</v>
      </c>
    </row>
    <row r="7" spans="1:98" s="38" customFormat="1" ht="24.75" customHeight="1" thickBot="1" x14ac:dyDescent="0.25">
      <c r="A7" s="577">
        <v>1</v>
      </c>
      <c r="B7" s="44" t="s">
        <v>4</v>
      </c>
      <c r="C7" s="44"/>
      <c r="D7" s="45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7"/>
      <c r="R7" s="77"/>
      <c r="S7" s="45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78">
        <f t="shared" ref="AF7:BF7" si="8">SUM(AF6:AF6)</f>
        <v>795000</v>
      </c>
      <c r="AG7" s="78">
        <f t="shared" si="8"/>
        <v>325000</v>
      </c>
      <c r="AH7" s="78">
        <f t="shared" si="8"/>
        <v>325000</v>
      </c>
      <c r="AI7" s="78">
        <f t="shared" si="8"/>
        <v>0</v>
      </c>
      <c r="AJ7" s="78">
        <f t="shared" ref="AJ7:AR7" si="9">SUM(AJ6:AJ6)</f>
        <v>0</v>
      </c>
      <c r="AK7" s="78">
        <f t="shared" si="9"/>
        <v>0</v>
      </c>
      <c r="AL7" s="78">
        <f t="shared" si="9"/>
        <v>0</v>
      </c>
      <c r="AM7" s="78">
        <f t="shared" si="9"/>
        <v>0</v>
      </c>
      <c r="AN7" s="78">
        <f t="shared" si="9"/>
        <v>0</v>
      </c>
      <c r="AO7" s="78">
        <f t="shared" si="9"/>
        <v>0</v>
      </c>
      <c r="AP7" s="78">
        <f t="shared" si="9"/>
        <v>0</v>
      </c>
      <c r="AQ7" s="78">
        <f t="shared" si="9"/>
        <v>0</v>
      </c>
      <c r="AR7" s="78">
        <f t="shared" si="9"/>
        <v>0</v>
      </c>
      <c r="AS7" s="78">
        <f>SUM(AS6:AS6)-200000</f>
        <v>450000</v>
      </c>
      <c r="AT7" s="78">
        <f t="shared" si="8"/>
        <v>0</v>
      </c>
      <c r="AU7" s="78">
        <f t="shared" ref="AU7:BE7" si="10">SUM(AU6:AU6)</f>
        <v>0</v>
      </c>
      <c r="AV7" s="78">
        <f t="shared" si="10"/>
        <v>0</v>
      </c>
      <c r="AW7" s="78">
        <f t="shared" si="10"/>
        <v>0</v>
      </c>
      <c r="AX7" s="78">
        <f t="shared" si="10"/>
        <v>0</v>
      </c>
      <c r="AY7" s="78">
        <f t="shared" si="10"/>
        <v>0</v>
      </c>
      <c r="AZ7" s="78">
        <f t="shared" si="10"/>
        <v>0</v>
      </c>
      <c r="BA7" s="78">
        <f t="shared" si="10"/>
        <v>0</v>
      </c>
      <c r="BB7" s="78">
        <f t="shared" si="10"/>
        <v>0</v>
      </c>
      <c r="BC7" s="78">
        <f t="shared" si="10"/>
        <v>0</v>
      </c>
      <c r="BD7" s="78">
        <f t="shared" si="10"/>
        <v>0</v>
      </c>
      <c r="BE7" s="78">
        <f t="shared" si="10"/>
        <v>0</v>
      </c>
      <c r="BF7" s="78">
        <f t="shared" si="8"/>
        <v>0</v>
      </c>
      <c r="BG7" s="79">
        <f>SUM(BG6)</f>
        <v>145000</v>
      </c>
      <c r="BH7" s="78">
        <f>SUM(BH6:BH6)</f>
        <v>795000</v>
      </c>
      <c r="BI7" s="78">
        <f>SUM(BI6:BI6)</f>
        <v>145000</v>
      </c>
      <c r="BJ7" s="164">
        <f>SUM(BJ6)</f>
        <v>1</v>
      </c>
      <c r="BK7" s="1081"/>
      <c r="BL7" s="1081"/>
      <c r="BM7" s="1083"/>
      <c r="BN7" s="1084"/>
      <c r="BO7" s="862"/>
      <c r="BP7" s="862"/>
      <c r="BQ7" s="862"/>
      <c r="BR7" s="862"/>
      <c r="BS7" s="862"/>
      <c r="BT7" s="862"/>
      <c r="BU7" s="862"/>
      <c r="BV7" s="862"/>
      <c r="BW7" s="1081">
        <f t="shared" si="5"/>
        <v>0</v>
      </c>
      <c r="BX7" s="862"/>
      <c r="BY7" s="862"/>
      <c r="BZ7" s="862"/>
      <c r="CA7" s="73">
        <f t="shared" ref="CA7" si="11">SUM(BO7:BZ7)</f>
        <v>0</v>
      </c>
      <c r="CB7" s="862"/>
      <c r="CC7" s="862"/>
      <c r="CD7" s="862"/>
      <c r="CE7" s="862"/>
      <c r="CF7" s="862"/>
      <c r="CG7" s="862"/>
      <c r="CH7" s="862"/>
      <c r="CI7" s="862"/>
      <c r="CJ7" s="1081"/>
      <c r="CK7" s="862"/>
      <c r="CL7" s="862"/>
      <c r="CM7" s="862"/>
      <c r="CN7" s="73">
        <f t="shared" si="7"/>
        <v>0</v>
      </c>
    </row>
    <row r="8" spans="1:98" s="20" customFormat="1" ht="24.75" customHeight="1" x14ac:dyDescent="0.2">
      <c r="A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AE8" s="40"/>
      <c r="AS8" s="51"/>
      <c r="BF8" s="52">
        <f>SUM(AS7+BF7)</f>
        <v>450000</v>
      </c>
      <c r="BG8" s="53">
        <f>AF7-AS7-BF7</f>
        <v>345000</v>
      </c>
      <c r="BH8" s="54">
        <f>SUM(BI7+AS7+BF7)</f>
        <v>595000</v>
      </c>
      <c r="BI8" s="55">
        <f>SUM(BG7)</f>
        <v>145000</v>
      </c>
      <c r="BJ8" s="165" t="s">
        <v>38</v>
      </c>
      <c r="BK8" s="171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</row>
    <row r="9" spans="1:98" s="20" customFormat="1" ht="24.75" customHeight="1" x14ac:dyDescent="0.2">
      <c r="A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AE9" s="40"/>
      <c r="AS9" s="40"/>
      <c r="AT9" s="388">
        <f>SUM(AG7+AT7)</f>
        <v>325000</v>
      </c>
      <c r="AU9" s="388">
        <f t="shared" ref="AU9:BE9" si="12">SUM(AH7+AU7)</f>
        <v>325000</v>
      </c>
      <c r="AV9" s="388">
        <f t="shared" si="12"/>
        <v>0</v>
      </c>
      <c r="AW9" s="388">
        <f t="shared" si="12"/>
        <v>0</v>
      </c>
      <c r="AX9" s="388">
        <f t="shared" si="12"/>
        <v>0</v>
      </c>
      <c r="AY9" s="388">
        <f t="shared" si="12"/>
        <v>0</v>
      </c>
      <c r="AZ9" s="388">
        <f t="shared" si="12"/>
        <v>0</v>
      </c>
      <c r="BA9" s="388">
        <f t="shared" si="12"/>
        <v>0</v>
      </c>
      <c r="BB9" s="388">
        <f t="shared" si="12"/>
        <v>0</v>
      </c>
      <c r="BC9" s="388">
        <f t="shared" si="12"/>
        <v>0</v>
      </c>
      <c r="BD9" s="388">
        <f t="shared" si="12"/>
        <v>0</v>
      </c>
      <c r="BE9" s="388">
        <f t="shared" si="12"/>
        <v>0</v>
      </c>
      <c r="BF9" s="388">
        <f>SUM(AT9:BE9)</f>
        <v>650000</v>
      </c>
      <c r="BG9" s="40"/>
      <c r="BH9" s="56"/>
      <c r="BI9" s="57">
        <f>SUM(BI7-BI8)</f>
        <v>0</v>
      </c>
      <c r="BJ9" s="165" t="s">
        <v>37</v>
      </c>
      <c r="BK9" s="171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</row>
    <row r="10" spans="1:98" s="20" customFormat="1" ht="16.5" customHeight="1" x14ac:dyDescent="0.2">
      <c r="A10" s="1730" t="s">
        <v>8</v>
      </c>
      <c r="B10" s="1731"/>
      <c r="C10" s="124" t="s">
        <v>210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7"/>
      <c r="AF10" s="23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8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8"/>
      <c r="BG10" s="138"/>
      <c r="BH10" s="135"/>
      <c r="BI10" s="139"/>
      <c r="BJ10" s="23"/>
      <c r="BK10" s="169"/>
      <c r="BL10" s="136"/>
      <c r="BM10" s="136"/>
      <c r="BN10" s="136"/>
      <c r="BO10" s="136"/>
      <c r="BP10" s="137"/>
      <c r="BQ10" s="136"/>
      <c r="BR10" s="136"/>
      <c r="BS10" s="136"/>
      <c r="BT10" s="136"/>
      <c r="BU10" s="136"/>
      <c r="BV10" s="138"/>
      <c r="BW10" s="138"/>
      <c r="BX10" s="138"/>
      <c r="BY10" s="135"/>
      <c r="BZ10" s="139"/>
      <c r="CA10" s="138"/>
      <c r="CB10" s="138"/>
      <c r="CC10" s="24"/>
      <c r="CD10" s="24"/>
      <c r="CE10" s="24"/>
      <c r="CF10" s="24"/>
      <c r="CG10" s="24"/>
      <c r="CH10" s="140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</row>
    <row r="11" spans="1:98" s="8" customFormat="1" ht="48.75" customHeight="1" x14ac:dyDescent="0.2">
      <c r="A11" s="1703" t="s">
        <v>10</v>
      </c>
      <c r="B11" s="1706" t="s">
        <v>11</v>
      </c>
      <c r="C11" s="1706" t="s">
        <v>22</v>
      </c>
      <c r="D11" s="1721" t="s">
        <v>12</v>
      </c>
      <c r="E11" s="1721"/>
      <c r="F11" s="1721"/>
      <c r="G11" s="1721"/>
      <c r="H11" s="1721"/>
      <c r="I11" s="1721"/>
      <c r="J11" s="1721"/>
      <c r="K11" s="1721"/>
      <c r="L11" s="1721"/>
      <c r="M11" s="1721"/>
      <c r="N11" s="1721"/>
      <c r="O11" s="1721"/>
      <c r="P11" s="1721"/>
      <c r="Q11" s="1721"/>
      <c r="R11" s="1706" t="s">
        <v>20</v>
      </c>
      <c r="S11" s="1717" t="s">
        <v>17</v>
      </c>
      <c r="T11" s="1718"/>
      <c r="U11" s="1718"/>
      <c r="V11" s="1718"/>
      <c r="W11" s="1718"/>
      <c r="X11" s="1718"/>
      <c r="Y11" s="1718"/>
      <c r="Z11" s="1718"/>
      <c r="AA11" s="1718"/>
      <c r="AB11" s="1718"/>
      <c r="AC11" s="1718"/>
      <c r="AD11" s="1718"/>
      <c r="AE11" s="1719"/>
      <c r="AF11" s="1720" t="s">
        <v>6</v>
      </c>
      <c r="AG11" s="1720"/>
      <c r="AH11" s="1720"/>
      <c r="AI11" s="1720"/>
      <c r="AJ11" s="1720"/>
      <c r="AK11" s="1720"/>
      <c r="AL11" s="1720"/>
      <c r="AM11" s="1720"/>
      <c r="AN11" s="1720"/>
      <c r="AO11" s="1720"/>
      <c r="AP11" s="1720"/>
      <c r="AQ11" s="1720"/>
      <c r="AR11" s="1720"/>
      <c r="AS11" s="1720"/>
      <c r="AT11" s="1722" t="s">
        <v>41</v>
      </c>
      <c r="AU11" s="1723"/>
      <c r="AV11" s="1723"/>
      <c r="AW11" s="1723"/>
      <c r="AX11" s="1723"/>
      <c r="AY11" s="1723"/>
      <c r="AZ11" s="1723"/>
      <c r="BA11" s="1723"/>
      <c r="BB11" s="1723"/>
      <c r="BC11" s="1723"/>
      <c r="BD11" s="1723"/>
      <c r="BE11" s="1723"/>
      <c r="BF11" s="1724"/>
      <c r="BG11" s="1706" t="s">
        <v>38</v>
      </c>
      <c r="BH11" s="1706" t="s">
        <v>256</v>
      </c>
      <c r="BI11" s="1709" t="s">
        <v>39</v>
      </c>
      <c r="BJ11" s="135"/>
      <c r="BK11" s="135"/>
      <c r="BL11" s="135"/>
      <c r="BM11" s="135"/>
      <c r="BN11" s="135"/>
      <c r="BO11" s="1733" t="s">
        <v>41</v>
      </c>
      <c r="BP11" s="1734"/>
      <c r="BQ11" s="1734"/>
      <c r="BR11" s="1734"/>
      <c r="BS11" s="1734"/>
      <c r="BT11" s="1734"/>
      <c r="BU11" s="1734"/>
      <c r="BV11" s="1734"/>
      <c r="BW11" s="1734"/>
      <c r="BX11" s="1734"/>
      <c r="BY11" s="1734"/>
      <c r="BZ11" s="1734"/>
      <c r="CA11" s="1734"/>
      <c r="CB11" s="1734"/>
      <c r="CC11" s="1734"/>
      <c r="CD11" s="1734"/>
      <c r="CE11" s="1734"/>
      <c r="CF11" s="1734"/>
      <c r="CG11" s="1734"/>
      <c r="CH11" s="1734"/>
      <c r="CI11" s="1734"/>
      <c r="CJ11" s="1734"/>
      <c r="CK11" s="1734"/>
      <c r="CL11" s="1734"/>
      <c r="CM11" s="1734"/>
      <c r="CN11" s="1735"/>
    </row>
    <row r="12" spans="1:98" s="8" customFormat="1" ht="48.75" customHeight="1" x14ac:dyDescent="0.2">
      <c r="A12" s="1704"/>
      <c r="B12" s="1707"/>
      <c r="C12" s="1707"/>
      <c r="D12" s="1712" t="s">
        <v>18</v>
      </c>
      <c r="E12" s="1714" t="s">
        <v>19</v>
      </c>
      <c r="F12" s="1715"/>
      <c r="G12" s="1715"/>
      <c r="H12" s="1715"/>
      <c r="I12" s="1715"/>
      <c r="J12" s="1715"/>
      <c r="K12" s="1715"/>
      <c r="L12" s="1715"/>
      <c r="M12" s="1715"/>
      <c r="N12" s="1715"/>
      <c r="O12" s="1715"/>
      <c r="P12" s="1715"/>
      <c r="Q12" s="1715"/>
      <c r="R12" s="1707"/>
      <c r="S12" s="1712" t="s">
        <v>18</v>
      </c>
      <c r="T12" s="1714" t="s">
        <v>19</v>
      </c>
      <c r="U12" s="1715"/>
      <c r="V12" s="1715"/>
      <c r="W12" s="1715"/>
      <c r="X12" s="1715"/>
      <c r="Y12" s="1715"/>
      <c r="Z12" s="1715"/>
      <c r="AA12" s="1715"/>
      <c r="AB12" s="1715"/>
      <c r="AC12" s="1715"/>
      <c r="AD12" s="1715"/>
      <c r="AE12" s="1716"/>
      <c r="AF12" s="1712" t="s">
        <v>18</v>
      </c>
      <c r="AG12" s="1714" t="s">
        <v>19</v>
      </c>
      <c r="AH12" s="1715"/>
      <c r="AI12" s="1715"/>
      <c r="AJ12" s="1715"/>
      <c r="AK12" s="1715"/>
      <c r="AL12" s="1715"/>
      <c r="AM12" s="1715"/>
      <c r="AN12" s="1715"/>
      <c r="AO12" s="1715"/>
      <c r="AP12" s="1715"/>
      <c r="AQ12" s="1715"/>
      <c r="AR12" s="1715"/>
      <c r="AS12" s="1716"/>
      <c r="AT12" s="1725"/>
      <c r="AU12" s="1726"/>
      <c r="AV12" s="1726"/>
      <c r="AW12" s="1726"/>
      <c r="AX12" s="1726"/>
      <c r="AY12" s="1726"/>
      <c r="AZ12" s="1726"/>
      <c r="BA12" s="1726"/>
      <c r="BB12" s="1726"/>
      <c r="BC12" s="1726"/>
      <c r="BD12" s="1726"/>
      <c r="BE12" s="1726"/>
      <c r="BF12" s="1727"/>
      <c r="BG12" s="1707"/>
      <c r="BH12" s="1707"/>
      <c r="BI12" s="1710"/>
      <c r="BJ12" s="135"/>
      <c r="BK12" s="1736">
        <f>SUM(BK14/60)</f>
        <v>0</v>
      </c>
      <c r="BL12" s="1736"/>
      <c r="BM12" s="1736"/>
      <c r="BN12" s="23"/>
      <c r="BO12" s="1737" t="s">
        <v>686</v>
      </c>
      <c r="BP12" s="1738"/>
      <c r="BQ12" s="1738"/>
      <c r="BR12" s="1738"/>
      <c r="BS12" s="1738"/>
      <c r="BT12" s="1738"/>
      <c r="BU12" s="1738"/>
      <c r="BV12" s="1738"/>
      <c r="BW12" s="1738"/>
      <c r="BX12" s="1738"/>
      <c r="BY12" s="1738"/>
      <c r="BZ12" s="1738"/>
      <c r="CA12" s="1739"/>
      <c r="CB12" s="1740" t="s">
        <v>687</v>
      </c>
      <c r="CC12" s="1741"/>
      <c r="CD12" s="1741"/>
      <c r="CE12" s="1741"/>
      <c r="CF12" s="1741"/>
      <c r="CG12" s="1741"/>
      <c r="CH12" s="1741"/>
      <c r="CI12" s="1741"/>
      <c r="CJ12" s="1741"/>
      <c r="CK12" s="1741"/>
      <c r="CL12" s="1741"/>
      <c r="CM12" s="1741"/>
      <c r="CN12" s="1742"/>
    </row>
    <row r="13" spans="1:98" s="6" customFormat="1" ht="28.5" customHeight="1" x14ac:dyDescent="0.2">
      <c r="A13" s="1705"/>
      <c r="B13" s="1708"/>
      <c r="C13" s="1708"/>
      <c r="D13" s="1713"/>
      <c r="E13" s="26">
        <v>1</v>
      </c>
      <c r="F13" s="26">
        <v>2</v>
      </c>
      <c r="G13" s="26">
        <v>3</v>
      </c>
      <c r="H13" s="26">
        <v>4</v>
      </c>
      <c r="I13" s="26">
        <v>5</v>
      </c>
      <c r="J13" s="26">
        <v>6</v>
      </c>
      <c r="K13" s="26">
        <v>7</v>
      </c>
      <c r="L13" s="26">
        <v>8</v>
      </c>
      <c r="M13" s="26">
        <v>9</v>
      </c>
      <c r="N13" s="26">
        <v>10</v>
      </c>
      <c r="O13" s="26">
        <v>11</v>
      </c>
      <c r="P13" s="26">
        <v>12</v>
      </c>
      <c r="Q13" s="26" t="s">
        <v>21</v>
      </c>
      <c r="R13" s="1708"/>
      <c r="S13" s="1713"/>
      <c r="T13" s="26">
        <v>1</v>
      </c>
      <c r="U13" s="26">
        <v>2</v>
      </c>
      <c r="V13" s="26">
        <v>3</v>
      </c>
      <c r="W13" s="26">
        <v>4</v>
      </c>
      <c r="X13" s="26">
        <v>5</v>
      </c>
      <c r="Y13" s="26">
        <v>6</v>
      </c>
      <c r="Z13" s="26">
        <v>7</v>
      </c>
      <c r="AA13" s="26">
        <v>8</v>
      </c>
      <c r="AB13" s="26">
        <v>9</v>
      </c>
      <c r="AC13" s="26">
        <v>10</v>
      </c>
      <c r="AD13" s="26">
        <v>11</v>
      </c>
      <c r="AE13" s="26">
        <v>12</v>
      </c>
      <c r="AF13" s="1713"/>
      <c r="AG13" s="26">
        <v>1</v>
      </c>
      <c r="AH13" s="26">
        <v>2</v>
      </c>
      <c r="AI13" s="26">
        <v>3</v>
      </c>
      <c r="AJ13" s="26">
        <v>4</v>
      </c>
      <c r="AK13" s="26">
        <v>5</v>
      </c>
      <c r="AL13" s="26">
        <v>6</v>
      </c>
      <c r="AM13" s="26">
        <v>7</v>
      </c>
      <c r="AN13" s="26">
        <v>8</v>
      </c>
      <c r="AO13" s="26">
        <v>9</v>
      </c>
      <c r="AP13" s="26">
        <v>10</v>
      </c>
      <c r="AQ13" s="26">
        <v>11</v>
      </c>
      <c r="AR13" s="26">
        <v>12</v>
      </c>
      <c r="AS13" s="26" t="s">
        <v>13</v>
      </c>
      <c r="AT13" s="173">
        <v>1</v>
      </c>
      <c r="AU13" s="173">
        <v>2</v>
      </c>
      <c r="AV13" s="173">
        <v>3</v>
      </c>
      <c r="AW13" s="173">
        <v>4</v>
      </c>
      <c r="AX13" s="173">
        <v>5</v>
      </c>
      <c r="AY13" s="173">
        <v>6</v>
      </c>
      <c r="AZ13" s="173">
        <v>7</v>
      </c>
      <c r="BA13" s="173">
        <v>8</v>
      </c>
      <c r="BB13" s="173">
        <v>9</v>
      </c>
      <c r="BC13" s="173">
        <v>10</v>
      </c>
      <c r="BD13" s="173">
        <v>11</v>
      </c>
      <c r="BE13" s="173">
        <v>12</v>
      </c>
      <c r="BF13" s="26" t="s">
        <v>13</v>
      </c>
      <c r="BG13" s="1708"/>
      <c r="BH13" s="1708"/>
      <c r="BI13" s="1711"/>
      <c r="BJ13" s="7"/>
      <c r="BK13" s="1743" t="s">
        <v>19</v>
      </c>
      <c r="BL13" s="1744"/>
      <c r="BM13" s="1745"/>
      <c r="BN13" s="621"/>
      <c r="BO13" s="173">
        <v>1</v>
      </c>
      <c r="BP13" s="173">
        <v>2</v>
      </c>
      <c r="BQ13" s="173">
        <v>3</v>
      </c>
      <c r="BR13" s="173">
        <v>4</v>
      </c>
      <c r="BS13" s="173">
        <v>5</v>
      </c>
      <c r="BT13" s="173">
        <v>6</v>
      </c>
      <c r="BU13" s="173">
        <v>7</v>
      </c>
      <c r="BV13" s="173">
        <v>8</v>
      </c>
      <c r="BW13" s="173">
        <v>9</v>
      </c>
      <c r="BX13" s="173">
        <v>10</v>
      </c>
      <c r="BY13" s="173">
        <v>11</v>
      </c>
      <c r="BZ13" s="173">
        <v>12</v>
      </c>
      <c r="CA13" s="26" t="s">
        <v>13</v>
      </c>
      <c r="CB13" s="173">
        <v>1</v>
      </c>
      <c r="CC13" s="173">
        <v>2</v>
      </c>
      <c r="CD13" s="173">
        <v>3</v>
      </c>
      <c r="CE13" s="173">
        <v>4</v>
      </c>
      <c r="CF13" s="173">
        <v>5</v>
      </c>
      <c r="CG13" s="173">
        <v>6</v>
      </c>
      <c r="CH13" s="173">
        <v>7</v>
      </c>
      <c r="CI13" s="173">
        <v>8</v>
      </c>
      <c r="CJ13" s="173">
        <v>9</v>
      </c>
      <c r="CK13" s="173">
        <v>10</v>
      </c>
      <c r="CL13" s="173">
        <v>11</v>
      </c>
      <c r="CM13" s="173">
        <v>12</v>
      </c>
      <c r="CN13" s="26" t="s">
        <v>13</v>
      </c>
    </row>
    <row r="14" spans="1:98" s="6" customFormat="1" ht="28.5" customHeight="1" x14ac:dyDescent="0.2">
      <c r="A14" s="617"/>
      <c r="B14" s="135" t="s">
        <v>237</v>
      </c>
      <c r="C14" s="618"/>
      <c r="D14" s="618"/>
      <c r="E14" s="619"/>
      <c r="F14" s="619"/>
      <c r="G14" s="619"/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23"/>
      <c r="S14" s="23"/>
      <c r="T14" s="23"/>
      <c r="U14" s="620"/>
      <c r="V14" s="620"/>
      <c r="W14" s="620"/>
      <c r="X14" s="620"/>
      <c r="Y14" s="620"/>
      <c r="Z14" s="620"/>
      <c r="AA14" s="620"/>
      <c r="AB14" s="620"/>
      <c r="AC14" s="620"/>
      <c r="AD14" s="620"/>
      <c r="AE14" s="620"/>
      <c r="AF14" s="618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21"/>
      <c r="AU14" s="621"/>
      <c r="AV14" s="621"/>
      <c r="AW14" s="621"/>
      <c r="AX14" s="621"/>
      <c r="AY14" s="621"/>
      <c r="AZ14" s="621"/>
      <c r="BA14" s="621"/>
      <c r="BB14" s="621"/>
      <c r="BC14" s="621"/>
      <c r="BD14" s="621"/>
      <c r="BE14" s="621"/>
      <c r="BF14" s="620"/>
      <c r="BG14" s="622"/>
      <c r="BH14" s="618"/>
      <c r="BI14" s="622"/>
      <c r="BJ14" s="7"/>
      <c r="BK14" s="1081"/>
      <c r="BL14" s="1081"/>
      <c r="BM14" s="1083"/>
      <c r="BN14" s="1084"/>
      <c r="BO14" s="862"/>
      <c r="BP14" s="862"/>
      <c r="BQ14" s="862"/>
      <c r="BR14" s="862"/>
      <c r="BS14" s="862"/>
      <c r="BT14" s="862"/>
      <c r="BU14" s="862"/>
      <c r="BV14" s="862"/>
      <c r="BW14" s="1081">
        <f t="shared" ref="BW14:BW16" si="13">SUM(AN14*12.5%)</f>
        <v>0</v>
      </c>
      <c r="BX14" s="862"/>
      <c r="BY14" s="862"/>
      <c r="BZ14" s="862"/>
      <c r="CA14" s="73">
        <f t="shared" ref="CA14" si="14">SUM(BO14:BZ14)</f>
        <v>0</v>
      </c>
      <c r="CB14" s="862"/>
      <c r="CC14" s="862"/>
      <c r="CD14" s="862"/>
      <c r="CE14" s="862"/>
      <c r="CF14" s="862"/>
      <c r="CG14" s="862"/>
      <c r="CH14" s="862"/>
      <c r="CI14" s="862"/>
      <c r="CJ14" s="1081"/>
      <c r="CK14" s="862"/>
      <c r="CL14" s="862"/>
      <c r="CM14" s="862"/>
      <c r="CN14" s="73">
        <f t="shared" ref="CN14:CN16" si="15">SUM(CB14:CM14)</f>
        <v>0</v>
      </c>
    </row>
    <row r="15" spans="1:98" s="7" customFormat="1" ht="24.75" customHeight="1" x14ac:dyDescent="0.2">
      <c r="A15" s="41"/>
      <c r="B15" s="194" t="s">
        <v>376</v>
      </c>
      <c r="C15" s="29" t="s">
        <v>25</v>
      </c>
      <c r="D15" s="1495">
        <v>700</v>
      </c>
      <c r="E15" s="192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1">
        <f>SUM(E15:P15)</f>
        <v>0</v>
      </c>
      <c r="R15" s="1496" t="s">
        <v>140</v>
      </c>
      <c r="S15" s="1497">
        <v>570</v>
      </c>
      <c r="T15" s="84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69">
        <f t="shared" ref="AF15:AF17" si="16">SUM(Q15*S15)</f>
        <v>0</v>
      </c>
      <c r="AG15" s="862">
        <f t="shared" ref="AG15:AI17" si="17">T15*E15</f>
        <v>0</v>
      </c>
      <c r="AH15" s="862">
        <f t="shared" si="17"/>
        <v>0</v>
      </c>
      <c r="AI15" s="862">
        <f t="shared" si="17"/>
        <v>0</v>
      </c>
      <c r="AJ15" s="862">
        <f t="shared" ref="AJ15:AR17" si="18">W15*H15</f>
        <v>0</v>
      </c>
      <c r="AK15" s="862">
        <f t="shared" si="18"/>
        <v>0</v>
      </c>
      <c r="AL15" s="862">
        <f t="shared" si="18"/>
        <v>0</v>
      </c>
      <c r="AM15" s="862">
        <f t="shared" si="18"/>
        <v>0</v>
      </c>
      <c r="AN15" s="862">
        <f t="shared" si="18"/>
        <v>0</v>
      </c>
      <c r="AO15" s="862">
        <f t="shared" si="18"/>
        <v>0</v>
      </c>
      <c r="AP15" s="862">
        <f t="shared" si="18"/>
        <v>0</v>
      </c>
      <c r="AQ15" s="862">
        <f t="shared" si="18"/>
        <v>0</v>
      </c>
      <c r="AR15" s="862">
        <f t="shared" si="18"/>
        <v>0</v>
      </c>
      <c r="AS15" s="863">
        <f>SUM(AG15:AR15)</f>
        <v>0</v>
      </c>
      <c r="AT15" s="862"/>
      <c r="AU15" s="862">
        <f t="shared" ref="AU15:AV17" si="19">SUM(AH15*14%)</f>
        <v>0</v>
      </c>
      <c r="AV15" s="862">
        <f t="shared" si="19"/>
        <v>0</v>
      </c>
      <c r="AW15" s="862">
        <f t="shared" ref="AW15:BE17" si="20">SUM(AJ15*14%)</f>
        <v>0</v>
      </c>
      <c r="AX15" s="862">
        <f t="shared" si="20"/>
        <v>0</v>
      </c>
      <c r="AY15" s="862">
        <f t="shared" si="20"/>
        <v>0</v>
      </c>
      <c r="AZ15" s="862">
        <f t="shared" si="20"/>
        <v>0</v>
      </c>
      <c r="BA15" s="862">
        <f t="shared" si="20"/>
        <v>0</v>
      </c>
      <c r="BB15" s="862">
        <f t="shared" si="20"/>
        <v>0</v>
      </c>
      <c r="BC15" s="862">
        <f t="shared" si="20"/>
        <v>0</v>
      </c>
      <c r="BD15" s="862">
        <f t="shared" si="20"/>
        <v>0</v>
      </c>
      <c r="BE15" s="862">
        <f t="shared" si="20"/>
        <v>0</v>
      </c>
      <c r="BF15" s="73">
        <f t="shared" ref="BF15:BF17" si="21">SUM(AT15:BE15)</f>
        <v>0</v>
      </c>
      <c r="BG15" s="73">
        <f>AF15-AS15-BF15</f>
        <v>0</v>
      </c>
      <c r="BH15" s="74">
        <f>S15*D15</f>
        <v>399000</v>
      </c>
      <c r="BI15" s="75">
        <f t="shared" ref="BI15:BI17" si="22">BH15-AS15-BF15</f>
        <v>399000</v>
      </c>
      <c r="BJ15" s="163">
        <f>SUM(Q15/D15)</f>
        <v>0</v>
      </c>
      <c r="BK15" s="862"/>
      <c r="BL15" s="862"/>
      <c r="BM15" s="1102"/>
      <c r="BN15" s="1084"/>
      <c r="BO15" s="862"/>
      <c r="BP15" s="862"/>
      <c r="BQ15" s="862"/>
      <c r="BR15" s="862"/>
      <c r="BS15" s="862"/>
      <c r="BT15" s="862"/>
      <c r="BU15" s="862"/>
      <c r="BV15" s="862"/>
      <c r="BW15" s="862">
        <f t="shared" si="13"/>
        <v>0</v>
      </c>
      <c r="BX15" s="862"/>
      <c r="BY15" s="862"/>
      <c r="BZ15" s="862"/>
      <c r="CA15" s="73">
        <f t="shared" ref="CA15:CA16" si="23">SUM(BO15:BZ15)</f>
        <v>0</v>
      </c>
      <c r="CB15" s="862"/>
      <c r="CC15" s="862"/>
      <c r="CD15" s="862"/>
      <c r="CE15" s="862"/>
      <c r="CF15" s="862"/>
      <c r="CG15" s="862"/>
      <c r="CH15" s="862"/>
      <c r="CI15" s="862"/>
      <c r="CJ15" s="862"/>
      <c r="CK15" s="862"/>
      <c r="CL15" s="862"/>
      <c r="CM15" s="862"/>
      <c r="CN15" s="73">
        <f t="shared" si="15"/>
        <v>0</v>
      </c>
    </row>
    <row r="16" spans="1:98" s="7" customFormat="1" ht="24.75" customHeight="1" x14ac:dyDescent="0.2">
      <c r="A16" s="41"/>
      <c r="B16" s="194" t="s">
        <v>211</v>
      </c>
      <c r="C16" s="29" t="s">
        <v>25</v>
      </c>
      <c r="D16" s="147">
        <v>100</v>
      </c>
      <c r="E16" s="189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1">
        <f>SUM(E16:P16)</f>
        <v>0</v>
      </c>
      <c r="R16" s="594" t="s">
        <v>212</v>
      </c>
      <c r="S16" s="595">
        <v>1500</v>
      </c>
      <c r="T16" s="84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69">
        <f t="shared" si="16"/>
        <v>0</v>
      </c>
      <c r="AG16" s="862">
        <f t="shared" si="17"/>
        <v>0</v>
      </c>
      <c r="AH16" s="862">
        <f t="shared" si="17"/>
        <v>0</v>
      </c>
      <c r="AI16" s="862">
        <f t="shared" si="17"/>
        <v>0</v>
      </c>
      <c r="AJ16" s="862">
        <f t="shared" si="18"/>
        <v>0</v>
      </c>
      <c r="AK16" s="862">
        <f t="shared" si="18"/>
        <v>0</v>
      </c>
      <c r="AL16" s="862">
        <f t="shared" si="18"/>
        <v>0</v>
      </c>
      <c r="AM16" s="862">
        <f t="shared" si="18"/>
        <v>0</v>
      </c>
      <c r="AN16" s="862">
        <f t="shared" si="18"/>
        <v>0</v>
      </c>
      <c r="AO16" s="862">
        <f t="shared" si="18"/>
        <v>0</v>
      </c>
      <c r="AP16" s="862">
        <f t="shared" si="18"/>
        <v>0</v>
      </c>
      <c r="AQ16" s="862">
        <f t="shared" si="18"/>
        <v>0</v>
      </c>
      <c r="AR16" s="862">
        <f t="shared" si="18"/>
        <v>0</v>
      </c>
      <c r="AS16" s="863">
        <f>SUM(AG16:AR16)</f>
        <v>0</v>
      </c>
      <c r="AT16" s="862">
        <f>SUM(AG16*4%)</f>
        <v>0</v>
      </c>
      <c r="AU16" s="862">
        <f t="shared" si="19"/>
        <v>0</v>
      </c>
      <c r="AV16" s="862">
        <f t="shared" si="19"/>
        <v>0</v>
      </c>
      <c r="AW16" s="862">
        <f t="shared" si="20"/>
        <v>0</v>
      </c>
      <c r="AX16" s="862">
        <f t="shared" si="20"/>
        <v>0</v>
      </c>
      <c r="AY16" s="862">
        <f t="shared" si="20"/>
        <v>0</v>
      </c>
      <c r="AZ16" s="862">
        <f t="shared" si="20"/>
        <v>0</v>
      </c>
      <c r="BA16" s="862">
        <f t="shared" si="20"/>
        <v>0</v>
      </c>
      <c r="BB16" s="862">
        <f t="shared" si="20"/>
        <v>0</v>
      </c>
      <c r="BC16" s="862">
        <f t="shared" si="20"/>
        <v>0</v>
      </c>
      <c r="BD16" s="862">
        <f t="shared" si="20"/>
        <v>0</v>
      </c>
      <c r="BE16" s="862">
        <f t="shared" si="20"/>
        <v>0</v>
      </c>
      <c r="BF16" s="73">
        <f t="shared" si="21"/>
        <v>0</v>
      </c>
      <c r="BG16" s="73">
        <f>AF16-AS16-BF16</f>
        <v>0</v>
      </c>
      <c r="BH16" s="74">
        <f>S16*D16</f>
        <v>150000</v>
      </c>
      <c r="BI16" s="75">
        <f t="shared" si="22"/>
        <v>150000</v>
      </c>
      <c r="BJ16" s="163">
        <f>SUM(Q16/D16)</f>
        <v>0</v>
      </c>
      <c r="BK16" s="862"/>
      <c r="BL16" s="862"/>
      <c r="BM16" s="1102"/>
      <c r="BN16" s="1084"/>
      <c r="BO16" s="862"/>
      <c r="BP16" s="862"/>
      <c r="BQ16" s="862"/>
      <c r="BR16" s="862"/>
      <c r="BS16" s="862"/>
      <c r="BT16" s="862"/>
      <c r="BU16" s="862"/>
      <c r="BV16" s="862"/>
      <c r="BW16" s="862">
        <f t="shared" si="13"/>
        <v>0</v>
      </c>
      <c r="BX16" s="862"/>
      <c r="BY16" s="862"/>
      <c r="BZ16" s="862"/>
      <c r="CA16" s="73">
        <f t="shared" si="23"/>
        <v>0</v>
      </c>
      <c r="CB16" s="862"/>
      <c r="CC16" s="862"/>
      <c r="CD16" s="862"/>
      <c r="CE16" s="862"/>
      <c r="CF16" s="862"/>
      <c r="CG16" s="862"/>
      <c r="CH16" s="862"/>
      <c r="CI16" s="862"/>
      <c r="CJ16" s="862"/>
      <c r="CK16" s="862"/>
      <c r="CL16" s="862"/>
      <c r="CM16" s="862"/>
      <c r="CN16" s="73">
        <f t="shared" si="15"/>
        <v>0</v>
      </c>
    </row>
    <row r="17" spans="1:98" s="7" customFormat="1" ht="24.75" customHeight="1" thickBot="1" x14ac:dyDescent="0.25">
      <c r="A17" s="41"/>
      <c r="B17" s="194" t="s">
        <v>377</v>
      </c>
      <c r="C17" s="29" t="s">
        <v>25</v>
      </c>
      <c r="D17" s="147">
        <v>100</v>
      </c>
      <c r="E17" s="189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1">
        <f>SUM(E17:P17)</f>
        <v>0</v>
      </c>
      <c r="R17" s="594" t="s">
        <v>212</v>
      </c>
      <c r="S17" s="595">
        <v>2500</v>
      </c>
      <c r="T17" s="84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69">
        <f t="shared" si="16"/>
        <v>0</v>
      </c>
      <c r="AG17" s="862">
        <f t="shared" si="17"/>
        <v>0</v>
      </c>
      <c r="AH17" s="862">
        <f t="shared" si="17"/>
        <v>0</v>
      </c>
      <c r="AI17" s="862">
        <f t="shared" si="17"/>
        <v>0</v>
      </c>
      <c r="AJ17" s="862">
        <f t="shared" si="18"/>
        <v>0</v>
      </c>
      <c r="AK17" s="862">
        <f t="shared" si="18"/>
        <v>0</v>
      </c>
      <c r="AL17" s="862">
        <f t="shared" si="18"/>
        <v>0</v>
      </c>
      <c r="AM17" s="862">
        <f t="shared" si="18"/>
        <v>0</v>
      </c>
      <c r="AN17" s="862">
        <f t="shared" si="18"/>
        <v>0</v>
      </c>
      <c r="AO17" s="862">
        <f t="shared" si="18"/>
        <v>0</v>
      </c>
      <c r="AP17" s="862">
        <f t="shared" si="18"/>
        <v>0</v>
      </c>
      <c r="AQ17" s="862">
        <f t="shared" si="18"/>
        <v>0</v>
      </c>
      <c r="AR17" s="862">
        <f t="shared" si="18"/>
        <v>0</v>
      </c>
      <c r="AS17" s="863">
        <f>SUM(AG17:AR17)</f>
        <v>0</v>
      </c>
      <c r="AT17" s="862"/>
      <c r="AU17" s="862">
        <f t="shared" si="19"/>
        <v>0</v>
      </c>
      <c r="AV17" s="862">
        <f t="shared" si="19"/>
        <v>0</v>
      </c>
      <c r="AW17" s="862">
        <f t="shared" si="20"/>
        <v>0</v>
      </c>
      <c r="AX17" s="862">
        <f t="shared" si="20"/>
        <v>0</v>
      </c>
      <c r="AY17" s="862">
        <f t="shared" si="20"/>
        <v>0</v>
      </c>
      <c r="AZ17" s="862">
        <f t="shared" si="20"/>
        <v>0</v>
      </c>
      <c r="BA17" s="862">
        <f t="shared" si="20"/>
        <v>0</v>
      </c>
      <c r="BB17" s="862">
        <f t="shared" si="20"/>
        <v>0</v>
      </c>
      <c r="BC17" s="862">
        <f t="shared" si="20"/>
        <v>0</v>
      </c>
      <c r="BD17" s="862">
        <f t="shared" si="20"/>
        <v>0</v>
      </c>
      <c r="BE17" s="862">
        <f t="shared" si="20"/>
        <v>0</v>
      </c>
      <c r="BF17" s="73">
        <f t="shared" si="21"/>
        <v>0</v>
      </c>
      <c r="BG17" s="73">
        <f>AF17-AS17-BF17</f>
        <v>0</v>
      </c>
      <c r="BH17" s="74">
        <f>S17*D17</f>
        <v>250000</v>
      </c>
      <c r="BI17" s="75">
        <f t="shared" si="22"/>
        <v>250000</v>
      </c>
      <c r="BJ17" s="163">
        <f>SUM(Q17/D17)</f>
        <v>0</v>
      </c>
      <c r="BK17" s="862"/>
      <c r="BL17" s="862"/>
      <c r="BM17" s="1102"/>
      <c r="BN17" s="1084"/>
      <c r="BO17" s="862"/>
      <c r="BP17" s="862"/>
      <c r="BQ17" s="862"/>
      <c r="BR17" s="862"/>
      <c r="BS17" s="862"/>
      <c r="BT17" s="862"/>
      <c r="BU17" s="862"/>
      <c r="BV17" s="862"/>
      <c r="BW17" s="862">
        <f t="shared" ref="BW17:BW18" si="24">SUM(AN17*12.5%)</f>
        <v>0</v>
      </c>
      <c r="BX17" s="862"/>
      <c r="BY17" s="862"/>
      <c r="BZ17" s="862"/>
      <c r="CA17" s="73">
        <f t="shared" ref="CA17:CA18" si="25">SUM(BO17:BZ17)</f>
        <v>0</v>
      </c>
      <c r="CB17" s="862"/>
      <c r="CC17" s="862"/>
      <c r="CD17" s="862"/>
      <c r="CE17" s="862"/>
      <c r="CF17" s="862"/>
      <c r="CG17" s="862"/>
      <c r="CH17" s="862"/>
      <c r="CI17" s="862"/>
      <c r="CJ17" s="862"/>
      <c r="CK17" s="862"/>
      <c r="CL17" s="862"/>
      <c r="CM17" s="862"/>
      <c r="CN17" s="73">
        <f t="shared" ref="CN17:CN18" si="26">SUM(CB17:CM17)</f>
        <v>0</v>
      </c>
    </row>
    <row r="18" spans="1:98" s="38" customFormat="1" ht="24.75" customHeight="1" thickBot="1" x14ac:dyDescent="0.25">
      <c r="A18" s="577">
        <v>2</v>
      </c>
      <c r="B18" s="44" t="s">
        <v>4</v>
      </c>
      <c r="C18" s="44"/>
      <c r="D18" s="45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77"/>
      <c r="S18" s="45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78">
        <f t="shared" ref="AF18:BF18" si="27">SUM(AF15:AF17)</f>
        <v>0</v>
      </c>
      <c r="AG18" s="78">
        <f t="shared" si="27"/>
        <v>0</v>
      </c>
      <c r="AH18" s="78">
        <f t="shared" si="27"/>
        <v>0</v>
      </c>
      <c r="AI18" s="78">
        <f t="shared" si="27"/>
        <v>0</v>
      </c>
      <c r="AJ18" s="78">
        <f t="shared" si="27"/>
        <v>0</v>
      </c>
      <c r="AK18" s="78">
        <f t="shared" si="27"/>
        <v>0</v>
      </c>
      <c r="AL18" s="78">
        <f t="shared" si="27"/>
        <v>0</v>
      </c>
      <c r="AM18" s="78">
        <f t="shared" si="27"/>
        <v>0</v>
      </c>
      <c r="AN18" s="78">
        <f t="shared" si="27"/>
        <v>0</v>
      </c>
      <c r="AO18" s="78">
        <f t="shared" si="27"/>
        <v>0</v>
      </c>
      <c r="AP18" s="78">
        <f t="shared" si="27"/>
        <v>0</v>
      </c>
      <c r="AQ18" s="78">
        <f t="shared" si="27"/>
        <v>0</v>
      </c>
      <c r="AR18" s="78">
        <f t="shared" si="27"/>
        <v>0</v>
      </c>
      <c r="AS18" s="78">
        <f t="shared" si="27"/>
        <v>0</v>
      </c>
      <c r="AT18" s="78">
        <f t="shared" si="27"/>
        <v>0</v>
      </c>
      <c r="AU18" s="78">
        <f t="shared" si="27"/>
        <v>0</v>
      </c>
      <c r="AV18" s="78">
        <f t="shared" si="27"/>
        <v>0</v>
      </c>
      <c r="AW18" s="78">
        <f t="shared" si="27"/>
        <v>0</v>
      </c>
      <c r="AX18" s="78">
        <f t="shared" si="27"/>
        <v>0</v>
      </c>
      <c r="AY18" s="78">
        <f t="shared" si="27"/>
        <v>0</v>
      </c>
      <c r="AZ18" s="78">
        <f t="shared" si="27"/>
        <v>0</v>
      </c>
      <c r="BA18" s="78">
        <f t="shared" si="27"/>
        <v>0</v>
      </c>
      <c r="BB18" s="78">
        <f t="shared" si="27"/>
        <v>0</v>
      </c>
      <c r="BC18" s="78">
        <f t="shared" si="27"/>
        <v>0</v>
      </c>
      <c r="BD18" s="78">
        <f t="shared" si="27"/>
        <v>0</v>
      </c>
      <c r="BE18" s="78">
        <f t="shared" si="27"/>
        <v>0</v>
      </c>
      <c r="BF18" s="78">
        <f t="shared" si="27"/>
        <v>0</v>
      </c>
      <c r="BG18" s="79">
        <f>AF18-AS18-BF18</f>
        <v>0</v>
      </c>
      <c r="BH18" s="78">
        <f>SUM(BH15:BH17)</f>
        <v>799000</v>
      </c>
      <c r="BI18" s="78">
        <f>SUM(BI15:BI17)</f>
        <v>799000</v>
      </c>
      <c r="BJ18" s="164">
        <f>SUM(BJ15:BJ17)/3</f>
        <v>0</v>
      </c>
      <c r="BK18" s="1083"/>
      <c r="BL18" s="1083"/>
      <c r="BM18" s="1083"/>
      <c r="BN18" s="1084"/>
      <c r="BO18" s="862"/>
      <c r="BP18" s="862"/>
      <c r="BQ18" s="862"/>
      <c r="BR18" s="862"/>
      <c r="BS18" s="862"/>
      <c r="BT18" s="862"/>
      <c r="BU18" s="862"/>
      <c r="BV18" s="862"/>
      <c r="BW18" s="1081">
        <f t="shared" si="24"/>
        <v>0</v>
      </c>
      <c r="BX18" s="862"/>
      <c r="BY18" s="862"/>
      <c r="BZ18" s="862"/>
      <c r="CA18" s="73">
        <f t="shared" si="25"/>
        <v>0</v>
      </c>
      <c r="CB18" s="862"/>
      <c r="CC18" s="862"/>
      <c r="CD18" s="862"/>
      <c r="CE18" s="862"/>
      <c r="CF18" s="862"/>
      <c r="CG18" s="862"/>
      <c r="CH18" s="862"/>
      <c r="CI18" s="862"/>
      <c r="CJ18" s="1081"/>
      <c r="CK18" s="862"/>
      <c r="CL18" s="862"/>
      <c r="CM18" s="862"/>
      <c r="CN18" s="73">
        <f t="shared" si="26"/>
        <v>0</v>
      </c>
    </row>
    <row r="19" spans="1:98" s="20" customFormat="1" ht="24.75" customHeight="1" x14ac:dyDescent="0.2">
      <c r="A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AE19" s="40"/>
      <c r="AS19" s="51"/>
      <c r="BF19" s="52">
        <f>SUM(AS18+BF18)</f>
        <v>0</v>
      </c>
      <c r="BG19" s="53">
        <f>AF18-AS18-BF18</f>
        <v>0</v>
      </c>
      <c r="BH19" s="54">
        <f>SUM(BI18+AS18+BF18)</f>
        <v>799000</v>
      </c>
      <c r="BI19" s="55">
        <f>SUM(BG18)</f>
        <v>0</v>
      </c>
      <c r="BJ19" s="165" t="s">
        <v>38</v>
      </c>
      <c r="BK19" s="171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</row>
    <row r="20" spans="1:98" s="20" customFormat="1" ht="24.75" customHeight="1" x14ac:dyDescent="0.2">
      <c r="A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AE20" s="40"/>
      <c r="AS20" s="40"/>
      <c r="AT20" s="388">
        <f>SUM(AG18+AT18)</f>
        <v>0</v>
      </c>
      <c r="AU20" s="388">
        <f t="shared" ref="AU20:BE20" si="28">SUM(AH18+AU18)</f>
        <v>0</v>
      </c>
      <c r="AV20" s="388">
        <f t="shared" si="28"/>
        <v>0</v>
      </c>
      <c r="AW20" s="388">
        <f t="shared" si="28"/>
        <v>0</v>
      </c>
      <c r="AX20" s="388">
        <f t="shared" si="28"/>
        <v>0</v>
      </c>
      <c r="AY20" s="388">
        <f t="shared" si="28"/>
        <v>0</v>
      </c>
      <c r="AZ20" s="388">
        <f t="shared" si="28"/>
        <v>0</v>
      </c>
      <c r="BA20" s="388">
        <f t="shared" si="28"/>
        <v>0</v>
      </c>
      <c r="BB20" s="388">
        <f t="shared" si="28"/>
        <v>0</v>
      </c>
      <c r="BC20" s="388">
        <f t="shared" si="28"/>
        <v>0</v>
      </c>
      <c r="BD20" s="388">
        <f t="shared" si="28"/>
        <v>0</v>
      </c>
      <c r="BE20" s="388">
        <f t="shared" si="28"/>
        <v>0</v>
      </c>
      <c r="BF20" s="388">
        <f>SUM(AT20:BE20)</f>
        <v>0</v>
      </c>
      <c r="BG20" s="40"/>
      <c r="BH20" s="56"/>
      <c r="BI20" s="57">
        <f>SUM(BI18-BI19)</f>
        <v>799000</v>
      </c>
      <c r="BJ20" s="165" t="s">
        <v>37</v>
      </c>
      <c r="BK20" s="171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</row>
    <row r="21" spans="1:98" s="20" customFormat="1" ht="16.5" customHeight="1" x14ac:dyDescent="0.2">
      <c r="A21" s="1730" t="s">
        <v>8</v>
      </c>
      <c r="B21" s="1731"/>
      <c r="C21" s="124" t="s">
        <v>210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7"/>
      <c r="AF21" s="23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8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8"/>
      <c r="BG21" s="138"/>
      <c r="BH21" s="135"/>
      <c r="BI21" s="139"/>
      <c r="BJ21" s="23"/>
      <c r="BK21" s="169"/>
      <c r="BL21" s="136"/>
      <c r="BM21" s="136"/>
      <c r="BN21" s="136"/>
      <c r="BO21" s="136"/>
      <c r="BP21" s="137"/>
      <c r="BQ21" s="136"/>
      <c r="BR21" s="136"/>
      <c r="BS21" s="136"/>
      <c r="BT21" s="136"/>
      <c r="BU21" s="136"/>
      <c r="BV21" s="138"/>
      <c r="BW21" s="138"/>
      <c r="BX21" s="138"/>
      <c r="BY21" s="135"/>
      <c r="BZ21" s="139"/>
      <c r="CA21" s="138"/>
      <c r="CB21" s="138"/>
      <c r="CC21" s="24"/>
      <c r="CD21" s="24"/>
      <c r="CE21" s="24"/>
      <c r="CF21" s="24"/>
      <c r="CG21" s="24"/>
      <c r="CH21" s="140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</row>
    <row r="22" spans="1:98" s="8" customFormat="1" ht="48.75" customHeight="1" x14ac:dyDescent="0.2">
      <c r="A22" s="1703" t="s">
        <v>10</v>
      </c>
      <c r="B22" s="1706" t="s">
        <v>11</v>
      </c>
      <c r="C22" s="1706" t="s">
        <v>22</v>
      </c>
      <c r="D22" s="1721" t="s">
        <v>12</v>
      </c>
      <c r="E22" s="1721"/>
      <c r="F22" s="1721"/>
      <c r="G22" s="1721"/>
      <c r="H22" s="1721"/>
      <c r="I22" s="1721"/>
      <c r="J22" s="1721"/>
      <c r="K22" s="1721"/>
      <c r="L22" s="1721"/>
      <c r="M22" s="1721"/>
      <c r="N22" s="1721"/>
      <c r="O22" s="1721"/>
      <c r="P22" s="1721"/>
      <c r="Q22" s="1721"/>
      <c r="R22" s="1706" t="s">
        <v>20</v>
      </c>
      <c r="S22" s="1717" t="s">
        <v>17</v>
      </c>
      <c r="T22" s="1718"/>
      <c r="U22" s="1718"/>
      <c r="V22" s="1718"/>
      <c r="W22" s="1718"/>
      <c r="X22" s="1718"/>
      <c r="Y22" s="1718"/>
      <c r="Z22" s="1718"/>
      <c r="AA22" s="1718"/>
      <c r="AB22" s="1718"/>
      <c r="AC22" s="1718"/>
      <c r="AD22" s="1718"/>
      <c r="AE22" s="1719"/>
      <c r="AF22" s="1720" t="s">
        <v>6</v>
      </c>
      <c r="AG22" s="1720"/>
      <c r="AH22" s="1720"/>
      <c r="AI22" s="1720"/>
      <c r="AJ22" s="1720"/>
      <c r="AK22" s="1720"/>
      <c r="AL22" s="1720"/>
      <c r="AM22" s="1720"/>
      <c r="AN22" s="1720"/>
      <c r="AO22" s="1720"/>
      <c r="AP22" s="1720"/>
      <c r="AQ22" s="1720"/>
      <c r="AR22" s="1720"/>
      <c r="AS22" s="1720"/>
      <c r="AT22" s="1722" t="s">
        <v>41</v>
      </c>
      <c r="AU22" s="1723"/>
      <c r="AV22" s="1723"/>
      <c r="AW22" s="1723"/>
      <c r="AX22" s="1723"/>
      <c r="AY22" s="1723"/>
      <c r="AZ22" s="1723"/>
      <c r="BA22" s="1723"/>
      <c r="BB22" s="1723"/>
      <c r="BC22" s="1723"/>
      <c r="BD22" s="1723"/>
      <c r="BE22" s="1723"/>
      <c r="BF22" s="1724"/>
      <c r="BG22" s="1706" t="s">
        <v>38</v>
      </c>
      <c r="BH22" s="1706" t="s">
        <v>256</v>
      </c>
      <c r="BI22" s="1709" t="s">
        <v>39</v>
      </c>
      <c r="BJ22" s="135"/>
      <c r="BK22" s="135"/>
      <c r="BL22" s="135"/>
      <c r="BM22" s="135"/>
      <c r="BN22" s="135"/>
      <c r="BO22" s="1733" t="s">
        <v>41</v>
      </c>
      <c r="BP22" s="1734"/>
      <c r="BQ22" s="1734"/>
      <c r="BR22" s="1734"/>
      <c r="BS22" s="1734"/>
      <c r="BT22" s="1734"/>
      <c r="BU22" s="1734"/>
      <c r="BV22" s="1734"/>
      <c r="BW22" s="1734"/>
      <c r="BX22" s="1734"/>
      <c r="BY22" s="1734"/>
      <c r="BZ22" s="1734"/>
      <c r="CA22" s="1734"/>
      <c r="CB22" s="1734"/>
      <c r="CC22" s="1734"/>
      <c r="CD22" s="1734"/>
      <c r="CE22" s="1734"/>
      <c r="CF22" s="1734"/>
      <c r="CG22" s="1734"/>
      <c r="CH22" s="1734"/>
      <c r="CI22" s="1734"/>
      <c r="CJ22" s="1734"/>
      <c r="CK22" s="1734"/>
      <c r="CL22" s="1734"/>
      <c r="CM22" s="1734"/>
      <c r="CN22" s="1735"/>
    </row>
    <row r="23" spans="1:98" s="8" customFormat="1" ht="48.75" customHeight="1" x14ac:dyDescent="0.2">
      <c r="A23" s="1704"/>
      <c r="B23" s="1707"/>
      <c r="C23" s="1707"/>
      <c r="D23" s="1712" t="s">
        <v>18</v>
      </c>
      <c r="E23" s="1714" t="s">
        <v>19</v>
      </c>
      <c r="F23" s="1715"/>
      <c r="G23" s="1715"/>
      <c r="H23" s="1715"/>
      <c r="I23" s="1715"/>
      <c r="J23" s="1715"/>
      <c r="K23" s="1715"/>
      <c r="L23" s="1715"/>
      <c r="M23" s="1715"/>
      <c r="N23" s="1715"/>
      <c r="O23" s="1715"/>
      <c r="P23" s="1715"/>
      <c r="Q23" s="1715"/>
      <c r="R23" s="1707"/>
      <c r="S23" s="1712" t="s">
        <v>18</v>
      </c>
      <c r="T23" s="1714" t="s">
        <v>19</v>
      </c>
      <c r="U23" s="1715"/>
      <c r="V23" s="1715"/>
      <c r="W23" s="1715"/>
      <c r="X23" s="1715"/>
      <c r="Y23" s="1715"/>
      <c r="Z23" s="1715"/>
      <c r="AA23" s="1715"/>
      <c r="AB23" s="1715"/>
      <c r="AC23" s="1715"/>
      <c r="AD23" s="1715"/>
      <c r="AE23" s="1716"/>
      <c r="AF23" s="1712" t="s">
        <v>18</v>
      </c>
      <c r="AG23" s="1714" t="s">
        <v>19</v>
      </c>
      <c r="AH23" s="1715"/>
      <c r="AI23" s="1715"/>
      <c r="AJ23" s="1715"/>
      <c r="AK23" s="1715"/>
      <c r="AL23" s="1715"/>
      <c r="AM23" s="1715"/>
      <c r="AN23" s="1715"/>
      <c r="AO23" s="1715"/>
      <c r="AP23" s="1715"/>
      <c r="AQ23" s="1715"/>
      <c r="AR23" s="1715"/>
      <c r="AS23" s="1716"/>
      <c r="AT23" s="1725"/>
      <c r="AU23" s="1726"/>
      <c r="AV23" s="1726"/>
      <c r="AW23" s="1726"/>
      <c r="AX23" s="1726"/>
      <c r="AY23" s="1726"/>
      <c r="AZ23" s="1726"/>
      <c r="BA23" s="1726"/>
      <c r="BB23" s="1726"/>
      <c r="BC23" s="1726"/>
      <c r="BD23" s="1726"/>
      <c r="BE23" s="1726"/>
      <c r="BF23" s="1727"/>
      <c r="BG23" s="1707"/>
      <c r="BH23" s="1707"/>
      <c r="BI23" s="1710"/>
      <c r="BJ23" s="135"/>
      <c r="BK23" s="1736">
        <f>SUM(BK25/60)</f>
        <v>0</v>
      </c>
      <c r="BL23" s="1736"/>
      <c r="BM23" s="1736"/>
      <c r="BN23" s="23"/>
      <c r="BO23" s="1737" t="s">
        <v>686</v>
      </c>
      <c r="BP23" s="1738"/>
      <c r="BQ23" s="1738"/>
      <c r="BR23" s="1738"/>
      <c r="BS23" s="1738"/>
      <c r="BT23" s="1738"/>
      <c r="BU23" s="1738"/>
      <c r="BV23" s="1738"/>
      <c r="BW23" s="1738"/>
      <c r="BX23" s="1738"/>
      <c r="BY23" s="1738"/>
      <c r="BZ23" s="1738"/>
      <c r="CA23" s="1739"/>
      <c r="CB23" s="1740" t="s">
        <v>687</v>
      </c>
      <c r="CC23" s="1741"/>
      <c r="CD23" s="1741"/>
      <c r="CE23" s="1741"/>
      <c r="CF23" s="1741"/>
      <c r="CG23" s="1741"/>
      <c r="CH23" s="1741"/>
      <c r="CI23" s="1741"/>
      <c r="CJ23" s="1741"/>
      <c r="CK23" s="1741"/>
      <c r="CL23" s="1741"/>
      <c r="CM23" s="1741"/>
      <c r="CN23" s="1742"/>
    </row>
    <row r="24" spans="1:98" s="6" customFormat="1" ht="28.5" customHeight="1" x14ac:dyDescent="0.2">
      <c r="A24" s="1705"/>
      <c r="B24" s="1708"/>
      <c r="C24" s="1708"/>
      <c r="D24" s="1713"/>
      <c r="E24" s="26">
        <v>1</v>
      </c>
      <c r="F24" s="26">
        <v>2</v>
      </c>
      <c r="G24" s="26">
        <v>3</v>
      </c>
      <c r="H24" s="26">
        <v>4</v>
      </c>
      <c r="I24" s="26">
        <v>5</v>
      </c>
      <c r="J24" s="26">
        <v>6</v>
      </c>
      <c r="K24" s="26">
        <v>7</v>
      </c>
      <c r="L24" s="26">
        <v>8</v>
      </c>
      <c r="M24" s="26">
        <v>9</v>
      </c>
      <c r="N24" s="26">
        <v>10</v>
      </c>
      <c r="O24" s="26">
        <v>11</v>
      </c>
      <c r="P24" s="26">
        <v>12</v>
      </c>
      <c r="Q24" s="26" t="s">
        <v>21</v>
      </c>
      <c r="R24" s="1707"/>
      <c r="S24" s="1784"/>
      <c r="T24" s="26">
        <v>1</v>
      </c>
      <c r="U24" s="26">
        <v>2</v>
      </c>
      <c r="V24" s="26">
        <v>3</v>
      </c>
      <c r="W24" s="26">
        <v>4</v>
      </c>
      <c r="X24" s="26">
        <v>5</v>
      </c>
      <c r="Y24" s="26">
        <v>6</v>
      </c>
      <c r="Z24" s="26">
        <v>7</v>
      </c>
      <c r="AA24" s="26">
        <v>8</v>
      </c>
      <c r="AB24" s="26">
        <v>9</v>
      </c>
      <c r="AC24" s="26">
        <v>10</v>
      </c>
      <c r="AD24" s="26">
        <v>11</v>
      </c>
      <c r="AE24" s="26">
        <v>12</v>
      </c>
      <c r="AF24" s="1713"/>
      <c r="AG24" s="26">
        <v>1</v>
      </c>
      <c r="AH24" s="26">
        <v>2</v>
      </c>
      <c r="AI24" s="26">
        <v>3</v>
      </c>
      <c r="AJ24" s="26">
        <v>4</v>
      </c>
      <c r="AK24" s="26">
        <v>5</v>
      </c>
      <c r="AL24" s="26">
        <v>6</v>
      </c>
      <c r="AM24" s="26">
        <v>7</v>
      </c>
      <c r="AN24" s="26">
        <v>8</v>
      </c>
      <c r="AO24" s="26">
        <v>9</v>
      </c>
      <c r="AP24" s="26">
        <v>10</v>
      </c>
      <c r="AQ24" s="26">
        <v>11</v>
      </c>
      <c r="AR24" s="26">
        <v>12</v>
      </c>
      <c r="AS24" s="26" t="s">
        <v>13</v>
      </c>
      <c r="AT24" s="643">
        <v>1</v>
      </c>
      <c r="AU24" s="643">
        <v>2</v>
      </c>
      <c r="AV24" s="643">
        <v>3</v>
      </c>
      <c r="AW24" s="643">
        <v>4</v>
      </c>
      <c r="AX24" s="643">
        <v>5</v>
      </c>
      <c r="AY24" s="643">
        <v>6</v>
      </c>
      <c r="AZ24" s="643">
        <v>7</v>
      </c>
      <c r="BA24" s="643">
        <v>8</v>
      </c>
      <c r="BB24" s="643">
        <v>9</v>
      </c>
      <c r="BC24" s="643">
        <v>10</v>
      </c>
      <c r="BD24" s="643">
        <v>11</v>
      </c>
      <c r="BE24" s="643">
        <v>12</v>
      </c>
      <c r="BF24" s="26" t="s">
        <v>13</v>
      </c>
      <c r="BG24" s="1708"/>
      <c r="BH24" s="1708"/>
      <c r="BI24" s="1711"/>
      <c r="BJ24" s="7"/>
      <c r="BK24" s="1743" t="s">
        <v>19</v>
      </c>
      <c r="BL24" s="1744"/>
      <c r="BM24" s="1745"/>
      <c r="BN24" s="621"/>
      <c r="BO24" s="173">
        <v>1</v>
      </c>
      <c r="BP24" s="173">
        <v>2</v>
      </c>
      <c r="BQ24" s="173">
        <v>3</v>
      </c>
      <c r="BR24" s="173">
        <v>4</v>
      </c>
      <c r="BS24" s="173">
        <v>5</v>
      </c>
      <c r="BT24" s="173">
        <v>6</v>
      </c>
      <c r="BU24" s="173">
        <v>7</v>
      </c>
      <c r="BV24" s="173">
        <v>8</v>
      </c>
      <c r="BW24" s="173">
        <v>9</v>
      </c>
      <c r="BX24" s="173">
        <v>10</v>
      </c>
      <c r="BY24" s="173">
        <v>11</v>
      </c>
      <c r="BZ24" s="173">
        <v>12</v>
      </c>
      <c r="CA24" s="26" t="s">
        <v>13</v>
      </c>
      <c r="CB24" s="173">
        <v>1</v>
      </c>
      <c r="CC24" s="173">
        <v>2</v>
      </c>
      <c r="CD24" s="173">
        <v>3</v>
      </c>
      <c r="CE24" s="173">
        <v>4</v>
      </c>
      <c r="CF24" s="173">
        <v>5</v>
      </c>
      <c r="CG24" s="173">
        <v>6</v>
      </c>
      <c r="CH24" s="173">
        <v>7</v>
      </c>
      <c r="CI24" s="173">
        <v>8</v>
      </c>
      <c r="CJ24" s="173">
        <v>9</v>
      </c>
      <c r="CK24" s="173">
        <v>10</v>
      </c>
      <c r="CL24" s="173">
        <v>11</v>
      </c>
      <c r="CM24" s="173">
        <v>12</v>
      </c>
      <c r="CN24" s="26" t="s">
        <v>13</v>
      </c>
    </row>
    <row r="25" spans="1:98" s="637" customFormat="1" ht="28.5" customHeight="1" x14ac:dyDescent="0.2">
      <c r="A25" s="617"/>
      <c r="B25" s="631" t="s">
        <v>238</v>
      </c>
      <c r="C25" s="618"/>
      <c r="D25" s="636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34"/>
      <c r="S25" s="634"/>
      <c r="T25" s="634"/>
      <c r="U25" s="620"/>
      <c r="V25" s="620"/>
      <c r="W25" s="620"/>
      <c r="X25" s="620"/>
      <c r="Y25" s="620"/>
      <c r="Z25" s="620"/>
      <c r="AA25" s="620"/>
      <c r="AB25" s="620"/>
      <c r="AC25" s="620"/>
      <c r="AD25" s="620"/>
      <c r="AE25" s="620"/>
      <c r="AF25" s="618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21"/>
      <c r="AU25" s="621"/>
      <c r="AV25" s="621"/>
      <c r="AW25" s="621"/>
      <c r="AX25" s="621"/>
      <c r="AY25" s="621"/>
      <c r="AZ25" s="621"/>
      <c r="BA25" s="621"/>
      <c r="BB25" s="621"/>
      <c r="BC25" s="621"/>
      <c r="BD25" s="621"/>
      <c r="BE25" s="621"/>
      <c r="BF25" s="620"/>
      <c r="BG25" s="622"/>
      <c r="BH25" s="618"/>
      <c r="BI25" s="622"/>
      <c r="BJ25" s="37"/>
      <c r="BK25" s="1081"/>
      <c r="BL25" s="1081"/>
      <c r="BM25" s="1083"/>
      <c r="BN25" s="1084"/>
      <c r="BO25" s="862"/>
      <c r="BP25" s="862"/>
      <c r="BQ25" s="862"/>
      <c r="BR25" s="862"/>
      <c r="BS25" s="862"/>
      <c r="BT25" s="862"/>
      <c r="BU25" s="862"/>
      <c r="BV25" s="862"/>
      <c r="BW25" s="1081">
        <f t="shared" ref="BW25:BW26" si="29">SUM(AN25*12.5%)</f>
        <v>0</v>
      </c>
      <c r="BX25" s="862"/>
      <c r="BY25" s="862"/>
      <c r="BZ25" s="862"/>
      <c r="CA25" s="73">
        <f t="shared" ref="CA25" si="30">SUM(BO25:BZ25)</f>
        <v>0</v>
      </c>
      <c r="CB25" s="862"/>
      <c r="CC25" s="862"/>
      <c r="CD25" s="862"/>
      <c r="CE25" s="862"/>
      <c r="CF25" s="862"/>
      <c r="CG25" s="862"/>
      <c r="CH25" s="862"/>
      <c r="CI25" s="862"/>
      <c r="CJ25" s="1081"/>
      <c r="CK25" s="862"/>
      <c r="CL25" s="862"/>
      <c r="CM25" s="862"/>
      <c r="CN25" s="73">
        <f t="shared" ref="CN25:CN26" si="31">SUM(CB25:CM25)</f>
        <v>0</v>
      </c>
    </row>
    <row r="26" spans="1:98" s="37" customFormat="1" ht="24.75" customHeight="1" x14ac:dyDescent="0.2">
      <c r="A26" s="28"/>
      <c r="B26" s="638" t="s">
        <v>408</v>
      </c>
      <c r="C26" s="29" t="s">
        <v>24</v>
      </c>
      <c r="D26" s="639">
        <v>25</v>
      </c>
      <c r="E26" s="625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1">
        <f>SUM(E26:P26)</f>
        <v>0</v>
      </c>
      <c r="R26" s="640" t="s">
        <v>0</v>
      </c>
      <c r="S26" s="641">
        <v>28500</v>
      </c>
      <c r="T26" s="642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629">
        <f t="shared" ref="AF26:AF28" si="32">SUM(Q26*S26)</f>
        <v>0</v>
      </c>
      <c r="AG26" s="70">
        <f t="shared" ref="AG26:AG28" si="33">T26*E26</f>
        <v>0</v>
      </c>
      <c r="AH26" s="70">
        <f t="shared" ref="AH26:AH28" si="34">U26*F26</f>
        <v>0</v>
      </c>
      <c r="AI26" s="70">
        <f t="shared" ref="AI26:AI28" si="35">V26*G26</f>
        <v>0</v>
      </c>
      <c r="AJ26" s="70">
        <f t="shared" ref="AJ26:AJ28" si="36">W26*H26</f>
        <v>0</v>
      </c>
      <c r="AK26" s="70">
        <f t="shared" ref="AK26:AK28" si="37">X26*I26</f>
        <v>0</v>
      </c>
      <c r="AL26" s="70">
        <f t="shared" ref="AL26:AL28" si="38">Y26*J26</f>
        <v>0</v>
      </c>
      <c r="AM26" s="70">
        <f t="shared" ref="AM26:AM28" si="39">Z26*K26</f>
        <v>0</v>
      </c>
      <c r="AN26" s="70">
        <f t="shared" ref="AN26:AN28" si="40">AA26*L26</f>
        <v>0</v>
      </c>
      <c r="AO26" s="70">
        <f t="shared" ref="AO26:AO28" si="41">AB26*M26</f>
        <v>0</v>
      </c>
      <c r="AP26" s="70">
        <f t="shared" ref="AP26:AP28" si="42">AC26*N26</f>
        <v>0</v>
      </c>
      <c r="AQ26" s="70">
        <f t="shared" ref="AQ26:AQ28" si="43">AD26*O26</f>
        <v>0</v>
      </c>
      <c r="AR26" s="70">
        <f t="shared" ref="AR26:AR28" si="44">AE26*P26</f>
        <v>0</v>
      </c>
      <c r="AS26" s="71">
        <f>SUM(AG26:AR26)</f>
        <v>0</v>
      </c>
      <c r="AT26" s="70"/>
      <c r="AU26" s="70">
        <f t="shared" ref="AU26:AU28" si="45">SUM(AH26*14%)</f>
        <v>0</v>
      </c>
      <c r="AV26" s="70">
        <f t="shared" ref="AV26:AV28" si="46">SUM(AI26*14%)</f>
        <v>0</v>
      </c>
      <c r="AW26" s="70">
        <f t="shared" ref="AW26:AW28" si="47">SUM(AJ26*14%)</f>
        <v>0</v>
      </c>
      <c r="AX26" s="70">
        <f t="shared" ref="AX26:AX28" si="48">SUM(AK26*14%)</f>
        <v>0</v>
      </c>
      <c r="AY26" s="70">
        <f t="shared" ref="AY26:AY28" si="49">SUM(AL26*14%)</f>
        <v>0</v>
      </c>
      <c r="AZ26" s="70">
        <f t="shared" ref="AZ26:AZ28" si="50">SUM(AM26*14%)</f>
        <v>0</v>
      </c>
      <c r="BA26" s="70">
        <f t="shared" ref="BA26:BA28" si="51">SUM(AN26*14%)</f>
        <v>0</v>
      </c>
      <c r="BB26" s="70">
        <f t="shared" ref="BB26:BB28" si="52">SUM(AO26*14%)</f>
        <v>0</v>
      </c>
      <c r="BC26" s="70">
        <f t="shared" ref="BC26:BC28" si="53">SUM(AP26*14%)</f>
        <v>0</v>
      </c>
      <c r="BD26" s="70">
        <f t="shared" ref="BD26:BD28" si="54">SUM(AQ26*14%)</f>
        <v>0</v>
      </c>
      <c r="BE26" s="70">
        <f t="shared" ref="BE26:BE28" si="55">SUM(AR26*14%)</f>
        <v>0</v>
      </c>
      <c r="BF26" s="72">
        <f t="shared" ref="BF26:BF28" si="56">SUM(AT26:BE26)</f>
        <v>0</v>
      </c>
      <c r="BG26" s="73">
        <f>AF26-AS26-BF26</f>
        <v>0</v>
      </c>
      <c r="BH26" s="74">
        <f>S26*D26</f>
        <v>712500</v>
      </c>
      <c r="BI26" s="75">
        <f t="shared" ref="BI26:BI28" si="57">BH26-AS26-BF26</f>
        <v>712500</v>
      </c>
      <c r="BJ26" s="630">
        <f>SUM(Q26/D26)</f>
        <v>0</v>
      </c>
      <c r="BK26" s="1081"/>
      <c r="BL26" s="1081"/>
      <c r="BM26" s="1083"/>
      <c r="BN26" s="1084"/>
      <c r="BO26" s="862"/>
      <c r="BP26" s="862"/>
      <c r="BQ26" s="862"/>
      <c r="BR26" s="862"/>
      <c r="BS26" s="862"/>
      <c r="BT26" s="862"/>
      <c r="BU26" s="862"/>
      <c r="BV26" s="862"/>
      <c r="BW26" s="1081">
        <f t="shared" si="29"/>
        <v>0</v>
      </c>
      <c r="BX26" s="862"/>
      <c r="BY26" s="862"/>
      <c r="BZ26" s="862"/>
      <c r="CA26" s="73">
        <f t="shared" ref="CA26" si="58">SUM(BO26:BZ26)</f>
        <v>0</v>
      </c>
      <c r="CB26" s="862"/>
      <c r="CC26" s="862"/>
      <c r="CD26" s="862"/>
      <c r="CE26" s="862"/>
      <c r="CF26" s="862"/>
      <c r="CG26" s="862"/>
      <c r="CH26" s="862"/>
      <c r="CI26" s="862"/>
      <c r="CJ26" s="1081"/>
      <c r="CK26" s="862"/>
      <c r="CL26" s="862"/>
      <c r="CM26" s="862"/>
      <c r="CN26" s="73">
        <f t="shared" si="31"/>
        <v>0</v>
      </c>
    </row>
    <row r="27" spans="1:98" s="37" customFormat="1" ht="24.75" customHeight="1" x14ac:dyDescent="0.2">
      <c r="A27" s="28"/>
      <c r="B27" s="638" t="s">
        <v>409</v>
      </c>
      <c r="C27" s="29" t="s">
        <v>24</v>
      </c>
      <c r="D27" s="632">
        <v>40</v>
      </c>
      <c r="E27" s="625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1">
        <f>SUM(E27:P27)</f>
        <v>0</v>
      </c>
      <c r="R27" s="640" t="s">
        <v>0</v>
      </c>
      <c r="S27" s="641">
        <v>10300</v>
      </c>
      <c r="T27" s="628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629">
        <f t="shared" si="32"/>
        <v>0</v>
      </c>
      <c r="AG27" s="70">
        <f t="shared" si="33"/>
        <v>0</v>
      </c>
      <c r="AH27" s="70">
        <f t="shared" si="34"/>
        <v>0</v>
      </c>
      <c r="AI27" s="70">
        <f t="shared" si="35"/>
        <v>0</v>
      </c>
      <c r="AJ27" s="70">
        <f t="shared" si="36"/>
        <v>0</v>
      </c>
      <c r="AK27" s="70">
        <f t="shared" si="37"/>
        <v>0</v>
      </c>
      <c r="AL27" s="70">
        <f t="shared" si="38"/>
        <v>0</v>
      </c>
      <c r="AM27" s="70">
        <f t="shared" si="39"/>
        <v>0</v>
      </c>
      <c r="AN27" s="70">
        <f t="shared" si="40"/>
        <v>0</v>
      </c>
      <c r="AO27" s="70">
        <f t="shared" si="41"/>
        <v>0</v>
      </c>
      <c r="AP27" s="70">
        <f t="shared" si="42"/>
        <v>0</v>
      </c>
      <c r="AQ27" s="70">
        <f t="shared" si="43"/>
        <v>0</v>
      </c>
      <c r="AR27" s="70">
        <f t="shared" si="44"/>
        <v>0</v>
      </c>
      <c r="AS27" s="71">
        <f>SUM(AG27:AR27)</f>
        <v>0</v>
      </c>
      <c r="AT27" s="70">
        <f>SUM(AG27*4%)</f>
        <v>0</v>
      </c>
      <c r="AU27" s="70">
        <f t="shared" si="45"/>
        <v>0</v>
      </c>
      <c r="AV27" s="70">
        <f t="shared" si="46"/>
        <v>0</v>
      </c>
      <c r="AW27" s="70">
        <f t="shared" si="47"/>
        <v>0</v>
      </c>
      <c r="AX27" s="70">
        <f t="shared" si="48"/>
        <v>0</v>
      </c>
      <c r="AY27" s="70">
        <f t="shared" si="49"/>
        <v>0</v>
      </c>
      <c r="AZ27" s="70">
        <f t="shared" si="50"/>
        <v>0</v>
      </c>
      <c r="BA27" s="70">
        <f t="shared" si="51"/>
        <v>0</v>
      </c>
      <c r="BB27" s="70">
        <f t="shared" si="52"/>
        <v>0</v>
      </c>
      <c r="BC27" s="70">
        <f t="shared" si="53"/>
        <v>0</v>
      </c>
      <c r="BD27" s="70">
        <f t="shared" si="54"/>
        <v>0</v>
      </c>
      <c r="BE27" s="70">
        <f t="shared" si="55"/>
        <v>0</v>
      </c>
      <c r="BF27" s="72">
        <f t="shared" si="56"/>
        <v>0</v>
      </c>
      <c r="BG27" s="73">
        <f>AF27-AS27-BF27</f>
        <v>0</v>
      </c>
      <c r="BH27" s="74">
        <f>S27*D27</f>
        <v>412000</v>
      </c>
      <c r="BI27" s="75">
        <f t="shared" si="57"/>
        <v>412000</v>
      </c>
      <c r="BJ27" s="630">
        <f>SUM(Q27/D27)</f>
        <v>0</v>
      </c>
      <c r="BK27" s="1081"/>
      <c r="BL27" s="1081"/>
      <c r="BM27" s="1083"/>
      <c r="BN27" s="1084"/>
      <c r="BO27" s="862"/>
      <c r="BP27" s="862"/>
      <c r="BQ27" s="862"/>
      <c r="BR27" s="862"/>
      <c r="BS27" s="862"/>
      <c r="BT27" s="862"/>
      <c r="BU27" s="862"/>
      <c r="BV27" s="862"/>
      <c r="BW27" s="1081">
        <f t="shared" ref="BW27:BW38" si="59">SUM(AN27*12.5%)</f>
        <v>0</v>
      </c>
      <c r="BX27" s="862"/>
      <c r="BY27" s="862"/>
      <c r="BZ27" s="862"/>
      <c r="CA27" s="73">
        <f t="shared" ref="CA27:CA38" si="60">SUM(BO27:BZ27)</f>
        <v>0</v>
      </c>
      <c r="CB27" s="862"/>
      <c r="CC27" s="862"/>
      <c r="CD27" s="862"/>
      <c r="CE27" s="862"/>
      <c r="CF27" s="862"/>
      <c r="CG27" s="862"/>
      <c r="CH27" s="862"/>
      <c r="CI27" s="862"/>
      <c r="CJ27" s="1081"/>
      <c r="CK27" s="862"/>
      <c r="CL27" s="862"/>
      <c r="CM27" s="862"/>
      <c r="CN27" s="73">
        <f t="shared" ref="CN27:CN38" si="61">SUM(CB27:CM27)</f>
        <v>0</v>
      </c>
    </row>
    <row r="28" spans="1:98" s="37" customFormat="1" ht="24.75" customHeight="1" x14ac:dyDescent="0.2">
      <c r="A28" s="28"/>
      <c r="B28" s="638" t="s">
        <v>410</v>
      </c>
      <c r="C28" s="29" t="s">
        <v>24</v>
      </c>
      <c r="D28" s="632">
        <v>40</v>
      </c>
      <c r="E28" s="625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1">
        <f>SUM(E28:P28)</f>
        <v>0</v>
      </c>
      <c r="R28" s="640" t="s">
        <v>31</v>
      </c>
      <c r="S28" s="641">
        <v>28500</v>
      </c>
      <c r="T28" s="628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629">
        <f t="shared" si="32"/>
        <v>0</v>
      </c>
      <c r="AG28" s="70">
        <f t="shared" si="33"/>
        <v>0</v>
      </c>
      <c r="AH28" s="70">
        <f t="shared" si="34"/>
        <v>0</v>
      </c>
      <c r="AI28" s="70">
        <f t="shared" si="35"/>
        <v>0</v>
      </c>
      <c r="AJ28" s="70">
        <f t="shared" si="36"/>
        <v>0</v>
      </c>
      <c r="AK28" s="70">
        <f t="shared" si="37"/>
        <v>0</v>
      </c>
      <c r="AL28" s="70">
        <f t="shared" si="38"/>
        <v>0</v>
      </c>
      <c r="AM28" s="70">
        <f t="shared" si="39"/>
        <v>0</v>
      </c>
      <c r="AN28" s="70">
        <f t="shared" si="40"/>
        <v>0</v>
      </c>
      <c r="AO28" s="70">
        <f t="shared" si="41"/>
        <v>0</v>
      </c>
      <c r="AP28" s="70">
        <f t="shared" si="42"/>
        <v>0</v>
      </c>
      <c r="AQ28" s="70">
        <f t="shared" si="43"/>
        <v>0</v>
      </c>
      <c r="AR28" s="70">
        <f t="shared" si="44"/>
        <v>0</v>
      </c>
      <c r="AS28" s="71">
        <f>SUM(AG28:AR28)</f>
        <v>0</v>
      </c>
      <c r="AT28" s="70"/>
      <c r="AU28" s="70">
        <f t="shared" si="45"/>
        <v>0</v>
      </c>
      <c r="AV28" s="70">
        <f t="shared" si="46"/>
        <v>0</v>
      </c>
      <c r="AW28" s="70">
        <f t="shared" si="47"/>
        <v>0</v>
      </c>
      <c r="AX28" s="70">
        <f t="shared" si="48"/>
        <v>0</v>
      </c>
      <c r="AY28" s="70">
        <f t="shared" si="49"/>
        <v>0</v>
      </c>
      <c r="AZ28" s="70">
        <f t="shared" si="50"/>
        <v>0</v>
      </c>
      <c r="BA28" s="70">
        <f t="shared" si="51"/>
        <v>0</v>
      </c>
      <c r="BB28" s="70">
        <f t="shared" si="52"/>
        <v>0</v>
      </c>
      <c r="BC28" s="70">
        <f t="shared" si="53"/>
        <v>0</v>
      </c>
      <c r="BD28" s="70">
        <f t="shared" si="54"/>
        <v>0</v>
      </c>
      <c r="BE28" s="70">
        <f t="shared" si="55"/>
        <v>0</v>
      </c>
      <c r="BF28" s="72">
        <f t="shared" si="56"/>
        <v>0</v>
      </c>
      <c r="BG28" s="73">
        <f>AF28-AS28-BF28</f>
        <v>0</v>
      </c>
      <c r="BH28" s="74">
        <f>S28*D28</f>
        <v>1140000</v>
      </c>
      <c r="BI28" s="75">
        <f t="shared" si="57"/>
        <v>1140000</v>
      </c>
      <c r="BJ28" s="630">
        <f>SUM(Q28/D28)</f>
        <v>0</v>
      </c>
      <c r="BK28" s="1081"/>
      <c r="BL28" s="1081"/>
      <c r="BM28" s="1083"/>
      <c r="BN28" s="1084"/>
      <c r="BO28" s="862"/>
      <c r="BP28" s="862"/>
      <c r="BQ28" s="862"/>
      <c r="BR28" s="862"/>
      <c r="BS28" s="862"/>
      <c r="BT28" s="862"/>
      <c r="BU28" s="862"/>
      <c r="BV28" s="862"/>
      <c r="BW28" s="1081">
        <f t="shared" si="59"/>
        <v>0</v>
      </c>
      <c r="BX28" s="862"/>
      <c r="BY28" s="862"/>
      <c r="BZ28" s="862"/>
      <c r="CA28" s="73">
        <f t="shared" si="60"/>
        <v>0</v>
      </c>
      <c r="CB28" s="862"/>
      <c r="CC28" s="862"/>
      <c r="CD28" s="862"/>
      <c r="CE28" s="862"/>
      <c r="CF28" s="862"/>
      <c r="CG28" s="862"/>
      <c r="CH28" s="862"/>
      <c r="CI28" s="862"/>
      <c r="CJ28" s="1081"/>
      <c r="CK28" s="862"/>
      <c r="CL28" s="862"/>
      <c r="CM28" s="862"/>
      <c r="CN28" s="73">
        <f t="shared" si="61"/>
        <v>0</v>
      </c>
    </row>
    <row r="29" spans="1:98" s="37" customFormat="1" ht="24.75" customHeight="1" x14ac:dyDescent="0.2">
      <c r="A29" s="28"/>
      <c r="B29" s="623" t="s">
        <v>411</v>
      </c>
      <c r="C29" s="29" t="s">
        <v>24</v>
      </c>
      <c r="D29" s="624">
        <v>990</v>
      </c>
      <c r="E29" s="62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1">
        <f t="shared" ref="Q29:Q30" si="62">SUM(E29:P29)</f>
        <v>0</v>
      </c>
      <c r="R29" s="626" t="s">
        <v>212</v>
      </c>
      <c r="S29" s="627">
        <v>1000</v>
      </c>
      <c r="T29" s="628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629">
        <f t="shared" ref="AF29:AF30" si="63">SUM(Q29*S29)</f>
        <v>0</v>
      </c>
      <c r="AG29" s="70">
        <f t="shared" ref="AG29:AG30" si="64">T29*E29</f>
        <v>0</v>
      </c>
      <c r="AH29" s="70">
        <f t="shared" ref="AH29:AH30" si="65">U29*F29</f>
        <v>0</v>
      </c>
      <c r="AI29" s="70">
        <f t="shared" ref="AI29:AI30" si="66">V29*G29</f>
        <v>0</v>
      </c>
      <c r="AJ29" s="70">
        <f t="shared" ref="AJ29:AJ30" si="67">W29*H29</f>
        <v>0</v>
      </c>
      <c r="AK29" s="70">
        <f t="shared" ref="AK29:AK30" si="68">X29*I29</f>
        <v>0</v>
      </c>
      <c r="AL29" s="70">
        <f t="shared" ref="AL29:AL30" si="69">Y29*J29</f>
        <v>0</v>
      </c>
      <c r="AM29" s="70">
        <f t="shared" ref="AM29:AM30" si="70">Z29*K29</f>
        <v>0</v>
      </c>
      <c r="AN29" s="70">
        <f t="shared" ref="AN29:AN30" si="71">AA29*L29</f>
        <v>0</v>
      </c>
      <c r="AO29" s="70">
        <f t="shared" ref="AO29:AO30" si="72">AB29*M29</f>
        <v>0</v>
      </c>
      <c r="AP29" s="70">
        <f t="shared" ref="AP29:AP30" si="73">AC29*N29</f>
        <v>0</v>
      </c>
      <c r="AQ29" s="70">
        <f t="shared" ref="AQ29:AQ30" si="74">AD29*O29</f>
        <v>0</v>
      </c>
      <c r="AR29" s="70">
        <f t="shared" ref="AR29:AR30" si="75">AE29*P29</f>
        <v>0</v>
      </c>
      <c r="AS29" s="71">
        <f t="shared" ref="AS29:AS30" si="76">SUM(AG29:AR29)</f>
        <v>0</v>
      </c>
      <c r="AT29" s="70"/>
      <c r="AU29" s="70">
        <f t="shared" ref="AU29:AU30" si="77">SUM(AH29*14%)</f>
        <v>0</v>
      </c>
      <c r="AV29" s="70">
        <f t="shared" ref="AV29:AV30" si="78">SUM(AI29*14%)</f>
        <v>0</v>
      </c>
      <c r="AW29" s="70">
        <f t="shared" ref="AW29:AW30" si="79">SUM(AJ29*14%)</f>
        <v>0</v>
      </c>
      <c r="AX29" s="70">
        <f t="shared" ref="AX29:AX30" si="80">SUM(AK29*14%)</f>
        <v>0</v>
      </c>
      <c r="AY29" s="70">
        <f t="shared" ref="AY29:AY30" si="81">SUM(AL29*14%)</f>
        <v>0</v>
      </c>
      <c r="AZ29" s="70">
        <f t="shared" ref="AZ29:AZ30" si="82">SUM(AM29*14%)</f>
        <v>0</v>
      </c>
      <c r="BA29" s="70">
        <f t="shared" ref="BA29:BA30" si="83">SUM(AN29*14%)</f>
        <v>0</v>
      </c>
      <c r="BB29" s="70">
        <f t="shared" ref="BB29:BB30" si="84">SUM(AO29*14%)</f>
        <v>0</v>
      </c>
      <c r="BC29" s="70">
        <f t="shared" ref="BC29:BC30" si="85">SUM(AP29*14%)</f>
        <v>0</v>
      </c>
      <c r="BD29" s="70">
        <f t="shared" ref="BD29:BD30" si="86">SUM(AQ29*14%)</f>
        <v>0</v>
      </c>
      <c r="BE29" s="70">
        <f t="shared" ref="BE29:BE30" si="87">SUM(AR29*14%)</f>
        <v>0</v>
      </c>
      <c r="BF29" s="72">
        <f t="shared" ref="BF29:BF30" si="88">SUM(AT29:BE29)</f>
        <v>0</v>
      </c>
      <c r="BG29" s="73">
        <f t="shared" ref="BG29:BG30" si="89">AF29-AS29-BF29</f>
        <v>0</v>
      </c>
      <c r="BH29" s="74">
        <f t="shared" ref="BH29:BH30" si="90">S29*D29</f>
        <v>990000</v>
      </c>
      <c r="BI29" s="75">
        <f t="shared" ref="BI29:BI30" si="91">BH29-AS29-BF29</f>
        <v>990000</v>
      </c>
      <c r="BJ29" s="630">
        <f t="shared" ref="BJ29:BJ30" si="92">SUM(Q29/D29)</f>
        <v>0</v>
      </c>
      <c r="BK29" s="1081"/>
      <c r="BL29" s="1081"/>
      <c r="BM29" s="1083"/>
      <c r="BN29" s="1084"/>
      <c r="BO29" s="862"/>
      <c r="BP29" s="862"/>
      <c r="BQ29" s="862"/>
      <c r="BR29" s="862"/>
      <c r="BS29" s="862"/>
      <c r="BT29" s="862"/>
      <c r="BU29" s="862"/>
      <c r="BV29" s="862"/>
      <c r="BW29" s="1081">
        <f t="shared" si="59"/>
        <v>0</v>
      </c>
      <c r="BX29" s="862"/>
      <c r="BY29" s="862"/>
      <c r="BZ29" s="862"/>
      <c r="CA29" s="73">
        <f t="shared" si="60"/>
        <v>0</v>
      </c>
      <c r="CB29" s="862"/>
      <c r="CC29" s="862"/>
      <c r="CD29" s="862"/>
      <c r="CE29" s="862"/>
      <c r="CF29" s="862"/>
      <c r="CG29" s="862"/>
      <c r="CH29" s="862"/>
      <c r="CI29" s="862"/>
      <c r="CJ29" s="1081"/>
      <c r="CK29" s="862"/>
      <c r="CL29" s="862"/>
      <c r="CM29" s="862"/>
      <c r="CN29" s="73">
        <f t="shared" si="61"/>
        <v>0</v>
      </c>
    </row>
    <row r="30" spans="1:98" s="37" customFormat="1" ht="24.75" customHeight="1" x14ac:dyDescent="0.2">
      <c r="A30" s="28"/>
      <c r="B30" s="623" t="s">
        <v>213</v>
      </c>
      <c r="C30" s="29" t="s">
        <v>24</v>
      </c>
      <c r="D30" s="624">
        <v>19</v>
      </c>
      <c r="E30" s="62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1">
        <f t="shared" si="62"/>
        <v>0</v>
      </c>
      <c r="R30" s="626" t="s">
        <v>68</v>
      </c>
      <c r="S30" s="627">
        <v>100000</v>
      </c>
      <c r="T30" s="628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629">
        <f t="shared" si="63"/>
        <v>0</v>
      </c>
      <c r="AG30" s="70">
        <f t="shared" si="64"/>
        <v>0</v>
      </c>
      <c r="AH30" s="70">
        <f t="shared" si="65"/>
        <v>0</v>
      </c>
      <c r="AI30" s="70">
        <f t="shared" si="66"/>
        <v>0</v>
      </c>
      <c r="AJ30" s="70">
        <f t="shared" si="67"/>
        <v>0</v>
      </c>
      <c r="AK30" s="70">
        <f t="shared" si="68"/>
        <v>0</v>
      </c>
      <c r="AL30" s="70">
        <f t="shared" si="69"/>
        <v>0</v>
      </c>
      <c r="AM30" s="70">
        <f t="shared" si="70"/>
        <v>0</v>
      </c>
      <c r="AN30" s="70">
        <f t="shared" si="71"/>
        <v>0</v>
      </c>
      <c r="AO30" s="70">
        <f t="shared" si="72"/>
        <v>0</v>
      </c>
      <c r="AP30" s="70">
        <f t="shared" si="73"/>
        <v>0</v>
      </c>
      <c r="AQ30" s="70">
        <f t="shared" si="74"/>
        <v>0</v>
      </c>
      <c r="AR30" s="70">
        <f t="shared" si="75"/>
        <v>0</v>
      </c>
      <c r="AS30" s="71">
        <f t="shared" si="76"/>
        <v>0</v>
      </c>
      <c r="AT30" s="70"/>
      <c r="AU30" s="70">
        <f t="shared" si="77"/>
        <v>0</v>
      </c>
      <c r="AV30" s="70">
        <f t="shared" si="78"/>
        <v>0</v>
      </c>
      <c r="AW30" s="70">
        <f t="shared" si="79"/>
        <v>0</v>
      </c>
      <c r="AX30" s="70">
        <f t="shared" si="80"/>
        <v>0</v>
      </c>
      <c r="AY30" s="70">
        <f t="shared" si="81"/>
        <v>0</v>
      </c>
      <c r="AZ30" s="70">
        <f t="shared" si="82"/>
        <v>0</v>
      </c>
      <c r="BA30" s="70">
        <f t="shared" si="83"/>
        <v>0</v>
      </c>
      <c r="BB30" s="70">
        <f t="shared" si="84"/>
        <v>0</v>
      </c>
      <c r="BC30" s="70">
        <f t="shared" si="85"/>
        <v>0</v>
      </c>
      <c r="BD30" s="70">
        <f t="shared" si="86"/>
        <v>0</v>
      </c>
      <c r="BE30" s="70">
        <f t="shared" si="87"/>
        <v>0</v>
      </c>
      <c r="BF30" s="72">
        <f t="shared" si="88"/>
        <v>0</v>
      </c>
      <c r="BG30" s="73">
        <f t="shared" si="89"/>
        <v>0</v>
      </c>
      <c r="BH30" s="74">
        <f t="shared" si="90"/>
        <v>1900000</v>
      </c>
      <c r="BI30" s="75">
        <f t="shared" si="91"/>
        <v>1900000</v>
      </c>
      <c r="BJ30" s="630">
        <f t="shared" si="92"/>
        <v>0</v>
      </c>
      <c r="BK30" s="1081"/>
      <c r="BL30" s="1081"/>
      <c r="BM30" s="1083"/>
      <c r="BN30" s="1084"/>
      <c r="BO30" s="862"/>
      <c r="BP30" s="862"/>
      <c r="BQ30" s="862"/>
      <c r="BR30" s="862"/>
      <c r="BS30" s="862"/>
      <c r="BT30" s="862"/>
      <c r="BU30" s="862"/>
      <c r="BV30" s="862"/>
      <c r="BW30" s="1081">
        <f t="shared" si="59"/>
        <v>0</v>
      </c>
      <c r="BX30" s="862"/>
      <c r="BY30" s="862"/>
      <c r="BZ30" s="862"/>
      <c r="CA30" s="73">
        <f t="shared" si="60"/>
        <v>0</v>
      </c>
      <c r="CB30" s="862"/>
      <c r="CC30" s="862"/>
      <c r="CD30" s="862"/>
      <c r="CE30" s="862"/>
      <c r="CF30" s="862"/>
      <c r="CG30" s="862"/>
      <c r="CH30" s="862"/>
      <c r="CI30" s="862"/>
      <c r="CJ30" s="1081"/>
      <c r="CK30" s="862"/>
      <c r="CL30" s="862"/>
      <c r="CM30" s="862"/>
      <c r="CN30" s="73">
        <f t="shared" si="61"/>
        <v>0</v>
      </c>
    </row>
    <row r="31" spans="1:98" s="637" customFormat="1" ht="28.5" customHeight="1" x14ac:dyDescent="0.2">
      <c r="A31" s="617"/>
      <c r="B31" s="631" t="s">
        <v>239</v>
      </c>
      <c r="C31" s="618"/>
      <c r="D31" s="635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34"/>
      <c r="S31" s="634"/>
      <c r="T31" s="634"/>
      <c r="U31" s="620"/>
      <c r="V31" s="620"/>
      <c r="W31" s="620"/>
      <c r="X31" s="620"/>
      <c r="Y31" s="620"/>
      <c r="Z31" s="620"/>
      <c r="AA31" s="620"/>
      <c r="AB31" s="620"/>
      <c r="AC31" s="620"/>
      <c r="AD31" s="620"/>
      <c r="AE31" s="620"/>
      <c r="AF31" s="618"/>
      <c r="AG31" s="619"/>
      <c r="AH31" s="619"/>
      <c r="AI31" s="619"/>
      <c r="AJ31" s="619"/>
      <c r="AK31" s="619"/>
      <c r="AL31" s="619"/>
      <c r="AM31" s="619"/>
      <c r="AN31" s="619"/>
      <c r="AO31" s="619"/>
      <c r="AP31" s="619"/>
      <c r="AQ31" s="619"/>
      <c r="AR31" s="619"/>
      <c r="AS31" s="619"/>
      <c r="AT31" s="621"/>
      <c r="AU31" s="621"/>
      <c r="AV31" s="621"/>
      <c r="AW31" s="621"/>
      <c r="AX31" s="621"/>
      <c r="AY31" s="621"/>
      <c r="AZ31" s="621"/>
      <c r="BA31" s="621"/>
      <c r="BB31" s="621"/>
      <c r="BC31" s="621"/>
      <c r="BD31" s="621"/>
      <c r="BE31" s="621"/>
      <c r="BF31" s="620"/>
      <c r="BG31" s="622"/>
      <c r="BH31" s="618"/>
      <c r="BI31" s="75"/>
      <c r="BJ31" s="37"/>
      <c r="BK31" s="1081"/>
      <c r="BL31" s="1081"/>
      <c r="BM31" s="1083"/>
      <c r="BN31" s="1084"/>
      <c r="BO31" s="862"/>
      <c r="BP31" s="862"/>
      <c r="BQ31" s="862"/>
      <c r="BR31" s="862"/>
      <c r="BS31" s="862"/>
      <c r="BT31" s="862"/>
      <c r="BU31" s="862"/>
      <c r="BV31" s="862"/>
      <c r="BW31" s="1081">
        <f t="shared" si="59"/>
        <v>0</v>
      </c>
      <c r="BX31" s="862"/>
      <c r="BY31" s="862"/>
      <c r="BZ31" s="862"/>
      <c r="CA31" s="73">
        <f t="shared" si="60"/>
        <v>0</v>
      </c>
      <c r="CB31" s="862"/>
      <c r="CC31" s="862"/>
      <c r="CD31" s="862"/>
      <c r="CE31" s="862"/>
      <c r="CF31" s="862"/>
      <c r="CG31" s="862"/>
      <c r="CH31" s="862"/>
      <c r="CI31" s="862"/>
      <c r="CJ31" s="1081"/>
      <c r="CK31" s="862"/>
      <c r="CL31" s="862"/>
      <c r="CM31" s="862"/>
      <c r="CN31" s="73">
        <f t="shared" si="61"/>
        <v>0</v>
      </c>
    </row>
    <row r="32" spans="1:98" s="37" customFormat="1" ht="24.75" customHeight="1" x14ac:dyDescent="0.2">
      <c r="A32" s="28"/>
      <c r="B32" s="638" t="s">
        <v>413</v>
      </c>
      <c r="C32" s="29" t="s">
        <v>24</v>
      </c>
      <c r="D32" s="639">
        <v>20</v>
      </c>
      <c r="E32" s="62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>
        <f>SUM(E32:P32)</f>
        <v>0</v>
      </c>
      <c r="R32" s="640" t="s">
        <v>0</v>
      </c>
      <c r="S32" s="641">
        <v>28500</v>
      </c>
      <c r="T32" s="642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629">
        <f t="shared" ref="AF32:AF37" si="93">SUM(Q32*S32)</f>
        <v>0</v>
      </c>
      <c r="AG32" s="862">
        <f t="shared" ref="AG32:AG37" si="94">T32*E32</f>
        <v>0</v>
      </c>
      <c r="AH32" s="862">
        <f t="shared" ref="AH32:AH37" si="95">U32*F32</f>
        <v>0</v>
      </c>
      <c r="AI32" s="862">
        <f t="shared" ref="AI32:AI37" si="96">V32*G32</f>
        <v>0</v>
      </c>
      <c r="AJ32" s="862">
        <f t="shared" ref="AJ32:AJ37" si="97">W32*H32</f>
        <v>0</v>
      </c>
      <c r="AK32" s="862">
        <f t="shared" ref="AK32:AK37" si="98">X32*I32</f>
        <v>0</v>
      </c>
      <c r="AL32" s="862">
        <f t="shared" ref="AL32:AL37" si="99">Y32*J32</f>
        <v>0</v>
      </c>
      <c r="AM32" s="862">
        <f t="shared" ref="AM32:AM37" si="100">Z32*K32</f>
        <v>0</v>
      </c>
      <c r="AN32" s="862">
        <f t="shared" ref="AN32:AN37" si="101">AA32*L32</f>
        <v>0</v>
      </c>
      <c r="AO32" s="862">
        <f t="shared" ref="AO32:AO37" si="102">AB32*M32</f>
        <v>0</v>
      </c>
      <c r="AP32" s="862">
        <f t="shared" ref="AP32:AP37" si="103">AC32*N32</f>
        <v>0</v>
      </c>
      <c r="AQ32" s="862">
        <f t="shared" ref="AQ32:AQ37" si="104">AD32*O32</f>
        <v>0</v>
      </c>
      <c r="AR32" s="862">
        <f t="shared" ref="AR32:AR37" si="105">AE32*P32</f>
        <v>0</v>
      </c>
      <c r="AS32" s="863">
        <f>SUM(AG32:AR32)</f>
        <v>0</v>
      </c>
      <c r="AT32" s="862"/>
      <c r="AU32" s="862">
        <f t="shared" ref="AU32:AU37" si="106">SUM(AH32*14%)</f>
        <v>0</v>
      </c>
      <c r="AV32" s="862">
        <f t="shared" ref="AV32:AV37" si="107">SUM(AI32*14%)</f>
        <v>0</v>
      </c>
      <c r="AW32" s="862">
        <f t="shared" ref="AW32:AW37" si="108">SUM(AJ32*14%)</f>
        <v>0</v>
      </c>
      <c r="AX32" s="862">
        <f t="shared" ref="AX32:AX37" si="109">SUM(AK32*14%)</f>
        <v>0</v>
      </c>
      <c r="AY32" s="862">
        <f t="shared" ref="AY32:AY37" si="110">SUM(AL32*14%)</f>
        <v>0</v>
      </c>
      <c r="AZ32" s="862">
        <f t="shared" ref="AZ32:AZ37" si="111">SUM(AM32*14%)</f>
        <v>0</v>
      </c>
      <c r="BA32" s="862">
        <f t="shared" ref="BA32:BA37" si="112">SUM(AN32*14%)</f>
        <v>0</v>
      </c>
      <c r="BB32" s="862">
        <f t="shared" ref="BB32:BB37" si="113">SUM(AO32*14%)</f>
        <v>0</v>
      </c>
      <c r="BC32" s="862">
        <f t="shared" ref="BC32:BC37" si="114">SUM(AP32*14%)</f>
        <v>0</v>
      </c>
      <c r="BD32" s="862">
        <f t="shared" ref="BD32:BD37" si="115">SUM(AQ32*14%)</f>
        <v>0</v>
      </c>
      <c r="BE32" s="862">
        <f t="shared" ref="BE32:BE37" si="116">SUM(AR32*14%)</f>
        <v>0</v>
      </c>
      <c r="BF32" s="73">
        <f t="shared" ref="BF32:BF37" si="117">SUM(AT32:BE32)</f>
        <v>0</v>
      </c>
      <c r="BG32" s="73">
        <f>AF32-AS32-BF32</f>
        <v>0</v>
      </c>
      <c r="BH32" s="74">
        <f>S32*D32</f>
        <v>570000</v>
      </c>
      <c r="BI32" s="75">
        <f t="shared" ref="BI32:BI37" si="118">BH32-AS32-BF32</f>
        <v>570000</v>
      </c>
      <c r="BJ32" s="630">
        <f>SUM(Q32/D32)</f>
        <v>0</v>
      </c>
      <c r="BK32" s="1081"/>
      <c r="BL32" s="1081"/>
      <c r="BM32" s="1083"/>
      <c r="BN32" s="1084"/>
      <c r="BO32" s="862"/>
      <c r="BP32" s="862"/>
      <c r="BQ32" s="862"/>
      <c r="BR32" s="862"/>
      <c r="BS32" s="862"/>
      <c r="BT32" s="862"/>
      <c r="BU32" s="862"/>
      <c r="BV32" s="862"/>
      <c r="BW32" s="1081">
        <f t="shared" si="59"/>
        <v>0</v>
      </c>
      <c r="BX32" s="862"/>
      <c r="BY32" s="862"/>
      <c r="BZ32" s="862"/>
      <c r="CA32" s="73">
        <f t="shared" si="60"/>
        <v>0</v>
      </c>
      <c r="CB32" s="862"/>
      <c r="CC32" s="862"/>
      <c r="CD32" s="862"/>
      <c r="CE32" s="862"/>
      <c r="CF32" s="862"/>
      <c r="CG32" s="862"/>
      <c r="CH32" s="862"/>
      <c r="CI32" s="862"/>
      <c r="CJ32" s="1081"/>
      <c r="CK32" s="862"/>
      <c r="CL32" s="862"/>
      <c r="CM32" s="862"/>
      <c r="CN32" s="73">
        <f t="shared" si="61"/>
        <v>0</v>
      </c>
    </row>
    <row r="33" spans="1:98" s="37" customFormat="1" ht="24.75" customHeight="1" x14ac:dyDescent="0.2">
      <c r="A33" s="28"/>
      <c r="B33" s="638" t="s">
        <v>412</v>
      </c>
      <c r="C33" s="29" t="s">
        <v>24</v>
      </c>
      <c r="D33" s="632">
        <v>20</v>
      </c>
      <c r="E33" s="625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1">
        <f>SUM(E33:P33)</f>
        <v>0</v>
      </c>
      <c r="R33" s="640" t="s">
        <v>0</v>
      </c>
      <c r="S33" s="641">
        <v>10300</v>
      </c>
      <c r="T33" s="628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629">
        <f t="shared" si="93"/>
        <v>0</v>
      </c>
      <c r="AG33" s="862">
        <f t="shared" si="94"/>
        <v>0</v>
      </c>
      <c r="AH33" s="862">
        <f t="shared" si="95"/>
        <v>0</v>
      </c>
      <c r="AI33" s="862">
        <f t="shared" si="96"/>
        <v>0</v>
      </c>
      <c r="AJ33" s="862">
        <f t="shared" si="97"/>
        <v>0</v>
      </c>
      <c r="AK33" s="862">
        <f t="shared" si="98"/>
        <v>0</v>
      </c>
      <c r="AL33" s="862">
        <f t="shared" si="99"/>
        <v>0</v>
      </c>
      <c r="AM33" s="862">
        <f t="shared" si="100"/>
        <v>0</v>
      </c>
      <c r="AN33" s="862">
        <f t="shared" si="101"/>
        <v>0</v>
      </c>
      <c r="AO33" s="862">
        <f t="shared" si="102"/>
        <v>0</v>
      </c>
      <c r="AP33" s="862">
        <f t="shared" si="103"/>
        <v>0</v>
      </c>
      <c r="AQ33" s="862">
        <f t="shared" si="104"/>
        <v>0</v>
      </c>
      <c r="AR33" s="862">
        <f t="shared" si="105"/>
        <v>0</v>
      </c>
      <c r="AS33" s="863">
        <f>SUM(AG33:AR33)</f>
        <v>0</v>
      </c>
      <c r="AT33" s="862">
        <f>SUM(AG33*4%)</f>
        <v>0</v>
      </c>
      <c r="AU33" s="862">
        <f t="shared" si="106"/>
        <v>0</v>
      </c>
      <c r="AV33" s="862">
        <f t="shared" si="107"/>
        <v>0</v>
      </c>
      <c r="AW33" s="862">
        <f t="shared" si="108"/>
        <v>0</v>
      </c>
      <c r="AX33" s="862">
        <f t="shared" si="109"/>
        <v>0</v>
      </c>
      <c r="AY33" s="862">
        <f t="shared" si="110"/>
        <v>0</v>
      </c>
      <c r="AZ33" s="862">
        <f t="shared" si="111"/>
        <v>0</v>
      </c>
      <c r="BA33" s="862">
        <f t="shared" si="112"/>
        <v>0</v>
      </c>
      <c r="BB33" s="862">
        <f t="shared" si="113"/>
        <v>0</v>
      </c>
      <c r="BC33" s="862">
        <f t="shared" si="114"/>
        <v>0</v>
      </c>
      <c r="BD33" s="862">
        <f t="shared" si="115"/>
        <v>0</v>
      </c>
      <c r="BE33" s="862">
        <f t="shared" si="116"/>
        <v>0</v>
      </c>
      <c r="BF33" s="73">
        <f t="shared" si="117"/>
        <v>0</v>
      </c>
      <c r="BG33" s="73">
        <f>AF33-AS33-BF33</f>
        <v>0</v>
      </c>
      <c r="BH33" s="74">
        <f>S33*D33</f>
        <v>206000</v>
      </c>
      <c r="BI33" s="75">
        <f t="shared" si="118"/>
        <v>206000</v>
      </c>
      <c r="BJ33" s="630">
        <f>SUM(Q33/D33)</f>
        <v>0</v>
      </c>
      <c r="BK33" s="1081"/>
      <c r="BL33" s="1081"/>
      <c r="BM33" s="1083"/>
      <c r="BN33" s="1084"/>
      <c r="BO33" s="862"/>
      <c r="BP33" s="862"/>
      <c r="BQ33" s="862"/>
      <c r="BR33" s="862"/>
      <c r="BS33" s="862"/>
      <c r="BT33" s="862"/>
      <c r="BU33" s="862"/>
      <c r="BV33" s="862"/>
      <c r="BW33" s="1081">
        <f t="shared" si="59"/>
        <v>0</v>
      </c>
      <c r="BX33" s="862"/>
      <c r="BY33" s="862"/>
      <c r="BZ33" s="862"/>
      <c r="CA33" s="73">
        <f t="shared" si="60"/>
        <v>0</v>
      </c>
      <c r="CB33" s="862"/>
      <c r="CC33" s="862"/>
      <c r="CD33" s="862"/>
      <c r="CE33" s="862"/>
      <c r="CF33" s="862"/>
      <c r="CG33" s="862"/>
      <c r="CH33" s="862"/>
      <c r="CI33" s="862"/>
      <c r="CJ33" s="1081"/>
      <c r="CK33" s="862"/>
      <c r="CL33" s="862"/>
      <c r="CM33" s="862"/>
      <c r="CN33" s="73">
        <f t="shared" si="61"/>
        <v>0</v>
      </c>
    </row>
    <row r="34" spans="1:98" s="37" customFormat="1" ht="24.75" customHeight="1" x14ac:dyDescent="0.2">
      <c r="A34" s="28"/>
      <c r="B34" s="638" t="s">
        <v>626</v>
      </c>
      <c r="C34" s="29" t="s">
        <v>24</v>
      </c>
      <c r="D34" s="639">
        <v>50</v>
      </c>
      <c r="E34" s="625">
        <v>50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1">
        <f>SUM(E34:P34)</f>
        <v>50</v>
      </c>
      <c r="R34" s="640" t="s">
        <v>0</v>
      </c>
      <c r="S34" s="641">
        <v>10300</v>
      </c>
      <c r="T34" s="642">
        <v>9000</v>
      </c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629">
        <f t="shared" ref="AF34:AF36" si="119">SUM(Q34*S34)</f>
        <v>515000</v>
      </c>
      <c r="AG34" s="70">
        <f t="shared" ref="AG34:AG36" si="120">T34*E34</f>
        <v>450000</v>
      </c>
      <c r="AH34" s="70">
        <f t="shared" ref="AH34:AH36" si="121">U34*F34</f>
        <v>0</v>
      </c>
      <c r="AI34" s="70">
        <f t="shared" ref="AI34:AI36" si="122">V34*G34</f>
        <v>0</v>
      </c>
      <c r="AJ34" s="70">
        <f t="shared" ref="AJ34:AJ36" si="123">W34*H34</f>
        <v>0</v>
      </c>
      <c r="AK34" s="70">
        <f t="shared" ref="AK34:AK36" si="124">X34*I34</f>
        <v>0</v>
      </c>
      <c r="AL34" s="70">
        <f t="shared" ref="AL34:AL36" si="125">Y34*J34</f>
        <v>0</v>
      </c>
      <c r="AM34" s="70">
        <f t="shared" ref="AM34:AM36" si="126">Z34*K34</f>
        <v>0</v>
      </c>
      <c r="AN34" s="70">
        <f t="shared" ref="AN34:AN36" si="127">AA34*L34</f>
        <v>0</v>
      </c>
      <c r="AO34" s="70">
        <f t="shared" ref="AO34:AO36" si="128">AB34*M34</f>
        <v>0</v>
      </c>
      <c r="AP34" s="70">
        <f t="shared" ref="AP34:AP36" si="129">AC34*N34</f>
        <v>0</v>
      </c>
      <c r="AQ34" s="70">
        <f t="shared" ref="AQ34:AQ36" si="130">AD34*O34</f>
        <v>0</v>
      </c>
      <c r="AR34" s="70">
        <f t="shared" ref="AR34:AR36" si="131">AE34*P34</f>
        <v>0</v>
      </c>
      <c r="AS34" s="71">
        <f>SUM(AG34:AR34)</f>
        <v>450000</v>
      </c>
      <c r="AT34" s="70">
        <f>SUM(AG34*4%)</f>
        <v>18000</v>
      </c>
      <c r="AU34" s="70">
        <f t="shared" ref="AU34:AU36" si="132">SUM(AH34*14%)</f>
        <v>0</v>
      </c>
      <c r="AV34" s="70">
        <f t="shared" ref="AV34:AV36" si="133">SUM(AI34*14%)</f>
        <v>0</v>
      </c>
      <c r="AW34" s="70">
        <f t="shared" ref="AW34:AW36" si="134">SUM(AJ34*14%)</f>
        <v>0</v>
      </c>
      <c r="AX34" s="70">
        <f t="shared" ref="AX34:AX36" si="135">SUM(AK34*14%)</f>
        <v>0</v>
      </c>
      <c r="AY34" s="70">
        <f t="shared" ref="AY34:AY36" si="136">SUM(AL34*14%)</f>
        <v>0</v>
      </c>
      <c r="AZ34" s="70">
        <f t="shared" ref="AZ34:AZ36" si="137">SUM(AM34*14%)</f>
        <v>0</v>
      </c>
      <c r="BA34" s="70">
        <f t="shared" ref="BA34:BA36" si="138">SUM(AN34*14%)</f>
        <v>0</v>
      </c>
      <c r="BB34" s="70">
        <f t="shared" ref="BB34:BB36" si="139">SUM(AO34*14%)</f>
        <v>0</v>
      </c>
      <c r="BC34" s="70">
        <f t="shared" ref="BC34:BC36" si="140">SUM(AP34*14%)</f>
        <v>0</v>
      </c>
      <c r="BD34" s="70">
        <f t="shared" ref="BD34:BD36" si="141">SUM(AQ34*14%)</f>
        <v>0</v>
      </c>
      <c r="BE34" s="70">
        <f t="shared" ref="BE34:BE36" si="142">SUM(AR34*14%)</f>
        <v>0</v>
      </c>
      <c r="BF34" s="72">
        <f t="shared" ref="BF34:BF36" si="143">SUM(AT34:BE34)</f>
        <v>18000</v>
      </c>
      <c r="BG34" s="73">
        <f>AF34-AS34-BF34</f>
        <v>47000</v>
      </c>
      <c r="BH34" s="74">
        <f>S34*D34</f>
        <v>515000</v>
      </c>
      <c r="BI34" s="75">
        <f t="shared" ref="BI34:BI36" si="144">BH34-AS34-BF34</f>
        <v>47000</v>
      </c>
      <c r="BJ34" s="630">
        <f>SUM(Q34/D34)</f>
        <v>1</v>
      </c>
      <c r="BK34" s="1081"/>
      <c r="BL34" s="1081"/>
      <c r="BM34" s="1083"/>
      <c r="BN34" s="1084"/>
      <c r="BO34" s="862"/>
      <c r="BP34" s="862"/>
      <c r="BQ34" s="862"/>
      <c r="BR34" s="862"/>
      <c r="BS34" s="862"/>
      <c r="BT34" s="862"/>
      <c r="BU34" s="862"/>
      <c r="BV34" s="862"/>
      <c r="BW34" s="1081">
        <f t="shared" si="59"/>
        <v>0</v>
      </c>
      <c r="BX34" s="862"/>
      <c r="BY34" s="862"/>
      <c r="BZ34" s="862"/>
      <c r="CA34" s="73">
        <f t="shared" si="60"/>
        <v>0</v>
      </c>
      <c r="CB34" s="862"/>
      <c r="CC34" s="862"/>
      <c r="CD34" s="862"/>
      <c r="CE34" s="862"/>
      <c r="CF34" s="862"/>
      <c r="CG34" s="862"/>
      <c r="CH34" s="862"/>
      <c r="CI34" s="862"/>
      <c r="CJ34" s="1081"/>
      <c r="CK34" s="862"/>
      <c r="CL34" s="862"/>
      <c r="CM34" s="862"/>
      <c r="CN34" s="73">
        <f t="shared" si="61"/>
        <v>0</v>
      </c>
    </row>
    <row r="35" spans="1:98" s="37" customFormat="1" ht="24.75" customHeight="1" x14ac:dyDescent="0.2">
      <c r="A35" s="28"/>
      <c r="B35" s="638" t="s">
        <v>627</v>
      </c>
      <c r="C35" s="29" t="s">
        <v>24</v>
      </c>
      <c r="D35" s="632">
        <v>50</v>
      </c>
      <c r="E35" s="625">
        <v>50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1">
        <f>SUM(E35:P35)</f>
        <v>50</v>
      </c>
      <c r="R35" s="640" t="s">
        <v>0</v>
      </c>
      <c r="S35" s="641">
        <v>28500</v>
      </c>
      <c r="T35" s="628">
        <v>25000</v>
      </c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629">
        <f t="shared" ref="AF35" si="145">SUM(Q35*S35)</f>
        <v>1425000</v>
      </c>
      <c r="AG35" s="70">
        <f t="shared" ref="AG35" si="146">T35*E35</f>
        <v>1250000</v>
      </c>
      <c r="AH35" s="70">
        <f t="shared" ref="AH35" si="147">U35*F35</f>
        <v>0</v>
      </c>
      <c r="AI35" s="70">
        <f t="shared" ref="AI35" si="148">V35*G35</f>
        <v>0</v>
      </c>
      <c r="AJ35" s="70">
        <f t="shared" ref="AJ35" si="149">W35*H35</f>
        <v>0</v>
      </c>
      <c r="AK35" s="70">
        <f t="shared" ref="AK35" si="150">X35*I35</f>
        <v>0</v>
      </c>
      <c r="AL35" s="70">
        <f t="shared" ref="AL35" si="151">Y35*J35</f>
        <v>0</v>
      </c>
      <c r="AM35" s="70">
        <f t="shared" ref="AM35" si="152">Z35*K35</f>
        <v>0</v>
      </c>
      <c r="AN35" s="70">
        <f t="shared" ref="AN35" si="153">AA35*L35</f>
        <v>0</v>
      </c>
      <c r="AO35" s="70">
        <f t="shared" ref="AO35" si="154">AB35*M35</f>
        <v>0</v>
      </c>
      <c r="AP35" s="70">
        <f t="shared" ref="AP35" si="155">AC35*N35</f>
        <v>0</v>
      </c>
      <c r="AQ35" s="70">
        <f t="shared" ref="AQ35" si="156">AD35*O35</f>
        <v>0</v>
      </c>
      <c r="AR35" s="70">
        <f t="shared" ref="AR35" si="157">AE35*P35</f>
        <v>0</v>
      </c>
      <c r="AS35" s="71">
        <f>SUM(AG35:AR35)</f>
        <v>1250000</v>
      </c>
      <c r="AT35" s="70">
        <f>SUM(AG35*4%)</f>
        <v>50000</v>
      </c>
      <c r="AU35" s="70">
        <f t="shared" ref="AU35" si="158">SUM(AH35*14%)</f>
        <v>0</v>
      </c>
      <c r="AV35" s="70">
        <f t="shared" ref="AV35" si="159">SUM(AI35*14%)</f>
        <v>0</v>
      </c>
      <c r="AW35" s="70">
        <f t="shared" ref="AW35" si="160">SUM(AJ35*14%)</f>
        <v>0</v>
      </c>
      <c r="AX35" s="70">
        <f t="shared" ref="AX35" si="161">SUM(AK35*14%)</f>
        <v>0</v>
      </c>
      <c r="AY35" s="70">
        <f t="shared" ref="AY35" si="162">SUM(AL35*14%)</f>
        <v>0</v>
      </c>
      <c r="AZ35" s="70">
        <f t="shared" ref="AZ35" si="163">SUM(AM35*14%)</f>
        <v>0</v>
      </c>
      <c r="BA35" s="70">
        <f t="shared" ref="BA35" si="164">SUM(AN35*14%)</f>
        <v>0</v>
      </c>
      <c r="BB35" s="70">
        <f t="shared" ref="BB35" si="165">SUM(AO35*14%)</f>
        <v>0</v>
      </c>
      <c r="BC35" s="70">
        <f t="shared" ref="BC35" si="166">SUM(AP35*14%)</f>
        <v>0</v>
      </c>
      <c r="BD35" s="70">
        <f t="shared" ref="BD35" si="167">SUM(AQ35*14%)</f>
        <v>0</v>
      </c>
      <c r="BE35" s="70">
        <f t="shared" ref="BE35" si="168">SUM(AR35*14%)</f>
        <v>0</v>
      </c>
      <c r="BF35" s="72">
        <f t="shared" ref="BF35" si="169">SUM(AT35:BE35)</f>
        <v>50000</v>
      </c>
      <c r="BG35" s="73">
        <f>AF35-AS35-BF35</f>
        <v>125000</v>
      </c>
      <c r="BH35" s="74">
        <f>S35*D35</f>
        <v>1425000</v>
      </c>
      <c r="BI35" s="75">
        <f t="shared" ref="BI35" si="170">BH35-AS35-BF35</f>
        <v>125000</v>
      </c>
      <c r="BJ35" s="630">
        <f>SUM(Q35/D35)</f>
        <v>1</v>
      </c>
      <c r="BK35" s="1081"/>
      <c r="BL35" s="1081"/>
      <c r="BM35" s="1083"/>
      <c r="BN35" s="1084"/>
      <c r="BO35" s="862"/>
      <c r="BP35" s="862"/>
      <c r="BQ35" s="862"/>
      <c r="BR35" s="862"/>
      <c r="BS35" s="862"/>
      <c r="BT35" s="862"/>
      <c r="BU35" s="862"/>
      <c r="BV35" s="862"/>
      <c r="BW35" s="1081">
        <f t="shared" si="59"/>
        <v>0</v>
      </c>
      <c r="BX35" s="862"/>
      <c r="BY35" s="862"/>
      <c r="BZ35" s="862"/>
      <c r="CA35" s="73">
        <f t="shared" si="60"/>
        <v>0</v>
      </c>
      <c r="CB35" s="862"/>
      <c r="CC35" s="862"/>
      <c r="CD35" s="862"/>
      <c r="CE35" s="862"/>
      <c r="CF35" s="862"/>
      <c r="CG35" s="862"/>
      <c r="CH35" s="862"/>
      <c r="CI35" s="862"/>
      <c r="CJ35" s="1081"/>
      <c r="CK35" s="862"/>
      <c r="CL35" s="862"/>
      <c r="CM35" s="862"/>
      <c r="CN35" s="73">
        <f t="shared" si="61"/>
        <v>0</v>
      </c>
    </row>
    <row r="36" spans="1:98" s="37" customFormat="1" ht="24.75" customHeight="1" x14ac:dyDescent="0.2">
      <c r="A36" s="28"/>
      <c r="B36" s="638" t="s">
        <v>628</v>
      </c>
      <c r="C36" s="29" t="s">
        <v>24</v>
      </c>
      <c r="D36" s="632">
        <v>2</v>
      </c>
      <c r="E36" s="625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1">
        <f>SUM(E36:P36)</f>
        <v>0</v>
      </c>
      <c r="R36" s="640" t="s">
        <v>0</v>
      </c>
      <c r="S36" s="641">
        <v>35000</v>
      </c>
      <c r="T36" s="628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629">
        <f t="shared" si="119"/>
        <v>0</v>
      </c>
      <c r="AG36" s="70">
        <f t="shared" si="120"/>
        <v>0</v>
      </c>
      <c r="AH36" s="70">
        <f t="shared" si="121"/>
        <v>0</v>
      </c>
      <c r="AI36" s="70">
        <f t="shared" si="122"/>
        <v>0</v>
      </c>
      <c r="AJ36" s="70">
        <f t="shared" si="123"/>
        <v>0</v>
      </c>
      <c r="AK36" s="70">
        <f t="shared" si="124"/>
        <v>0</v>
      </c>
      <c r="AL36" s="70">
        <f t="shared" si="125"/>
        <v>0</v>
      </c>
      <c r="AM36" s="70">
        <f t="shared" si="126"/>
        <v>0</v>
      </c>
      <c r="AN36" s="70">
        <f t="shared" si="127"/>
        <v>0</v>
      </c>
      <c r="AO36" s="70">
        <f t="shared" si="128"/>
        <v>0</v>
      </c>
      <c r="AP36" s="70">
        <f t="shared" si="129"/>
        <v>0</v>
      </c>
      <c r="AQ36" s="70">
        <f t="shared" si="130"/>
        <v>0</v>
      </c>
      <c r="AR36" s="70">
        <f t="shared" si="131"/>
        <v>0</v>
      </c>
      <c r="AS36" s="71">
        <f>SUM(AG36:AR36)</f>
        <v>0</v>
      </c>
      <c r="AT36" s="70">
        <f>SUM(AG36*4%)</f>
        <v>0</v>
      </c>
      <c r="AU36" s="70">
        <f t="shared" si="132"/>
        <v>0</v>
      </c>
      <c r="AV36" s="70">
        <f t="shared" si="133"/>
        <v>0</v>
      </c>
      <c r="AW36" s="70">
        <f t="shared" si="134"/>
        <v>0</v>
      </c>
      <c r="AX36" s="70">
        <f t="shared" si="135"/>
        <v>0</v>
      </c>
      <c r="AY36" s="70">
        <f t="shared" si="136"/>
        <v>0</v>
      </c>
      <c r="AZ36" s="70">
        <f t="shared" si="137"/>
        <v>0</v>
      </c>
      <c r="BA36" s="70">
        <f t="shared" si="138"/>
        <v>0</v>
      </c>
      <c r="BB36" s="70">
        <f t="shared" si="139"/>
        <v>0</v>
      </c>
      <c r="BC36" s="70">
        <f t="shared" si="140"/>
        <v>0</v>
      </c>
      <c r="BD36" s="70">
        <f t="shared" si="141"/>
        <v>0</v>
      </c>
      <c r="BE36" s="70">
        <f t="shared" si="142"/>
        <v>0</v>
      </c>
      <c r="BF36" s="72">
        <f t="shared" si="143"/>
        <v>0</v>
      </c>
      <c r="BG36" s="73">
        <f>AF36-AS36-BF36</f>
        <v>0</v>
      </c>
      <c r="BH36" s="74">
        <f>S36*D36</f>
        <v>70000</v>
      </c>
      <c r="BI36" s="75">
        <f t="shared" si="144"/>
        <v>70000</v>
      </c>
      <c r="BJ36" s="630">
        <f>SUM(Q36/D36)</f>
        <v>0</v>
      </c>
      <c r="BK36" s="1081"/>
      <c r="BL36" s="1081"/>
      <c r="BM36" s="1083"/>
      <c r="BN36" s="1084"/>
      <c r="BO36" s="862"/>
      <c r="BP36" s="862"/>
      <c r="BQ36" s="862"/>
      <c r="BR36" s="862"/>
      <c r="BS36" s="862"/>
      <c r="BT36" s="862"/>
      <c r="BU36" s="862"/>
      <c r="BV36" s="862"/>
      <c r="BW36" s="1081">
        <f t="shared" si="59"/>
        <v>0</v>
      </c>
      <c r="BX36" s="862"/>
      <c r="BY36" s="862"/>
      <c r="BZ36" s="862"/>
      <c r="CA36" s="73">
        <f t="shared" si="60"/>
        <v>0</v>
      </c>
      <c r="CB36" s="862"/>
      <c r="CC36" s="862"/>
      <c r="CD36" s="862"/>
      <c r="CE36" s="862"/>
      <c r="CF36" s="862"/>
      <c r="CG36" s="862"/>
      <c r="CH36" s="862"/>
      <c r="CI36" s="862"/>
      <c r="CJ36" s="1081"/>
      <c r="CK36" s="862"/>
      <c r="CL36" s="862"/>
      <c r="CM36" s="862"/>
      <c r="CN36" s="73">
        <f t="shared" si="61"/>
        <v>0</v>
      </c>
    </row>
    <row r="37" spans="1:98" s="37" customFormat="1" ht="24" customHeight="1" thickBot="1" x14ac:dyDescent="0.25">
      <c r="A37" s="28"/>
      <c r="B37" s="623" t="s">
        <v>213</v>
      </c>
      <c r="C37" s="29" t="s">
        <v>24</v>
      </c>
      <c r="D37" s="624">
        <v>1</v>
      </c>
      <c r="E37" s="625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1">
        <f t="shared" ref="Q37" si="171">SUM(E37:P37)</f>
        <v>0</v>
      </c>
      <c r="R37" s="626" t="s">
        <v>68</v>
      </c>
      <c r="S37" s="627">
        <v>100000</v>
      </c>
      <c r="T37" s="628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629">
        <f t="shared" si="93"/>
        <v>0</v>
      </c>
      <c r="AG37" s="70">
        <f t="shared" si="94"/>
        <v>0</v>
      </c>
      <c r="AH37" s="70">
        <f t="shared" si="95"/>
        <v>0</v>
      </c>
      <c r="AI37" s="70">
        <f t="shared" si="96"/>
        <v>0</v>
      </c>
      <c r="AJ37" s="70">
        <f t="shared" si="97"/>
        <v>0</v>
      </c>
      <c r="AK37" s="70">
        <f t="shared" si="98"/>
        <v>0</v>
      </c>
      <c r="AL37" s="70">
        <f t="shared" si="99"/>
        <v>0</v>
      </c>
      <c r="AM37" s="70">
        <f t="shared" si="100"/>
        <v>0</v>
      </c>
      <c r="AN37" s="70">
        <f t="shared" si="101"/>
        <v>0</v>
      </c>
      <c r="AO37" s="70">
        <f t="shared" si="102"/>
        <v>0</v>
      </c>
      <c r="AP37" s="70">
        <f t="shared" si="103"/>
        <v>0</v>
      </c>
      <c r="AQ37" s="70">
        <f t="shared" si="104"/>
        <v>0</v>
      </c>
      <c r="AR37" s="70">
        <f t="shared" si="105"/>
        <v>0</v>
      </c>
      <c r="AS37" s="71">
        <f t="shared" ref="AS37" si="172">SUM(AG37:AR37)</f>
        <v>0</v>
      </c>
      <c r="AT37" s="70"/>
      <c r="AU37" s="70">
        <f t="shared" si="106"/>
        <v>0</v>
      </c>
      <c r="AV37" s="70">
        <f t="shared" si="107"/>
        <v>0</v>
      </c>
      <c r="AW37" s="70">
        <f t="shared" si="108"/>
        <v>0</v>
      </c>
      <c r="AX37" s="70">
        <f t="shared" si="109"/>
        <v>0</v>
      </c>
      <c r="AY37" s="70">
        <f t="shared" si="110"/>
        <v>0</v>
      </c>
      <c r="AZ37" s="70">
        <f t="shared" si="111"/>
        <v>0</v>
      </c>
      <c r="BA37" s="70">
        <f t="shared" si="112"/>
        <v>0</v>
      </c>
      <c r="BB37" s="70">
        <f t="shared" si="113"/>
        <v>0</v>
      </c>
      <c r="BC37" s="70">
        <f t="shared" si="114"/>
        <v>0</v>
      </c>
      <c r="BD37" s="70">
        <f t="shared" si="115"/>
        <v>0</v>
      </c>
      <c r="BE37" s="70">
        <f t="shared" si="116"/>
        <v>0</v>
      </c>
      <c r="BF37" s="72">
        <f t="shared" si="117"/>
        <v>0</v>
      </c>
      <c r="BG37" s="73">
        <f t="shared" ref="BG37" si="173">AF37-AS37-BF37</f>
        <v>0</v>
      </c>
      <c r="BH37" s="74">
        <f t="shared" ref="BH37" si="174">S37*D37</f>
        <v>100000</v>
      </c>
      <c r="BI37" s="75">
        <f t="shared" si="118"/>
        <v>100000</v>
      </c>
      <c r="BJ37" s="630">
        <f t="shared" ref="BJ37" si="175">SUM(Q37/D37)</f>
        <v>0</v>
      </c>
      <c r="BK37" s="1081"/>
      <c r="BL37" s="1081"/>
      <c r="BM37" s="1083"/>
      <c r="BN37" s="1084"/>
      <c r="BO37" s="862"/>
      <c r="BP37" s="862"/>
      <c r="BQ37" s="862"/>
      <c r="BR37" s="862"/>
      <c r="BS37" s="862"/>
      <c r="BT37" s="862"/>
      <c r="BU37" s="862"/>
      <c r="BV37" s="862"/>
      <c r="BW37" s="1081">
        <f t="shared" si="59"/>
        <v>0</v>
      </c>
      <c r="BX37" s="862"/>
      <c r="BY37" s="862"/>
      <c r="BZ37" s="862"/>
      <c r="CA37" s="73">
        <f t="shared" si="60"/>
        <v>0</v>
      </c>
      <c r="CB37" s="862"/>
      <c r="CC37" s="862"/>
      <c r="CD37" s="862"/>
      <c r="CE37" s="862"/>
      <c r="CF37" s="862"/>
      <c r="CG37" s="862"/>
      <c r="CH37" s="862"/>
      <c r="CI37" s="862"/>
      <c r="CJ37" s="1081"/>
      <c r="CK37" s="862"/>
      <c r="CL37" s="862"/>
      <c r="CM37" s="862"/>
      <c r="CN37" s="73">
        <f t="shared" si="61"/>
        <v>0</v>
      </c>
    </row>
    <row r="38" spans="1:98" s="38" customFormat="1" ht="24.75" customHeight="1" thickBot="1" x14ac:dyDescent="0.25">
      <c r="A38" s="577">
        <v>3</v>
      </c>
      <c r="B38" s="44" t="s">
        <v>4</v>
      </c>
      <c r="C38" s="44"/>
      <c r="D38" s="45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7"/>
      <c r="R38" s="77"/>
      <c r="S38" s="45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78">
        <f>SUM(AF25:AF37)</f>
        <v>1940000</v>
      </c>
      <c r="AG38" s="78">
        <f t="shared" ref="AG38:BF38" si="176">SUM(AG25:AG37)</f>
        <v>1700000</v>
      </c>
      <c r="AH38" s="78">
        <f t="shared" si="176"/>
        <v>0</v>
      </c>
      <c r="AI38" s="78">
        <f t="shared" si="176"/>
        <v>0</v>
      </c>
      <c r="AJ38" s="78">
        <f t="shared" si="176"/>
        <v>0</v>
      </c>
      <c r="AK38" s="78">
        <f t="shared" si="176"/>
        <v>0</v>
      </c>
      <c r="AL38" s="78">
        <f t="shared" si="176"/>
        <v>0</v>
      </c>
      <c r="AM38" s="78">
        <f t="shared" si="176"/>
        <v>0</v>
      </c>
      <c r="AN38" s="78">
        <f t="shared" si="176"/>
        <v>0</v>
      </c>
      <c r="AO38" s="78">
        <f t="shared" si="176"/>
        <v>0</v>
      </c>
      <c r="AP38" s="78">
        <f t="shared" si="176"/>
        <v>0</v>
      </c>
      <c r="AQ38" s="78">
        <f t="shared" si="176"/>
        <v>0</v>
      </c>
      <c r="AR38" s="78">
        <f t="shared" si="176"/>
        <v>0</v>
      </c>
      <c r="AS38" s="78">
        <f t="shared" si="176"/>
        <v>1700000</v>
      </c>
      <c r="AT38" s="78">
        <f t="shared" si="176"/>
        <v>68000</v>
      </c>
      <c r="AU38" s="78">
        <f t="shared" si="176"/>
        <v>0</v>
      </c>
      <c r="AV38" s="78">
        <f t="shared" si="176"/>
        <v>0</v>
      </c>
      <c r="AW38" s="78">
        <f t="shared" si="176"/>
        <v>0</v>
      </c>
      <c r="AX38" s="78">
        <f t="shared" si="176"/>
        <v>0</v>
      </c>
      <c r="AY38" s="78">
        <f t="shared" si="176"/>
        <v>0</v>
      </c>
      <c r="AZ38" s="78">
        <f t="shared" si="176"/>
        <v>0</v>
      </c>
      <c r="BA38" s="78">
        <f t="shared" si="176"/>
        <v>0</v>
      </c>
      <c r="BB38" s="78">
        <f t="shared" si="176"/>
        <v>0</v>
      </c>
      <c r="BC38" s="78">
        <f t="shared" si="176"/>
        <v>0</v>
      </c>
      <c r="BD38" s="78">
        <f t="shared" si="176"/>
        <v>0</v>
      </c>
      <c r="BE38" s="78">
        <f t="shared" si="176"/>
        <v>0</v>
      </c>
      <c r="BF38" s="78">
        <f t="shared" si="176"/>
        <v>68000</v>
      </c>
      <c r="BG38" s="79">
        <f>AF38-AS38-BF38</f>
        <v>172000</v>
      </c>
      <c r="BH38" s="78">
        <f>SUM(BH26:BH37)</f>
        <v>8040500</v>
      </c>
      <c r="BI38" s="78">
        <f>SUM(BI26:BI37)</f>
        <v>6272500</v>
      </c>
      <c r="BJ38" s="164">
        <v>1</v>
      </c>
      <c r="BK38" s="1083"/>
      <c r="BL38" s="1083"/>
      <c r="BM38" s="1083"/>
      <c r="BN38" s="1084"/>
      <c r="BO38" s="862"/>
      <c r="BP38" s="862"/>
      <c r="BQ38" s="862"/>
      <c r="BR38" s="862"/>
      <c r="BS38" s="862"/>
      <c r="BT38" s="862"/>
      <c r="BU38" s="862"/>
      <c r="BV38" s="862"/>
      <c r="BW38" s="1081">
        <f t="shared" si="59"/>
        <v>0</v>
      </c>
      <c r="BX38" s="862"/>
      <c r="BY38" s="862"/>
      <c r="BZ38" s="862"/>
      <c r="CA38" s="73">
        <f t="shared" si="60"/>
        <v>0</v>
      </c>
      <c r="CB38" s="862"/>
      <c r="CC38" s="862"/>
      <c r="CD38" s="862"/>
      <c r="CE38" s="862"/>
      <c r="CF38" s="862"/>
      <c r="CG38" s="862"/>
      <c r="CH38" s="862"/>
      <c r="CI38" s="862"/>
      <c r="CJ38" s="1081"/>
      <c r="CK38" s="862"/>
      <c r="CL38" s="862"/>
      <c r="CM38" s="862"/>
      <c r="CN38" s="73">
        <f t="shared" si="61"/>
        <v>0</v>
      </c>
    </row>
    <row r="39" spans="1:98" s="20" customFormat="1" ht="24.75" customHeight="1" x14ac:dyDescent="0.2">
      <c r="A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AE39" s="40"/>
      <c r="AS39" s="51"/>
      <c r="BF39" s="52">
        <f>SUM(AS38+BF38)</f>
        <v>1768000</v>
      </c>
      <c r="BG39" s="53">
        <f>AF38-AS38-BF38</f>
        <v>172000</v>
      </c>
      <c r="BH39" s="54">
        <f>SUM(BI38+AS38+BF38)</f>
        <v>8040500</v>
      </c>
      <c r="BI39" s="55">
        <f>SUM(BG38)</f>
        <v>172000</v>
      </c>
      <c r="BJ39" s="40" t="s">
        <v>38</v>
      </c>
      <c r="BK39" s="171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</row>
    <row r="40" spans="1:98" s="20" customFormat="1" ht="24.75" customHeight="1" x14ac:dyDescent="0.2">
      <c r="A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AE40" s="40"/>
      <c r="AS40" s="40"/>
      <c r="AT40" s="388">
        <f>SUM(AG38+AT38)</f>
        <v>1768000</v>
      </c>
      <c r="AU40" s="388">
        <f t="shared" ref="AU40" si="177">SUM(AH38+AU38)</f>
        <v>0</v>
      </c>
      <c r="AV40" s="388">
        <f t="shared" ref="AV40" si="178">SUM(AI38+AV38)</f>
        <v>0</v>
      </c>
      <c r="AW40" s="388">
        <f t="shared" ref="AW40" si="179">SUM(AJ38+AW38)</f>
        <v>0</v>
      </c>
      <c r="AX40" s="388">
        <f t="shared" ref="AX40" si="180">SUM(AK38+AX38)</f>
        <v>0</v>
      </c>
      <c r="AY40" s="388">
        <f t="shared" ref="AY40" si="181">SUM(AL38+AY38)</f>
        <v>0</v>
      </c>
      <c r="AZ40" s="388">
        <f t="shared" ref="AZ40" si="182">SUM(AM38+AZ38)</f>
        <v>0</v>
      </c>
      <c r="BA40" s="388">
        <f t="shared" ref="BA40" si="183">SUM(AN38+BA38)</f>
        <v>0</v>
      </c>
      <c r="BB40" s="388">
        <f t="shared" ref="BB40" si="184">SUM(AO38+BB38)</f>
        <v>0</v>
      </c>
      <c r="BC40" s="388">
        <f t="shared" ref="BC40" si="185">SUM(AP38+BC38)</f>
        <v>0</v>
      </c>
      <c r="BD40" s="388">
        <f t="shared" ref="BD40" si="186">SUM(AQ38+BD38)</f>
        <v>0</v>
      </c>
      <c r="BE40" s="388">
        <f t="shared" ref="BE40" si="187">SUM(AR38+BE38)</f>
        <v>0</v>
      </c>
      <c r="BF40" s="388">
        <f>SUM(AT40:BE40)</f>
        <v>1768000</v>
      </c>
      <c r="BG40" s="40"/>
      <c r="BH40" s="56"/>
      <c r="BI40" s="57">
        <f>SUM(BI38-BI39)</f>
        <v>6100500</v>
      </c>
      <c r="BJ40" s="40" t="s">
        <v>37</v>
      </c>
      <c r="BK40" s="171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</row>
    <row r="41" spans="1:98" s="20" customFormat="1" ht="16.5" customHeight="1" x14ac:dyDescent="0.2">
      <c r="A41" s="1730" t="s">
        <v>8</v>
      </c>
      <c r="B41" s="1731"/>
      <c r="C41" s="124" t="s">
        <v>215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7"/>
      <c r="AF41" s="23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8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8"/>
      <c r="BG41" s="138"/>
      <c r="BH41" s="135"/>
      <c r="BI41" s="139"/>
      <c r="BJ41" s="23"/>
      <c r="BK41" s="169"/>
      <c r="BL41" s="136"/>
      <c r="BM41" s="136"/>
      <c r="BN41" s="136"/>
      <c r="BO41" s="136"/>
      <c r="BP41" s="137"/>
      <c r="BQ41" s="136"/>
      <c r="BR41" s="136"/>
      <c r="BS41" s="136"/>
      <c r="BT41" s="136"/>
      <c r="BU41" s="136"/>
      <c r="BV41" s="138"/>
      <c r="BW41" s="138"/>
      <c r="BX41" s="138"/>
      <c r="BY41" s="135"/>
      <c r="BZ41" s="139"/>
      <c r="CA41" s="138"/>
      <c r="CB41" s="138"/>
      <c r="CC41" s="24"/>
      <c r="CD41" s="24"/>
      <c r="CE41" s="24"/>
      <c r="CF41" s="24"/>
      <c r="CG41" s="24"/>
      <c r="CH41" s="140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</row>
    <row r="42" spans="1:98" s="8" customFormat="1" ht="48.75" customHeight="1" x14ac:dyDescent="0.2">
      <c r="A42" s="1703" t="s">
        <v>10</v>
      </c>
      <c r="B42" s="1706" t="s">
        <v>11</v>
      </c>
      <c r="C42" s="1706" t="s">
        <v>22</v>
      </c>
      <c r="D42" s="1721" t="s">
        <v>12</v>
      </c>
      <c r="E42" s="1721"/>
      <c r="F42" s="1721"/>
      <c r="G42" s="1721"/>
      <c r="H42" s="1721"/>
      <c r="I42" s="1721"/>
      <c r="J42" s="1721"/>
      <c r="K42" s="1721"/>
      <c r="L42" s="1721"/>
      <c r="M42" s="1721"/>
      <c r="N42" s="1721"/>
      <c r="O42" s="1721"/>
      <c r="P42" s="1721"/>
      <c r="Q42" s="1721"/>
      <c r="R42" s="1706" t="s">
        <v>20</v>
      </c>
      <c r="S42" s="1717" t="s">
        <v>17</v>
      </c>
      <c r="T42" s="1718"/>
      <c r="U42" s="1718"/>
      <c r="V42" s="1718"/>
      <c r="W42" s="1718"/>
      <c r="X42" s="1718"/>
      <c r="Y42" s="1718"/>
      <c r="Z42" s="1718"/>
      <c r="AA42" s="1718"/>
      <c r="AB42" s="1718"/>
      <c r="AC42" s="1718"/>
      <c r="AD42" s="1718"/>
      <c r="AE42" s="1719"/>
      <c r="AF42" s="1720" t="s">
        <v>6</v>
      </c>
      <c r="AG42" s="1720"/>
      <c r="AH42" s="1720"/>
      <c r="AI42" s="1720"/>
      <c r="AJ42" s="1720"/>
      <c r="AK42" s="1720"/>
      <c r="AL42" s="1720"/>
      <c r="AM42" s="1720"/>
      <c r="AN42" s="1720"/>
      <c r="AO42" s="1720"/>
      <c r="AP42" s="1720"/>
      <c r="AQ42" s="1720"/>
      <c r="AR42" s="1720"/>
      <c r="AS42" s="1720"/>
      <c r="AT42" s="1722" t="s">
        <v>41</v>
      </c>
      <c r="AU42" s="1723"/>
      <c r="AV42" s="1723"/>
      <c r="AW42" s="1723"/>
      <c r="AX42" s="1723"/>
      <c r="AY42" s="1723"/>
      <c r="AZ42" s="1723"/>
      <c r="BA42" s="1723"/>
      <c r="BB42" s="1723"/>
      <c r="BC42" s="1723"/>
      <c r="BD42" s="1723"/>
      <c r="BE42" s="1723"/>
      <c r="BF42" s="1724"/>
      <c r="BG42" s="1706" t="s">
        <v>38</v>
      </c>
      <c r="BH42" s="1706" t="s">
        <v>256</v>
      </c>
      <c r="BI42" s="1709" t="s">
        <v>39</v>
      </c>
      <c r="BJ42" s="1283"/>
      <c r="BK42" s="135"/>
      <c r="BL42" s="135"/>
      <c r="BM42" s="135"/>
      <c r="BN42" s="135"/>
      <c r="BO42" s="1733" t="s">
        <v>41</v>
      </c>
      <c r="BP42" s="1734"/>
      <c r="BQ42" s="1734"/>
      <c r="BR42" s="1734"/>
      <c r="BS42" s="1734"/>
      <c r="BT42" s="1734"/>
      <c r="BU42" s="1734"/>
      <c r="BV42" s="1734"/>
      <c r="BW42" s="1734"/>
      <c r="BX42" s="1734"/>
      <c r="BY42" s="1734"/>
      <c r="BZ42" s="1734"/>
      <c r="CA42" s="1734"/>
      <c r="CB42" s="1734"/>
      <c r="CC42" s="1734"/>
      <c r="CD42" s="1734"/>
      <c r="CE42" s="1734"/>
      <c r="CF42" s="1734"/>
      <c r="CG42" s="1734"/>
      <c r="CH42" s="1734"/>
      <c r="CI42" s="1734"/>
      <c r="CJ42" s="1734"/>
      <c r="CK42" s="1734"/>
      <c r="CL42" s="1734"/>
      <c r="CM42" s="1734"/>
      <c r="CN42" s="1735"/>
    </row>
    <row r="43" spans="1:98" s="8" customFormat="1" ht="48.75" customHeight="1" x14ac:dyDescent="0.2">
      <c r="A43" s="1704"/>
      <c r="B43" s="1707"/>
      <c r="C43" s="1707"/>
      <c r="D43" s="1712" t="s">
        <v>18</v>
      </c>
      <c r="E43" s="1714" t="s">
        <v>19</v>
      </c>
      <c r="F43" s="1715"/>
      <c r="G43" s="1715"/>
      <c r="H43" s="1715"/>
      <c r="I43" s="1715"/>
      <c r="J43" s="1715"/>
      <c r="K43" s="1715"/>
      <c r="L43" s="1715"/>
      <c r="M43" s="1715"/>
      <c r="N43" s="1715"/>
      <c r="O43" s="1715"/>
      <c r="P43" s="1715"/>
      <c r="Q43" s="1715"/>
      <c r="R43" s="1707"/>
      <c r="S43" s="1712" t="s">
        <v>18</v>
      </c>
      <c r="T43" s="1714" t="s">
        <v>19</v>
      </c>
      <c r="U43" s="1715"/>
      <c r="V43" s="1715"/>
      <c r="W43" s="1715"/>
      <c r="X43" s="1715"/>
      <c r="Y43" s="1715"/>
      <c r="Z43" s="1715"/>
      <c r="AA43" s="1715"/>
      <c r="AB43" s="1715"/>
      <c r="AC43" s="1715"/>
      <c r="AD43" s="1715"/>
      <c r="AE43" s="1716"/>
      <c r="AF43" s="1712" t="s">
        <v>18</v>
      </c>
      <c r="AG43" s="1714" t="s">
        <v>19</v>
      </c>
      <c r="AH43" s="1715"/>
      <c r="AI43" s="1715"/>
      <c r="AJ43" s="1715"/>
      <c r="AK43" s="1715"/>
      <c r="AL43" s="1715"/>
      <c r="AM43" s="1715"/>
      <c r="AN43" s="1715"/>
      <c r="AO43" s="1715"/>
      <c r="AP43" s="1715"/>
      <c r="AQ43" s="1715"/>
      <c r="AR43" s="1715"/>
      <c r="AS43" s="1716"/>
      <c r="AT43" s="1725"/>
      <c r="AU43" s="1726"/>
      <c r="AV43" s="1726"/>
      <c r="AW43" s="1726"/>
      <c r="AX43" s="1726"/>
      <c r="AY43" s="1726"/>
      <c r="AZ43" s="1726"/>
      <c r="BA43" s="1726"/>
      <c r="BB43" s="1726"/>
      <c r="BC43" s="1726"/>
      <c r="BD43" s="1726"/>
      <c r="BE43" s="1726"/>
      <c r="BF43" s="1727"/>
      <c r="BG43" s="1707"/>
      <c r="BH43" s="1707"/>
      <c r="BI43" s="1710"/>
      <c r="BJ43" s="135"/>
      <c r="BK43" s="1736">
        <f>SUM(BK45/60)</f>
        <v>0</v>
      </c>
      <c r="BL43" s="1736"/>
      <c r="BM43" s="1736"/>
      <c r="BN43" s="23"/>
      <c r="BO43" s="1737" t="s">
        <v>686</v>
      </c>
      <c r="BP43" s="1738"/>
      <c r="BQ43" s="1738"/>
      <c r="BR43" s="1738"/>
      <c r="BS43" s="1738"/>
      <c r="BT43" s="1738"/>
      <c r="BU43" s="1738"/>
      <c r="BV43" s="1738"/>
      <c r="BW43" s="1738"/>
      <c r="BX43" s="1738"/>
      <c r="BY43" s="1738"/>
      <c r="BZ43" s="1738"/>
      <c r="CA43" s="1739"/>
      <c r="CB43" s="1740" t="s">
        <v>687</v>
      </c>
      <c r="CC43" s="1741"/>
      <c r="CD43" s="1741"/>
      <c r="CE43" s="1741"/>
      <c r="CF43" s="1741"/>
      <c r="CG43" s="1741"/>
      <c r="CH43" s="1741"/>
      <c r="CI43" s="1741"/>
      <c r="CJ43" s="1741"/>
      <c r="CK43" s="1741"/>
      <c r="CL43" s="1741"/>
      <c r="CM43" s="1741"/>
      <c r="CN43" s="1742"/>
    </row>
    <row r="44" spans="1:98" s="6" customFormat="1" ht="28.5" customHeight="1" x14ac:dyDescent="0.2">
      <c r="A44" s="1705"/>
      <c r="B44" s="1708"/>
      <c r="C44" s="1708"/>
      <c r="D44" s="1713"/>
      <c r="E44" s="647">
        <v>1</v>
      </c>
      <c r="F44" s="26">
        <v>2</v>
      </c>
      <c r="G44" s="26">
        <v>3</v>
      </c>
      <c r="H44" s="26">
        <v>4</v>
      </c>
      <c r="I44" s="26">
        <v>5</v>
      </c>
      <c r="J44" s="26">
        <v>6</v>
      </c>
      <c r="K44" s="26">
        <v>7</v>
      </c>
      <c r="L44" s="26">
        <v>8</v>
      </c>
      <c r="M44" s="26">
        <v>9</v>
      </c>
      <c r="N44" s="26">
        <v>10</v>
      </c>
      <c r="O44" s="26">
        <v>11</v>
      </c>
      <c r="P44" s="26">
        <v>12</v>
      </c>
      <c r="Q44" s="26" t="s">
        <v>21</v>
      </c>
      <c r="R44" s="1708"/>
      <c r="S44" s="1713"/>
      <c r="T44" s="26">
        <v>1</v>
      </c>
      <c r="U44" s="26">
        <v>2</v>
      </c>
      <c r="V44" s="26">
        <v>3</v>
      </c>
      <c r="W44" s="26">
        <v>4</v>
      </c>
      <c r="X44" s="26">
        <v>5</v>
      </c>
      <c r="Y44" s="26">
        <v>6</v>
      </c>
      <c r="Z44" s="26">
        <v>7</v>
      </c>
      <c r="AA44" s="26">
        <v>8</v>
      </c>
      <c r="AB44" s="26">
        <v>9</v>
      </c>
      <c r="AC44" s="26">
        <v>10</v>
      </c>
      <c r="AD44" s="26">
        <v>11</v>
      </c>
      <c r="AE44" s="26">
        <v>12</v>
      </c>
      <c r="AF44" s="1713"/>
      <c r="AG44" s="26">
        <v>1</v>
      </c>
      <c r="AH44" s="26">
        <v>2</v>
      </c>
      <c r="AI44" s="26">
        <v>3</v>
      </c>
      <c r="AJ44" s="26">
        <v>4</v>
      </c>
      <c r="AK44" s="26">
        <v>5</v>
      </c>
      <c r="AL44" s="26">
        <v>6</v>
      </c>
      <c r="AM44" s="26">
        <v>7</v>
      </c>
      <c r="AN44" s="26">
        <v>8</v>
      </c>
      <c r="AO44" s="26">
        <v>9</v>
      </c>
      <c r="AP44" s="26">
        <v>10</v>
      </c>
      <c r="AQ44" s="26">
        <v>11</v>
      </c>
      <c r="AR44" s="26">
        <v>12</v>
      </c>
      <c r="AS44" s="26" t="s">
        <v>13</v>
      </c>
      <c r="AT44" s="173">
        <v>1</v>
      </c>
      <c r="AU44" s="173">
        <v>2</v>
      </c>
      <c r="AV44" s="173">
        <v>3</v>
      </c>
      <c r="AW44" s="173">
        <v>4</v>
      </c>
      <c r="AX44" s="173">
        <v>5</v>
      </c>
      <c r="AY44" s="173">
        <v>6</v>
      </c>
      <c r="AZ44" s="173">
        <v>7</v>
      </c>
      <c r="BA44" s="173">
        <v>8</v>
      </c>
      <c r="BB44" s="173">
        <v>9</v>
      </c>
      <c r="BC44" s="173">
        <v>10</v>
      </c>
      <c r="BD44" s="173">
        <v>11</v>
      </c>
      <c r="BE44" s="173">
        <v>12</v>
      </c>
      <c r="BF44" s="26" t="s">
        <v>13</v>
      </c>
      <c r="BG44" s="1708"/>
      <c r="BH44" s="1708"/>
      <c r="BI44" s="1711"/>
      <c r="BJ44" s="7"/>
      <c r="BK44" s="1743" t="s">
        <v>19</v>
      </c>
      <c r="BL44" s="1744"/>
      <c r="BM44" s="1745"/>
      <c r="BN44" s="621"/>
      <c r="BO44" s="173">
        <v>1</v>
      </c>
      <c r="BP44" s="173">
        <v>2</v>
      </c>
      <c r="BQ44" s="173">
        <v>3</v>
      </c>
      <c r="BR44" s="173">
        <v>4</v>
      </c>
      <c r="BS44" s="173">
        <v>5</v>
      </c>
      <c r="BT44" s="173">
        <v>6</v>
      </c>
      <c r="BU44" s="173">
        <v>7</v>
      </c>
      <c r="BV44" s="173">
        <v>8</v>
      </c>
      <c r="BW44" s="173">
        <v>9</v>
      </c>
      <c r="BX44" s="173">
        <v>10</v>
      </c>
      <c r="BY44" s="173">
        <v>11</v>
      </c>
      <c r="BZ44" s="173">
        <v>12</v>
      </c>
      <c r="CA44" s="26" t="s">
        <v>13</v>
      </c>
      <c r="CB44" s="173">
        <v>1</v>
      </c>
      <c r="CC44" s="173">
        <v>2</v>
      </c>
      <c r="CD44" s="173">
        <v>3</v>
      </c>
      <c r="CE44" s="173">
        <v>4</v>
      </c>
      <c r="CF44" s="173">
        <v>5</v>
      </c>
      <c r="CG44" s="173">
        <v>6</v>
      </c>
      <c r="CH44" s="173">
        <v>7</v>
      </c>
      <c r="CI44" s="173">
        <v>8</v>
      </c>
      <c r="CJ44" s="173">
        <v>9</v>
      </c>
      <c r="CK44" s="173">
        <v>10</v>
      </c>
      <c r="CL44" s="173">
        <v>11</v>
      </c>
      <c r="CM44" s="173">
        <v>12</v>
      </c>
      <c r="CN44" s="26" t="s">
        <v>13</v>
      </c>
    </row>
    <row r="45" spans="1:98" s="6" customFormat="1" ht="28.5" customHeight="1" x14ac:dyDescent="0.2">
      <c r="A45" s="591"/>
      <c r="B45" s="614"/>
      <c r="C45" s="588"/>
      <c r="D45" s="615"/>
      <c r="E45" s="648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649"/>
      <c r="S45" s="650"/>
      <c r="T45" s="378"/>
      <c r="U45" s="616"/>
      <c r="V45" s="616"/>
      <c r="W45" s="616"/>
      <c r="X45" s="616"/>
      <c r="Y45" s="616"/>
      <c r="Z45" s="616"/>
      <c r="AA45" s="616"/>
      <c r="AB45" s="616"/>
      <c r="AC45" s="616"/>
      <c r="AD45" s="616"/>
      <c r="AE45" s="616"/>
      <c r="AF45" s="590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616"/>
      <c r="BG45" s="589"/>
      <c r="BH45" s="588"/>
      <c r="BI45" s="589"/>
      <c r="BJ45" s="7"/>
      <c r="BK45" s="1081"/>
      <c r="BL45" s="1081"/>
      <c r="BM45" s="1083"/>
      <c r="BN45" s="1084"/>
      <c r="BO45" s="862"/>
      <c r="BP45" s="862"/>
      <c r="BQ45" s="862"/>
      <c r="BR45" s="862"/>
      <c r="BS45" s="862"/>
      <c r="BT45" s="862"/>
      <c r="BU45" s="862"/>
      <c r="BV45" s="862"/>
      <c r="BW45" s="1081">
        <f t="shared" ref="BW45:BW48" si="188">SUM(AN45*12.5%)</f>
        <v>0</v>
      </c>
      <c r="BX45" s="862"/>
      <c r="BY45" s="862"/>
      <c r="BZ45" s="862"/>
      <c r="CA45" s="73">
        <f t="shared" ref="CA45" si="189">SUM(BO45:BZ45)</f>
        <v>0</v>
      </c>
      <c r="CB45" s="862"/>
      <c r="CC45" s="862"/>
      <c r="CD45" s="862"/>
      <c r="CE45" s="862"/>
      <c r="CF45" s="862"/>
      <c r="CG45" s="862"/>
      <c r="CH45" s="862"/>
      <c r="CI45" s="862"/>
      <c r="CJ45" s="1081"/>
      <c r="CK45" s="862"/>
      <c r="CL45" s="862"/>
      <c r="CM45" s="862"/>
      <c r="CN45" s="73">
        <f t="shared" ref="CN45:CN48" si="190">SUM(CB45:CM45)</f>
        <v>0</v>
      </c>
    </row>
    <row r="46" spans="1:98" s="7" customFormat="1" ht="24.75" customHeight="1" thickBot="1" x14ac:dyDescent="0.25">
      <c r="A46" s="41"/>
      <c r="B46" s="194" t="s">
        <v>415</v>
      </c>
      <c r="C46" s="29" t="s">
        <v>54</v>
      </c>
      <c r="D46" s="192">
        <v>4</v>
      </c>
      <c r="E46" s="82">
        <v>1</v>
      </c>
      <c r="F46" s="1136">
        <v>1</v>
      </c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1">
        <f>SUM(E46:P46)</f>
        <v>2</v>
      </c>
      <c r="R46" s="197" t="s">
        <v>216</v>
      </c>
      <c r="S46" s="633">
        <v>500000</v>
      </c>
      <c r="T46" s="84">
        <v>500000</v>
      </c>
      <c r="U46" s="33">
        <v>500000</v>
      </c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69">
        <f t="shared" ref="AF46" si="191">SUM(Q46*S46)</f>
        <v>1000000</v>
      </c>
      <c r="AG46" s="70">
        <f t="shared" ref="AG46:AI46" si="192">T46*E46</f>
        <v>500000</v>
      </c>
      <c r="AH46" s="862">
        <f t="shared" si="192"/>
        <v>500000</v>
      </c>
      <c r="AI46" s="70">
        <f t="shared" si="192"/>
        <v>0</v>
      </c>
      <c r="AJ46" s="70">
        <f t="shared" ref="AJ46:AR46" si="193">W46*H46</f>
        <v>0</v>
      </c>
      <c r="AK46" s="70">
        <f t="shared" si="193"/>
        <v>0</v>
      </c>
      <c r="AL46" s="70">
        <f t="shared" si="193"/>
        <v>0</v>
      </c>
      <c r="AM46" s="70">
        <f t="shared" si="193"/>
        <v>0</v>
      </c>
      <c r="AN46" s="70">
        <f t="shared" si="193"/>
        <v>0</v>
      </c>
      <c r="AO46" s="70">
        <f t="shared" si="193"/>
        <v>0</v>
      </c>
      <c r="AP46" s="70">
        <f t="shared" si="193"/>
        <v>0</v>
      </c>
      <c r="AQ46" s="70">
        <f t="shared" si="193"/>
        <v>0</v>
      </c>
      <c r="AR46" s="70">
        <f t="shared" si="193"/>
        <v>0</v>
      </c>
      <c r="AS46" s="71">
        <f>SUM(AG46:AR46)</f>
        <v>1000000</v>
      </c>
      <c r="AT46" s="70"/>
      <c r="AU46" s="70">
        <v>0</v>
      </c>
      <c r="AV46" s="70">
        <f>SUM(AI46*14%)</f>
        <v>0</v>
      </c>
      <c r="AW46" s="70">
        <f t="shared" ref="AW46:BE46" si="194">SUM(AJ46*14%)</f>
        <v>0</v>
      </c>
      <c r="AX46" s="70">
        <f t="shared" si="194"/>
        <v>0</v>
      </c>
      <c r="AY46" s="70">
        <f t="shared" si="194"/>
        <v>0</v>
      </c>
      <c r="AZ46" s="70">
        <f t="shared" si="194"/>
        <v>0</v>
      </c>
      <c r="BA46" s="70">
        <f t="shared" si="194"/>
        <v>0</v>
      </c>
      <c r="BB46" s="70">
        <f t="shared" si="194"/>
        <v>0</v>
      </c>
      <c r="BC46" s="70">
        <f t="shared" si="194"/>
        <v>0</v>
      </c>
      <c r="BD46" s="70">
        <f t="shared" si="194"/>
        <v>0</v>
      </c>
      <c r="BE46" s="70">
        <f t="shared" si="194"/>
        <v>0</v>
      </c>
      <c r="BF46" s="72">
        <f t="shared" ref="BF46" si="195">SUM(AT46:BE46)</f>
        <v>0</v>
      </c>
      <c r="BG46" s="73">
        <f>AF46-AS46-BF46</f>
        <v>0</v>
      </c>
      <c r="BH46" s="74">
        <f>S46*D46</f>
        <v>2000000</v>
      </c>
      <c r="BI46" s="75">
        <f t="shared" ref="BI46" si="196">BH46-AS46-BF46</f>
        <v>1000000</v>
      </c>
      <c r="BJ46" s="163">
        <f>SUM(Q46/D46)</f>
        <v>0.5</v>
      </c>
      <c r="BK46" s="1081"/>
      <c r="BL46" s="1081"/>
      <c r="BM46" s="1083"/>
      <c r="BN46" s="1084"/>
      <c r="BO46" s="862"/>
      <c r="BP46" s="862"/>
      <c r="BQ46" s="862"/>
      <c r="BR46" s="862"/>
      <c r="BS46" s="862"/>
      <c r="BT46" s="862"/>
      <c r="BU46" s="862"/>
      <c r="BV46" s="862"/>
      <c r="BW46" s="1081">
        <f t="shared" si="188"/>
        <v>0</v>
      </c>
      <c r="BX46" s="862"/>
      <c r="BY46" s="862"/>
      <c r="BZ46" s="862"/>
      <c r="CA46" s="73">
        <f t="shared" ref="CA46:CA48" si="197">SUM(BO46:BZ46)</f>
        <v>0</v>
      </c>
      <c r="CB46" s="862"/>
      <c r="CC46" s="862"/>
      <c r="CD46" s="862"/>
      <c r="CE46" s="862"/>
      <c r="CF46" s="862"/>
      <c r="CG46" s="862"/>
      <c r="CH46" s="862"/>
      <c r="CI46" s="862"/>
      <c r="CJ46" s="1081"/>
      <c r="CK46" s="862"/>
      <c r="CL46" s="862"/>
      <c r="CM46" s="862"/>
      <c r="CN46" s="73">
        <f t="shared" si="190"/>
        <v>0</v>
      </c>
    </row>
    <row r="47" spans="1:98" s="38" customFormat="1" ht="24.75" customHeight="1" thickBot="1" x14ac:dyDescent="0.25">
      <c r="A47" s="577">
        <v>4</v>
      </c>
      <c r="B47" s="44" t="s">
        <v>4</v>
      </c>
      <c r="C47" s="44"/>
      <c r="D47" s="45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7"/>
      <c r="R47" s="77"/>
      <c r="S47" s="45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78">
        <f t="shared" ref="AF47:BF47" si="198">SUM(AF46:AF46)</f>
        <v>1000000</v>
      </c>
      <c r="AG47" s="78">
        <f t="shared" si="198"/>
        <v>500000</v>
      </c>
      <c r="AH47" s="78"/>
      <c r="AI47" s="78">
        <f t="shared" si="198"/>
        <v>0</v>
      </c>
      <c r="AJ47" s="78">
        <f t="shared" si="198"/>
        <v>0</v>
      </c>
      <c r="AK47" s="78">
        <f t="shared" si="198"/>
        <v>0</v>
      </c>
      <c r="AL47" s="78">
        <f t="shared" si="198"/>
        <v>0</v>
      </c>
      <c r="AM47" s="78">
        <f t="shared" si="198"/>
        <v>0</v>
      </c>
      <c r="AN47" s="78">
        <f t="shared" si="198"/>
        <v>0</v>
      </c>
      <c r="AO47" s="78">
        <f t="shared" si="198"/>
        <v>0</v>
      </c>
      <c r="AP47" s="78">
        <f t="shared" si="198"/>
        <v>0</v>
      </c>
      <c r="AQ47" s="78">
        <f t="shared" si="198"/>
        <v>0</v>
      </c>
      <c r="AR47" s="78">
        <f t="shared" si="198"/>
        <v>0</v>
      </c>
      <c r="AS47" s="1840">
        <f>SUM(AG47:AR47)</f>
        <v>500000</v>
      </c>
      <c r="AT47" s="78">
        <f t="shared" si="198"/>
        <v>0</v>
      </c>
      <c r="AU47" s="78">
        <f t="shared" si="198"/>
        <v>0</v>
      </c>
      <c r="AV47" s="78">
        <f t="shared" si="198"/>
        <v>0</v>
      </c>
      <c r="AW47" s="78">
        <f t="shared" si="198"/>
        <v>0</v>
      </c>
      <c r="AX47" s="78">
        <f t="shared" si="198"/>
        <v>0</v>
      </c>
      <c r="AY47" s="78">
        <f t="shared" si="198"/>
        <v>0</v>
      </c>
      <c r="AZ47" s="78">
        <f t="shared" si="198"/>
        <v>0</v>
      </c>
      <c r="BA47" s="78">
        <f t="shared" si="198"/>
        <v>0</v>
      </c>
      <c r="BB47" s="78">
        <f t="shared" si="198"/>
        <v>0</v>
      </c>
      <c r="BC47" s="78">
        <f t="shared" si="198"/>
        <v>0</v>
      </c>
      <c r="BD47" s="78">
        <f t="shared" si="198"/>
        <v>0</v>
      </c>
      <c r="BE47" s="78">
        <f t="shared" si="198"/>
        <v>0</v>
      </c>
      <c r="BF47" s="78">
        <f t="shared" si="198"/>
        <v>0</v>
      </c>
      <c r="BG47" s="79">
        <f>SUM(BG46)</f>
        <v>0</v>
      </c>
      <c r="BH47" s="78">
        <f>SUM(BH46:BH46)</f>
        <v>2000000</v>
      </c>
      <c r="BI47" s="78">
        <f>SUM(BI46:BI46)</f>
        <v>1000000</v>
      </c>
      <c r="BJ47" s="164">
        <v>1</v>
      </c>
      <c r="BK47" s="1107"/>
      <c r="BL47" s="1107"/>
      <c r="BM47" s="1083"/>
      <c r="BN47" s="1084"/>
      <c r="BO47" s="862"/>
      <c r="BP47" s="862"/>
      <c r="BQ47" s="862"/>
      <c r="BR47" s="862"/>
      <c r="BS47" s="862"/>
      <c r="BT47" s="862"/>
      <c r="BU47" s="862"/>
      <c r="BV47" s="862"/>
      <c r="BW47" s="1081">
        <f t="shared" si="188"/>
        <v>0</v>
      </c>
      <c r="BX47" s="862"/>
      <c r="BY47" s="862"/>
      <c r="BZ47" s="862"/>
      <c r="CA47" s="73">
        <f t="shared" si="197"/>
        <v>0</v>
      </c>
      <c r="CB47" s="862"/>
      <c r="CC47" s="862"/>
      <c r="CD47" s="862"/>
      <c r="CE47" s="862"/>
      <c r="CF47" s="862"/>
      <c r="CG47" s="862"/>
      <c r="CH47" s="862"/>
      <c r="CI47" s="862"/>
      <c r="CJ47" s="1081"/>
      <c r="CK47" s="862"/>
      <c r="CL47" s="862"/>
      <c r="CM47" s="862"/>
      <c r="CN47" s="73">
        <f t="shared" si="190"/>
        <v>0</v>
      </c>
    </row>
    <row r="48" spans="1:98" s="20" customFormat="1" ht="24.75" customHeight="1" x14ac:dyDescent="0.2">
      <c r="A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AE48" s="40"/>
      <c r="AS48" s="51"/>
      <c r="AU48" s="20" t="s">
        <v>722</v>
      </c>
      <c r="BF48" s="52"/>
      <c r="BG48" s="53"/>
      <c r="BH48" s="54"/>
      <c r="BI48" s="55">
        <f>SUM(BG47)</f>
        <v>0</v>
      </c>
      <c r="BJ48" s="165" t="s">
        <v>38</v>
      </c>
      <c r="BK48" s="1115"/>
      <c r="BL48" s="1115"/>
      <c r="BM48" s="1116"/>
      <c r="BN48" s="1117"/>
      <c r="BO48" s="1113"/>
      <c r="BP48" s="1113"/>
      <c r="BQ48" s="1113"/>
      <c r="BR48" s="1113"/>
      <c r="BS48" s="1113"/>
      <c r="BT48" s="1113"/>
      <c r="BU48" s="1113"/>
      <c r="BV48" s="1113"/>
      <c r="BW48" s="1115">
        <f t="shared" si="188"/>
        <v>0</v>
      </c>
      <c r="BX48" s="1113"/>
      <c r="BY48" s="1113"/>
      <c r="BZ48" s="1113"/>
      <c r="CA48" s="1114">
        <f t="shared" si="197"/>
        <v>0</v>
      </c>
      <c r="CB48" s="1113"/>
      <c r="CC48" s="1113"/>
      <c r="CD48" s="1113"/>
      <c r="CE48" s="1113"/>
      <c r="CF48" s="1113"/>
      <c r="CG48" s="1113"/>
      <c r="CH48" s="1113"/>
      <c r="CI48" s="1113"/>
      <c r="CJ48" s="1112"/>
      <c r="CK48" s="1113"/>
      <c r="CL48" s="1113"/>
      <c r="CM48" s="1113"/>
      <c r="CN48" s="1114">
        <f t="shared" si="190"/>
        <v>0</v>
      </c>
    </row>
    <row r="49" spans="1:98" s="20" customFormat="1" ht="24.75" customHeight="1" x14ac:dyDescent="0.2">
      <c r="A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AE49" s="40"/>
      <c r="AS49" s="40"/>
      <c r="AT49" s="388">
        <f>SUM(AG47+AT47)</f>
        <v>500000</v>
      </c>
      <c r="AU49" s="388">
        <f t="shared" ref="AU49" si="199">SUM(AH47+AU47)</f>
        <v>0</v>
      </c>
      <c r="AV49" s="388">
        <f t="shared" ref="AV49" si="200">SUM(AI47+AV47)</f>
        <v>0</v>
      </c>
      <c r="AW49" s="388">
        <f t="shared" ref="AW49" si="201">SUM(AJ47+AW47)</f>
        <v>0</v>
      </c>
      <c r="AX49" s="388">
        <f t="shared" ref="AX49" si="202">SUM(AK47+AX47)</f>
        <v>0</v>
      </c>
      <c r="AY49" s="388">
        <f t="shared" ref="AY49" si="203">SUM(AL47+AY47)</f>
        <v>0</v>
      </c>
      <c r="AZ49" s="388">
        <f t="shared" ref="AZ49" si="204">SUM(AM47+AZ47)</f>
        <v>0</v>
      </c>
      <c r="BA49" s="388">
        <f t="shared" ref="BA49" si="205">SUM(AN47+BA47)</f>
        <v>0</v>
      </c>
      <c r="BB49" s="388">
        <f t="shared" ref="BB49" si="206">SUM(AO47+BB47)</f>
        <v>0</v>
      </c>
      <c r="BC49" s="388">
        <f t="shared" ref="BC49" si="207">SUM(AP47+BC47)</f>
        <v>0</v>
      </c>
      <c r="BD49" s="388">
        <f t="shared" ref="BD49" si="208">SUM(AQ47+BD47)</f>
        <v>0</v>
      </c>
      <c r="BE49" s="388">
        <f t="shared" ref="BE49" si="209">SUM(AR47+BE47)</f>
        <v>0</v>
      </c>
      <c r="BF49" s="388"/>
      <c r="BG49" s="40"/>
      <c r="BH49" s="56"/>
      <c r="BI49" s="57">
        <f>SUM(BI47-BI48)</f>
        <v>1000000</v>
      </c>
      <c r="BJ49" s="165" t="s">
        <v>37</v>
      </c>
      <c r="BK49" s="171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</row>
    <row r="50" spans="1:98" s="20" customFormat="1" ht="16.5" customHeight="1" x14ac:dyDescent="0.2">
      <c r="A50" s="1730" t="s">
        <v>8</v>
      </c>
      <c r="B50" s="1731"/>
      <c r="C50" s="124" t="s">
        <v>217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7"/>
      <c r="AF50" s="23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8"/>
      <c r="AT50" s="432"/>
      <c r="AU50" s="432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8"/>
      <c r="BG50" s="138"/>
      <c r="BH50" s="135"/>
      <c r="BI50" s="139"/>
      <c r="BJ50" s="23"/>
      <c r="BK50" s="169"/>
      <c r="BL50" s="136"/>
      <c r="BM50" s="136"/>
      <c r="BN50" s="136"/>
      <c r="BO50" s="136"/>
      <c r="BP50" s="137"/>
      <c r="BQ50" s="136"/>
      <c r="BR50" s="136"/>
      <c r="BS50" s="136"/>
      <c r="BT50" s="136"/>
      <c r="BU50" s="136"/>
      <c r="BV50" s="138"/>
      <c r="BW50" s="138"/>
      <c r="BX50" s="138"/>
      <c r="BY50" s="135"/>
      <c r="BZ50" s="139"/>
      <c r="CA50" s="138"/>
      <c r="CB50" s="138"/>
      <c r="CC50" s="389"/>
      <c r="CD50" s="389"/>
      <c r="CE50" s="389"/>
      <c r="CF50" s="389"/>
      <c r="CG50" s="389"/>
      <c r="CH50" s="390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</row>
    <row r="51" spans="1:98" s="8" customFormat="1" ht="48.75" customHeight="1" x14ac:dyDescent="0.2">
      <c r="A51" s="1703" t="s">
        <v>10</v>
      </c>
      <c r="B51" s="1706" t="s">
        <v>11</v>
      </c>
      <c r="C51" s="1706" t="s">
        <v>22</v>
      </c>
      <c r="D51" s="1721" t="s">
        <v>12</v>
      </c>
      <c r="E51" s="1721"/>
      <c r="F51" s="1721"/>
      <c r="G51" s="1721"/>
      <c r="H51" s="1721"/>
      <c r="I51" s="1721"/>
      <c r="J51" s="1721"/>
      <c r="K51" s="1721"/>
      <c r="L51" s="1721"/>
      <c r="M51" s="1721"/>
      <c r="N51" s="1721"/>
      <c r="O51" s="1721"/>
      <c r="P51" s="1721"/>
      <c r="Q51" s="1721"/>
      <c r="R51" s="1706" t="s">
        <v>20</v>
      </c>
      <c r="S51" s="1717" t="s">
        <v>17</v>
      </c>
      <c r="T51" s="1718"/>
      <c r="U51" s="1718"/>
      <c r="V51" s="1718"/>
      <c r="W51" s="1718"/>
      <c r="X51" s="1718"/>
      <c r="Y51" s="1718"/>
      <c r="Z51" s="1718"/>
      <c r="AA51" s="1718"/>
      <c r="AB51" s="1718"/>
      <c r="AC51" s="1718"/>
      <c r="AD51" s="1718"/>
      <c r="AE51" s="1719"/>
      <c r="AF51" s="1720" t="s">
        <v>6</v>
      </c>
      <c r="AG51" s="1720"/>
      <c r="AH51" s="1720"/>
      <c r="AI51" s="1720"/>
      <c r="AJ51" s="1720"/>
      <c r="AK51" s="1720"/>
      <c r="AL51" s="1720"/>
      <c r="AM51" s="1720"/>
      <c r="AN51" s="1720"/>
      <c r="AO51" s="1720"/>
      <c r="AP51" s="1720"/>
      <c r="AQ51" s="1720"/>
      <c r="AR51" s="1720"/>
      <c r="AS51" s="1720"/>
      <c r="AT51" s="1722" t="s">
        <v>41</v>
      </c>
      <c r="AU51" s="1723"/>
      <c r="AV51" s="1723"/>
      <c r="AW51" s="1723"/>
      <c r="AX51" s="1723"/>
      <c r="AY51" s="1723"/>
      <c r="AZ51" s="1723"/>
      <c r="BA51" s="1723"/>
      <c r="BB51" s="1723"/>
      <c r="BC51" s="1723"/>
      <c r="BD51" s="1723"/>
      <c r="BE51" s="1723"/>
      <c r="BF51" s="1724"/>
      <c r="BG51" s="1706" t="s">
        <v>38</v>
      </c>
      <c r="BH51" s="1706" t="s">
        <v>256</v>
      </c>
      <c r="BI51" s="1709" t="s">
        <v>39</v>
      </c>
      <c r="BJ51" s="135"/>
      <c r="BK51" s="135"/>
      <c r="BL51" s="135"/>
      <c r="BM51" s="135"/>
      <c r="BN51" s="135"/>
      <c r="BO51" s="1733" t="s">
        <v>41</v>
      </c>
      <c r="BP51" s="1734"/>
      <c r="BQ51" s="1734"/>
      <c r="BR51" s="1734"/>
      <c r="BS51" s="1734"/>
      <c r="BT51" s="1734"/>
      <c r="BU51" s="1734"/>
      <c r="BV51" s="1734"/>
      <c r="BW51" s="1734"/>
      <c r="BX51" s="1734"/>
      <c r="BY51" s="1734"/>
      <c r="BZ51" s="1734"/>
      <c r="CA51" s="1734"/>
      <c r="CB51" s="1734"/>
      <c r="CC51" s="1734"/>
      <c r="CD51" s="1734"/>
      <c r="CE51" s="1734"/>
      <c r="CF51" s="1734"/>
      <c r="CG51" s="1734"/>
      <c r="CH51" s="1734"/>
      <c r="CI51" s="1734"/>
      <c r="CJ51" s="1734"/>
      <c r="CK51" s="1734"/>
      <c r="CL51" s="1734"/>
      <c r="CM51" s="1734"/>
      <c r="CN51" s="1735"/>
    </row>
    <row r="52" spans="1:98" s="8" customFormat="1" ht="48.75" customHeight="1" x14ac:dyDescent="0.2">
      <c r="A52" s="1704"/>
      <c r="B52" s="1707"/>
      <c r="C52" s="1707"/>
      <c r="D52" s="1712" t="s">
        <v>18</v>
      </c>
      <c r="E52" s="1714" t="s">
        <v>19</v>
      </c>
      <c r="F52" s="1715"/>
      <c r="G52" s="1715"/>
      <c r="H52" s="1715"/>
      <c r="I52" s="1715"/>
      <c r="J52" s="1715"/>
      <c r="K52" s="1715"/>
      <c r="L52" s="1715"/>
      <c r="M52" s="1715"/>
      <c r="N52" s="1715"/>
      <c r="O52" s="1715"/>
      <c r="P52" s="1715"/>
      <c r="Q52" s="1715"/>
      <c r="R52" s="1707"/>
      <c r="S52" s="1712" t="s">
        <v>18</v>
      </c>
      <c r="T52" s="1714" t="s">
        <v>19</v>
      </c>
      <c r="U52" s="1715"/>
      <c r="V52" s="1715"/>
      <c r="W52" s="1715"/>
      <c r="X52" s="1715"/>
      <c r="Y52" s="1715"/>
      <c r="Z52" s="1715"/>
      <c r="AA52" s="1715"/>
      <c r="AB52" s="1715"/>
      <c r="AC52" s="1715"/>
      <c r="AD52" s="1715"/>
      <c r="AE52" s="1716"/>
      <c r="AF52" s="1712" t="s">
        <v>18</v>
      </c>
      <c r="AG52" s="1714" t="s">
        <v>19</v>
      </c>
      <c r="AH52" s="1715"/>
      <c r="AI52" s="1715"/>
      <c r="AJ52" s="1715"/>
      <c r="AK52" s="1715"/>
      <c r="AL52" s="1715"/>
      <c r="AM52" s="1715"/>
      <c r="AN52" s="1715"/>
      <c r="AO52" s="1715"/>
      <c r="AP52" s="1715"/>
      <c r="AQ52" s="1715"/>
      <c r="AR52" s="1715"/>
      <c r="AS52" s="1716"/>
      <c r="AT52" s="1725"/>
      <c r="AU52" s="1726"/>
      <c r="AV52" s="1726"/>
      <c r="AW52" s="1726"/>
      <c r="AX52" s="1726"/>
      <c r="AY52" s="1726"/>
      <c r="AZ52" s="1726"/>
      <c r="BA52" s="1726"/>
      <c r="BB52" s="1726"/>
      <c r="BC52" s="1726"/>
      <c r="BD52" s="1726"/>
      <c r="BE52" s="1726"/>
      <c r="BF52" s="1727"/>
      <c r="BG52" s="1707"/>
      <c r="BH52" s="1707"/>
      <c r="BI52" s="1710"/>
      <c r="BJ52" s="135"/>
      <c r="BK52" s="1736">
        <f>SUM(BK54/60)</f>
        <v>3532.9</v>
      </c>
      <c r="BL52" s="1736"/>
      <c r="BM52" s="1736"/>
      <c r="BN52" s="23"/>
      <c r="BO52" s="1737" t="s">
        <v>686</v>
      </c>
      <c r="BP52" s="1738"/>
      <c r="BQ52" s="1738"/>
      <c r="BR52" s="1738"/>
      <c r="BS52" s="1738"/>
      <c r="BT52" s="1738"/>
      <c r="BU52" s="1738"/>
      <c r="BV52" s="1738"/>
      <c r="BW52" s="1738"/>
      <c r="BX52" s="1738"/>
      <c r="BY52" s="1738"/>
      <c r="BZ52" s="1738"/>
      <c r="CA52" s="1739"/>
      <c r="CB52" s="1740" t="s">
        <v>687</v>
      </c>
      <c r="CC52" s="1741"/>
      <c r="CD52" s="1741"/>
      <c r="CE52" s="1741"/>
      <c r="CF52" s="1741"/>
      <c r="CG52" s="1741"/>
      <c r="CH52" s="1741"/>
      <c r="CI52" s="1741"/>
      <c r="CJ52" s="1741"/>
      <c r="CK52" s="1741"/>
      <c r="CL52" s="1741"/>
      <c r="CM52" s="1741"/>
      <c r="CN52" s="1742"/>
    </row>
    <row r="53" spans="1:98" s="6" customFormat="1" ht="28.5" customHeight="1" x14ac:dyDescent="0.2">
      <c r="A53" s="1705"/>
      <c r="B53" s="1708"/>
      <c r="C53" s="1708"/>
      <c r="D53" s="1713"/>
      <c r="E53" s="26">
        <v>1</v>
      </c>
      <c r="F53" s="26">
        <v>2</v>
      </c>
      <c r="G53" s="26">
        <v>3</v>
      </c>
      <c r="H53" s="26">
        <v>4</v>
      </c>
      <c r="I53" s="26">
        <v>5</v>
      </c>
      <c r="J53" s="26">
        <v>6</v>
      </c>
      <c r="K53" s="26">
        <v>7</v>
      </c>
      <c r="L53" s="26">
        <v>8</v>
      </c>
      <c r="M53" s="26">
        <v>9</v>
      </c>
      <c r="N53" s="26">
        <v>10</v>
      </c>
      <c r="O53" s="26">
        <v>11</v>
      </c>
      <c r="P53" s="26">
        <v>12</v>
      </c>
      <c r="Q53" s="26" t="s">
        <v>21</v>
      </c>
      <c r="R53" s="1708"/>
      <c r="S53" s="1713"/>
      <c r="T53" s="26">
        <v>1</v>
      </c>
      <c r="U53" s="26">
        <v>2</v>
      </c>
      <c r="V53" s="26">
        <v>3</v>
      </c>
      <c r="W53" s="26">
        <v>4</v>
      </c>
      <c r="X53" s="26">
        <v>5</v>
      </c>
      <c r="Y53" s="26">
        <v>6</v>
      </c>
      <c r="Z53" s="26">
        <v>7</v>
      </c>
      <c r="AA53" s="26">
        <v>8</v>
      </c>
      <c r="AB53" s="26">
        <v>9</v>
      </c>
      <c r="AC53" s="26">
        <v>10</v>
      </c>
      <c r="AD53" s="26">
        <v>11</v>
      </c>
      <c r="AE53" s="26">
        <v>12</v>
      </c>
      <c r="AF53" s="1713"/>
      <c r="AG53" s="26">
        <v>1</v>
      </c>
      <c r="AH53" s="26">
        <v>2</v>
      </c>
      <c r="AI53" s="26">
        <v>3</v>
      </c>
      <c r="AJ53" s="26">
        <v>4</v>
      </c>
      <c r="AK53" s="26">
        <v>5</v>
      </c>
      <c r="AL53" s="26">
        <v>6</v>
      </c>
      <c r="AM53" s="26">
        <v>7</v>
      </c>
      <c r="AN53" s="26">
        <v>8</v>
      </c>
      <c r="AO53" s="26">
        <v>9</v>
      </c>
      <c r="AP53" s="26">
        <v>10</v>
      </c>
      <c r="AQ53" s="26">
        <v>11</v>
      </c>
      <c r="AR53" s="26">
        <v>12</v>
      </c>
      <c r="AS53" s="26" t="s">
        <v>13</v>
      </c>
      <c r="AT53" s="173">
        <v>1</v>
      </c>
      <c r="AU53" s="173">
        <v>2</v>
      </c>
      <c r="AV53" s="173">
        <v>3</v>
      </c>
      <c r="AW53" s="173">
        <v>4</v>
      </c>
      <c r="AX53" s="173">
        <v>5</v>
      </c>
      <c r="AY53" s="173">
        <v>6</v>
      </c>
      <c r="AZ53" s="173">
        <v>7</v>
      </c>
      <c r="BA53" s="173">
        <v>8</v>
      </c>
      <c r="BB53" s="173">
        <v>9</v>
      </c>
      <c r="BC53" s="173"/>
      <c r="BD53" s="173"/>
      <c r="BE53" s="173">
        <v>12</v>
      </c>
      <c r="BF53" s="26" t="s">
        <v>13</v>
      </c>
      <c r="BG53" s="1708"/>
      <c r="BH53" s="1708"/>
      <c r="BI53" s="1711"/>
      <c r="BJ53" s="7"/>
      <c r="BK53" s="1743" t="s">
        <v>19</v>
      </c>
      <c r="BL53" s="1744"/>
      <c r="BM53" s="1745"/>
      <c r="BN53" s="621"/>
      <c r="BO53" s="173">
        <v>1</v>
      </c>
      <c r="BP53" s="173">
        <v>2</v>
      </c>
      <c r="BQ53" s="173">
        <v>3</v>
      </c>
      <c r="BR53" s="173">
        <v>4</v>
      </c>
      <c r="BS53" s="173">
        <v>5</v>
      </c>
      <c r="BT53" s="173">
        <v>6</v>
      </c>
      <c r="BU53" s="173">
        <v>7</v>
      </c>
      <c r="BV53" s="173">
        <v>8</v>
      </c>
      <c r="BW53" s="173">
        <v>9</v>
      </c>
      <c r="BX53" s="173">
        <v>10</v>
      </c>
      <c r="BY53" s="173">
        <v>11</v>
      </c>
      <c r="BZ53" s="173">
        <v>12</v>
      </c>
      <c r="CA53" s="26" t="s">
        <v>13</v>
      </c>
      <c r="CB53" s="173">
        <v>1</v>
      </c>
      <c r="CC53" s="173">
        <v>2</v>
      </c>
      <c r="CD53" s="173">
        <v>3</v>
      </c>
      <c r="CE53" s="173">
        <v>4</v>
      </c>
      <c r="CF53" s="173">
        <v>5</v>
      </c>
      <c r="CG53" s="173">
        <v>6</v>
      </c>
      <c r="CH53" s="173">
        <v>7</v>
      </c>
      <c r="CI53" s="173">
        <v>8</v>
      </c>
      <c r="CJ53" s="173">
        <v>9</v>
      </c>
      <c r="CK53" s="173">
        <v>10</v>
      </c>
      <c r="CL53" s="173">
        <v>11</v>
      </c>
      <c r="CM53" s="173">
        <v>12</v>
      </c>
      <c r="CN53" s="26" t="s">
        <v>13</v>
      </c>
    </row>
    <row r="54" spans="1:98" s="7" customFormat="1" ht="24.75" customHeight="1" thickBot="1" x14ac:dyDescent="0.25">
      <c r="A54" s="41"/>
      <c r="B54" s="193" t="s">
        <v>693</v>
      </c>
      <c r="C54" s="29" t="s">
        <v>54</v>
      </c>
      <c r="D54" s="1503">
        <v>252</v>
      </c>
      <c r="E54" s="82">
        <v>21</v>
      </c>
      <c r="F54" s="30">
        <v>21</v>
      </c>
      <c r="G54" s="30">
        <v>21</v>
      </c>
      <c r="H54" s="30">
        <v>21</v>
      </c>
      <c r="I54" s="30">
        <v>21</v>
      </c>
      <c r="J54" s="30">
        <v>21</v>
      </c>
      <c r="K54" s="30">
        <v>21</v>
      </c>
      <c r="L54" s="1127">
        <v>21</v>
      </c>
      <c r="M54" s="30">
        <v>21</v>
      </c>
      <c r="N54" s="30">
        <v>42</v>
      </c>
      <c r="O54" s="30">
        <v>21</v>
      </c>
      <c r="P54" s="30"/>
      <c r="Q54" s="1504">
        <f>SUM(E54:P54)</f>
        <v>252</v>
      </c>
      <c r="R54" s="197" t="s">
        <v>31</v>
      </c>
      <c r="S54" s="633">
        <v>10300</v>
      </c>
      <c r="T54" s="84">
        <v>9000</v>
      </c>
      <c r="U54" s="84">
        <v>9000</v>
      </c>
      <c r="V54" s="84">
        <v>9000</v>
      </c>
      <c r="W54" s="84">
        <v>9000</v>
      </c>
      <c r="X54" s="33">
        <v>9000</v>
      </c>
      <c r="Y54" s="33">
        <v>9000</v>
      </c>
      <c r="Z54" s="33">
        <v>9000</v>
      </c>
      <c r="AA54" s="1158">
        <v>10300</v>
      </c>
      <c r="AB54" s="33">
        <v>10300</v>
      </c>
      <c r="AC54" s="33">
        <v>10300</v>
      </c>
      <c r="AD54" s="33">
        <v>10300</v>
      </c>
      <c r="AE54" s="33"/>
      <c r="AF54" s="69">
        <f t="shared" ref="AF54" si="210">SUM(Q54*S54)</f>
        <v>2595600</v>
      </c>
      <c r="AG54" s="862">
        <f>T54*E54</f>
        <v>189000</v>
      </c>
      <c r="AH54" s="862">
        <f>U54*F54</f>
        <v>189000</v>
      </c>
      <c r="AI54" s="862">
        <f>V54*G54</f>
        <v>189000</v>
      </c>
      <c r="AJ54" s="862">
        <f t="shared" ref="AJ54:AR54" si="211">W54*H54</f>
        <v>189000</v>
      </c>
      <c r="AK54" s="862">
        <f t="shared" si="211"/>
        <v>189000</v>
      </c>
      <c r="AL54" s="862">
        <f t="shared" si="211"/>
        <v>189000</v>
      </c>
      <c r="AM54" s="862">
        <f t="shared" si="211"/>
        <v>189000</v>
      </c>
      <c r="AN54" s="1123">
        <f t="shared" si="211"/>
        <v>216300</v>
      </c>
      <c r="AO54" s="862">
        <f t="shared" si="211"/>
        <v>216300</v>
      </c>
      <c r="AP54" s="862">
        <f t="shared" si="211"/>
        <v>432600</v>
      </c>
      <c r="AQ54" s="862">
        <f t="shared" si="211"/>
        <v>216300</v>
      </c>
      <c r="AR54" s="862">
        <f t="shared" si="211"/>
        <v>0</v>
      </c>
      <c r="AS54" s="863">
        <f>SUM(AG54:AR54)</f>
        <v>2404500</v>
      </c>
      <c r="AT54" s="862">
        <f t="shared" ref="AT54:AY54" si="212">SUM(AG54*4%)</f>
        <v>7560</v>
      </c>
      <c r="AU54" s="862">
        <f t="shared" si="212"/>
        <v>7560</v>
      </c>
      <c r="AV54" s="862">
        <f t="shared" si="212"/>
        <v>7560</v>
      </c>
      <c r="AW54" s="862">
        <f t="shared" si="212"/>
        <v>7560</v>
      </c>
      <c r="AX54" s="862">
        <f t="shared" si="212"/>
        <v>7560</v>
      </c>
      <c r="AY54" s="862">
        <f t="shared" si="212"/>
        <v>7560</v>
      </c>
      <c r="AZ54" s="862">
        <f>AM54*4%</f>
        <v>7560</v>
      </c>
      <c r="BA54" s="862">
        <v>0</v>
      </c>
      <c r="BB54" s="862"/>
      <c r="BC54" s="862"/>
      <c r="BD54" s="862"/>
      <c r="BE54" s="862">
        <f t="shared" ref="BE54" si="213">SUM(AR54*14%)</f>
        <v>0</v>
      </c>
      <c r="BF54" s="73">
        <f t="shared" ref="BF54" si="214">SUM(AT54:BE54)</f>
        <v>52920</v>
      </c>
      <c r="BG54" s="73">
        <f>AF54-AS54-BF54</f>
        <v>138180</v>
      </c>
      <c r="BH54" s="74">
        <f>S54*D54</f>
        <v>2595600</v>
      </c>
      <c r="BI54" s="75">
        <f t="shared" ref="BI54" si="215">BH54-AS54-BF54</f>
        <v>138180</v>
      </c>
      <c r="BJ54" s="163">
        <f>SUM(Q54/D54)</f>
        <v>1</v>
      </c>
      <c r="BK54" s="862">
        <f>AO54-BW54</f>
        <v>211974</v>
      </c>
      <c r="BL54" s="862">
        <f>21*9000</f>
        <v>189000</v>
      </c>
      <c r="BM54" s="1102">
        <f>BK54-BL54</f>
        <v>22974</v>
      </c>
      <c r="BN54" s="1084"/>
      <c r="BO54" s="862"/>
      <c r="BP54" s="862"/>
      <c r="BQ54" s="862"/>
      <c r="BR54" s="862"/>
      <c r="BS54" s="862"/>
      <c r="BT54" s="862"/>
      <c r="BU54" s="862"/>
      <c r="BV54" s="1123">
        <f>AN54*2%</f>
        <v>4326</v>
      </c>
      <c r="BW54" s="862">
        <f>AO54*2%</f>
        <v>4326</v>
      </c>
      <c r="BX54" s="862"/>
      <c r="BY54" s="862"/>
      <c r="BZ54" s="862"/>
      <c r="CA54" s="73">
        <f t="shared" ref="CA54" si="216">SUM(BO54:BZ54)</f>
        <v>8652</v>
      </c>
      <c r="CB54" s="862"/>
      <c r="CC54" s="862"/>
      <c r="CD54" s="862"/>
      <c r="CE54" s="862"/>
      <c r="CF54" s="862"/>
      <c r="CG54" s="862"/>
      <c r="CH54" s="862"/>
      <c r="CI54" s="1123">
        <f>AN54*10%</f>
        <v>21630</v>
      </c>
      <c r="CJ54" s="862"/>
      <c r="CK54" s="862"/>
      <c r="CL54" s="862"/>
      <c r="CM54" s="862"/>
      <c r="CN54" s="73">
        <f t="shared" ref="CN54:CN56" si="217">SUM(CB54:CM54)</f>
        <v>21630</v>
      </c>
    </row>
    <row r="55" spans="1:98" s="38" customFormat="1" ht="24.75" customHeight="1" thickBot="1" x14ac:dyDescent="0.25">
      <c r="A55" s="577">
        <v>5</v>
      </c>
      <c r="B55" s="44" t="s">
        <v>4</v>
      </c>
      <c r="C55" s="44"/>
      <c r="D55" s="45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7"/>
      <c r="R55" s="77"/>
      <c r="S55" s="45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78">
        <f t="shared" ref="AF55:BF55" si="218">SUM(AF54:AF54)</f>
        <v>2595600</v>
      </c>
      <c r="AG55" s="78">
        <f t="shared" si="218"/>
        <v>189000</v>
      </c>
      <c r="AH55" s="78">
        <f t="shared" si="218"/>
        <v>189000</v>
      </c>
      <c r="AI55" s="78">
        <f t="shared" si="218"/>
        <v>189000</v>
      </c>
      <c r="AJ55" s="78">
        <f t="shared" ref="AJ55:AR55" si="219">SUM(AJ54:AJ54)</f>
        <v>189000</v>
      </c>
      <c r="AK55" s="78">
        <f t="shared" si="219"/>
        <v>189000</v>
      </c>
      <c r="AL55" s="78">
        <f t="shared" si="219"/>
        <v>189000</v>
      </c>
      <c r="AM55" s="78">
        <f t="shared" si="219"/>
        <v>189000</v>
      </c>
      <c r="AN55" s="78">
        <f t="shared" si="219"/>
        <v>216300</v>
      </c>
      <c r="AO55" s="78">
        <f t="shared" si="219"/>
        <v>216300</v>
      </c>
      <c r="AP55" s="78"/>
      <c r="AQ55" s="78">
        <f t="shared" si="219"/>
        <v>216300</v>
      </c>
      <c r="AR55" s="78">
        <f t="shared" si="219"/>
        <v>0</v>
      </c>
      <c r="AS55" s="1102">
        <f>SUM(AG55:AR55)</f>
        <v>1971900</v>
      </c>
      <c r="AT55" s="78">
        <f t="shared" si="218"/>
        <v>7560</v>
      </c>
      <c r="AU55" s="78">
        <f t="shared" si="218"/>
        <v>7560</v>
      </c>
      <c r="AV55" s="78">
        <f t="shared" si="218"/>
        <v>7560</v>
      </c>
      <c r="AW55" s="78">
        <f t="shared" ref="AW55:BE55" si="220">SUM(AW54:AW54)</f>
        <v>7560</v>
      </c>
      <c r="AX55" s="78">
        <f t="shared" si="220"/>
        <v>7560</v>
      </c>
      <c r="AY55" s="78">
        <f t="shared" si="220"/>
        <v>7560</v>
      </c>
      <c r="AZ55" s="78">
        <f t="shared" si="220"/>
        <v>7560</v>
      </c>
      <c r="BA55" s="78">
        <f t="shared" si="220"/>
        <v>0</v>
      </c>
      <c r="BB55" s="78">
        <f t="shared" si="220"/>
        <v>0</v>
      </c>
      <c r="BC55" s="78">
        <f t="shared" si="220"/>
        <v>0</v>
      </c>
      <c r="BD55" s="78">
        <f t="shared" si="220"/>
        <v>0</v>
      </c>
      <c r="BE55" s="78">
        <f t="shared" si="220"/>
        <v>0</v>
      </c>
      <c r="BF55" s="78">
        <f t="shared" si="218"/>
        <v>52920</v>
      </c>
      <c r="BG55" s="79">
        <f>SUM(BG54)</f>
        <v>138180</v>
      </c>
      <c r="BH55" s="78">
        <f>SUM(BH54:BH54)</f>
        <v>2595600</v>
      </c>
      <c r="BI55" s="78">
        <f>SUM(BI54:BI54)</f>
        <v>138180</v>
      </c>
      <c r="BJ55" s="164">
        <f>SUM(BJ54)</f>
        <v>1</v>
      </c>
      <c r="BK55" s="1081">
        <f>SUM(BK54)</f>
        <v>211974</v>
      </c>
      <c r="BL55" s="1081">
        <f>SUM(BL54)</f>
        <v>189000</v>
      </c>
      <c r="BM55" s="1083">
        <f>SUM(BK55-BL55)</f>
        <v>22974</v>
      </c>
      <c r="BN55" s="1084"/>
      <c r="BO55" s="862"/>
      <c r="BP55" s="862"/>
      <c r="BQ55" s="862"/>
      <c r="BR55" s="862"/>
      <c r="BS55" s="862"/>
      <c r="BT55" s="862"/>
      <c r="BU55" s="862"/>
      <c r="BV55" s="862"/>
      <c r="BW55" s="1128"/>
      <c r="BX55" s="862"/>
      <c r="BY55" s="862"/>
      <c r="BZ55" s="862"/>
      <c r="CA55" s="73">
        <f t="shared" ref="CA55:CA56" si="221">SUM(BO55:BZ55)</f>
        <v>0</v>
      </c>
      <c r="CB55" s="862"/>
      <c r="CC55" s="862"/>
      <c r="CD55" s="862"/>
      <c r="CE55" s="862"/>
      <c r="CF55" s="862"/>
      <c r="CG55" s="862"/>
      <c r="CH55" s="862"/>
      <c r="CI55" s="862"/>
      <c r="CJ55" s="1128"/>
      <c r="CK55" s="862"/>
      <c r="CL55" s="862"/>
      <c r="CM55" s="862"/>
      <c r="CN55" s="73">
        <f t="shared" si="217"/>
        <v>0</v>
      </c>
    </row>
    <row r="56" spans="1:98" s="20" customFormat="1" ht="24.75" customHeight="1" x14ac:dyDescent="0.2">
      <c r="A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U56" s="1274"/>
      <c r="AE56" s="40"/>
      <c r="AS56" s="51"/>
      <c r="BF56" s="52"/>
      <c r="BG56" s="53"/>
      <c r="BH56" s="54"/>
      <c r="BI56" s="55">
        <f>SUM(BG55)</f>
        <v>138180</v>
      </c>
      <c r="BJ56" s="165" t="s">
        <v>38</v>
      </c>
      <c r="BK56" s="1121"/>
      <c r="BL56" s="1121"/>
      <c r="BM56" s="1116">
        <v>22974</v>
      </c>
      <c r="BN56" s="1117"/>
      <c r="BO56" s="1113"/>
      <c r="BP56" s="1113"/>
      <c r="BQ56" s="1113"/>
      <c r="BR56" s="1113"/>
      <c r="BS56" s="1113"/>
      <c r="BT56" s="1113"/>
      <c r="BU56" s="1113"/>
      <c r="BV56" s="1113"/>
      <c r="BW56" s="1115">
        <f t="shared" ref="BW56" si="222">SUM(AN56*12.5%)</f>
        <v>0</v>
      </c>
      <c r="BX56" s="1113"/>
      <c r="BY56" s="1113"/>
      <c r="BZ56" s="1113"/>
      <c r="CA56" s="1114">
        <f t="shared" si="221"/>
        <v>0</v>
      </c>
      <c r="CB56" s="1113"/>
      <c r="CC56" s="1113"/>
      <c r="CD56" s="1113"/>
      <c r="CE56" s="1113"/>
      <c r="CF56" s="1113"/>
      <c r="CG56" s="1113"/>
      <c r="CH56" s="1113"/>
      <c r="CI56" s="1113"/>
      <c r="CJ56" s="1115"/>
      <c r="CK56" s="1113"/>
      <c r="CL56" s="1113"/>
      <c r="CM56" s="1113"/>
      <c r="CN56" s="1114">
        <f t="shared" si="217"/>
        <v>0</v>
      </c>
    </row>
    <row r="57" spans="1:98" s="20" customFormat="1" ht="24.75" customHeight="1" x14ac:dyDescent="0.2">
      <c r="A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AE57" s="40"/>
      <c r="AO57" s="404"/>
      <c r="AS57" s="40"/>
      <c r="AT57" s="388">
        <f>SUM(AG55+AT55)</f>
        <v>196560</v>
      </c>
      <c r="AU57" s="388">
        <f t="shared" ref="AU57" si="223">SUM(AH55+AU55)</f>
        <v>196560</v>
      </c>
      <c r="AV57" s="388">
        <f t="shared" ref="AV57" si="224">SUM(AI55+AV55)</f>
        <v>196560</v>
      </c>
      <c r="AW57" s="388">
        <f t="shared" ref="AW57" si="225">SUM(AJ55+AW55)</f>
        <v>196560</v>
      </c>
      <c r="AX57" s="388">
        <f t="shared" ref="AX57" si="226">SUM(AK55+AX55)</f>
        <v>196560</v>
      </c>
      <c r="AY57" s="388">
        <f t="shared" ref="AY57" si="227">SUM(AL55+AY55)</f>
        <v>196560</v>
      </c>
      <c r="AZ57" s="1030">
        <f t="shared" ref="AZ57" si="228">SUM(AM55+AZ55)</f>
        <v>196560</v>
      </c>
      <c r="BA57" s="388">
        <f t="shared" ref="BA57" si="229">SUM(AN55+BA55)</f>
        <v>216300</v>
      </c>
      <c r="BB57" s="388">
        <f t="shared" ref="BB57" si="230">SUM(AO55+BB55)</f>
        <v>216300</v>
      </c>
      <c r="BC57" s="388">
        <f t="shared" ref="BC57" si="231">SUM(AP55+BC55)</f>
        <v>0</v>
      </c>
      <c r="BD57" s="388">
        <f t="shared" ref="BD57" si="232">SUM(AQ55+BD55)</f>
        <v>216300</v>
      </c>
      <c r="BE57" s="388">
        <f t="shared" ref="BE57" si="233">SUM(AR55+BE55)</f>
        <v>0</v>
      </c>
      <c r="BF57" s="388"/>
      <c r="BG57" s="40"/>
      <c r="BH57" s="56"/>
      <c r="BI57" s="57">
        <f>SUM(BI55-BI56)</f>
        <v>0</v>
      </c>
      <c r="BJ57" s="165" t="s">
        <v>37</v>
      </c>
      <c r="BK57" s="171"/>
      <c r="BL57" s="389"/>
      <c r="BM57" s="1278">
        <v>22947</v>
      </c>
      <c r="BN57" s="1278">
        <f>BM56+BM57</f>
        <v>45921</v>
      </c>
      <c r="BO57" s="389"/>
      <c r="BP57" s="389"/>
      <c r="BQ57" s="389"/>
      <c r="BR57" s="389"/>
      <c r="BS57" s="389"/>
      <c r="BT57" s="389"/>
      <c r="BU57" s="389"/>
      <c r="BV57" s="389"/>
      <c r="BW57" s="389"/>
      <c r="BX57" s="389"/>
      <c r="BY57" s="389"/>
      <c r="BZ57" s="389"/>
      <c r="CA57" s="389"/>
      <c r="CB57" s="389"/>
      <c r="CC57" s="389"/>
    </row>
    <row r="58" spans="1:98" s="20" customFormat="1" ht="16.5" customHeight="1" x14ac:dyDescent="0.2">
      <c r="A58" s="1730" t="s">
        <v>8</v>
      </c>
      <c r="B58" s="1731"/>
      <c r="C58" s="124" t="s">
        <v>220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7"/>
      <c r="AF58" s="23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405"/>
      <c r="AT58" s="406"/>
      <c r="AU58" s="406">
        <f>SUM(AT58+AS58)</f>
        <v>0</v>
      </c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8"/>
      <c r="BG58" s="138"/>
      <c r="BH58" s="135"/>
      <c r="BI58" s="139"/>
      <c r="BJ58" s="23"/>
      <c r="BK58" s="169"/>
      <c r="BL58" s="136"/>
      <c r="BM58" s="136"/>
      <c r="BN58" s="136"/>
      <c r="BO58" s="136"/>
      <c r="BP58" s="137"/>
      <c r="BQ58" s="136"/>
      <c r="BR58" s="136"/>
      <c r="BS58" s="136"/>
      <c r="BT58" s="136"/>
      <c r="BU58" s="136"/>
      <c r="BV58" s="138"/>
      <c r="BW58" s="138"/>
      <c r="BX58" s="138"/>
      <c r="BY58" s="135"/>
      <c r="BZ58" s="139"/>
      <c r="CA58" s="138"/>
      <c r="CB58" s="138"/>
      <c r="CC58" s="24"/>
      <c r="CD58" s="24"/>
      <c r="CE58" s="24"/>
      <c r="CF58" s="24"/>
      <c r="CG58" s="24"/>
      <c r="CH58" s="140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</row>
    <row r="59" spans="1:98" s="8" customFormat="1" ht="48.75" customHeight="1" x14ac:dyDescent="0.2">
      <c r="A59" s="1703" t="s">
        <v>10</v>
      </c>
      <c r="B59" s="1706" t="s">
        <v>11</v>
      </c>
      <c r="C59" s="1706" t="s">
        <v>22</v>
      </c>
      <c r="D59" s="1721" t="s">
        <v>12</v>
      </c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06" t="s">
        <v>20</v>
      </c>
      <c r="S59" s="1717" t="s">
        <v>17</v>
      </c>
      <c r="T59" s="1718"/>
      <c r="U59" s="1718"/>
      <c r="V59" s="1718"/>
      <c r="W59" s="1718"/>
      <c r="X59" s="1718"/>
      <c r="Y59" s="1718"/>
      <c r="Z59" s="1718"/>
      <c r="AA59" s="1718"/>
      <c r="AB59" s="1718"/>
      <c r="AC59" s="1718"/>
      <c r="AD59" s="1718"/>
      <c r="AE59" s="1719"/>
      <c r="AF59" s="1720" t="s">
        <v>6</v>
      </c>
      <c r="AG59" s="1720"/>
      <c r="AH59" s="1720"/>
      <c r="AI59" s="1720"/>
      <c r="AJ59" s="1720"/>
      <c r="AK59" s="1720"/>
      <c r="AL59" s="1720"/>
      <c r="AM59" s="1720"/>
      <c r="AN59" s="1720"/>
      <c r="AO59" s="1720"/>
      <c r="AP59" s="1720"/>
      <c r="AQ59" s="1720"/>
      <c r="AR59" s="1720"/>
      <c r="AS59" s="1720"/>
      <c r="AT59" s="1722" t="s">
        <v>41</v>
      </c>
      <c r="AU59" s="1723"/>
      <c r="AV59" s="1723"/>
      <c r="AW59" s="1723"/>
      <c r="AX59" s="1723"/>
      <c r="AY59" s="1723"/>
      <c r="AZ59" s="1723"/>
      <c r="BA59" s="1723"/>
      <c r="BB59" s="1723"/>
      <c r="BC59" s="1723"/>
      <c r="BD59" s="1723"/>
      <c r="BE59" s="1723"/>
      <c r="BF59" s="1724"/>
      <c r="BG59" s="1706" t="s">
        <v>38</v>
      </c>
      <c r="BH59" s="1706" t="s">
        <v>256</v>
      </c>
      <c r="BI59" s="1709" t="s">
        <v>39</v>
      </c>
      <c r="BJ59" s="135"/>
      <c r="BK59" s="1378">
        <v>138180</v>
      </c>
      <c r="BL59" s="1283">
        <f>BI55-BK59</f>
        <v>0</v>
      </c>
      <c r="BM59" s="135"/>
      <c r="BN59" s="135"/>
      <c r="BO59" s="1733" t="s">
        <v>41</v>
      </c>
      <c r="BP59" s="1734"/>
      <c r="BQ59" s="1734"/>
      <c r="BR59" s="1734"/>
      <c r="BS59" s="1734"/>
      <c r="BT59" s="1734"/>
      <c r="BU59" s="1734"/>
      <c r="BV59" s="1734"/>
      <c r="BW59" s="1734"/>
      <c r="BX59" s="1734"/>
      <c r="BY59" s="1734"/>
      <c r="BZ59" s="1734"/>
      <c r="CA59" s="1734"/>
      <c r="CB59" s="1734"/>
      <c r="CC59" s="1734"/>
      <c r="CD59" s="1734"/>
      <c r="CE59" s="1734"/>
      <c r="CF59" s="1734"/>
      <c r="CG59" s="1734"/>
      <c r="CH59" s="1734"/>
      <c r="CI59" s="1734"/>
      <c r="CJ59" s="1734"/>
      <c r="CK59" s="1734"/>
      <c r="CL59" s="1734"/>
      <c r="CM59" s="1734"/>
      <c r="CN59" s="1735"/>
    </row>
    <row r="60" spans="1:98" s="8" customFormat="1" ht="48.75" customHeight="1" x14ac:dyDescent="0.2">
      <c r="A60" s="1704"/>
      <c r="B60" s="1707"/>
      <c r="C60" s="1707"/>
      <c r="D60" s="1712" t="s">
        <v>18</v>
      </c>
      <c r="E60" s="1714" t="s">
        <v>19</v>
      </c>
      <c r="F60" s="1715"/>
      <c r="G60" s="1715"/>
      <c r="H60" s="1715"/>
      <c r="I60" s="1715"/>
      <c r="J60" s="1715"/>
      <c r="K60" s="1715"/>
      <c r="L60" s="1715"/>
      <c r="M60" s="1715"/>
      <c r="N60" s="1715"/>
      <c r="O60" s="1715"/>
      <c r="P60" s="1715"/>
      <c r="Q60" s="1715"/>
      <c r="R60" s="1707"/>
      <c r="S60" s="1712" t="s">
        <v>18</v>
      </c>
      <c r="T60" s="1714" t="s">
        <v>19</v>
      </c>
      <c r="U60" s="1715"/>
      <c r="V60" s="1715"/>
      <c r="W60" s="1715"/>
      <c r="X60" s="1715"/>
      <c r="Y60" s="1715"/>
      <c r="Z60" s="1715"/>
      <c r="AA60" s="1715"/>
      <c r="AB60" s="1715"/>
      <c r="AC60" s="1715"/>
      <c r="AD60" s="1715"/>
      <c r="AE60" s="1716"/>
      <c r="AF60" s="1712" t="s">
        <v>18</v>
      </c>
      <c r="AG60" s="1714" t="s">
        <v>19</v>
      </c>
      <c r="AH60" s="1715"/>
      <c r="AI60" s="1715"/>
      <c r="AJ60" s="1715"/>
      <c r="AK60" s="1715"/>
      <c r="AL60" s="1715"/>
      <c r="AM60" s="1715"/>
      <c r="AN60" s="1715"/>
      <c r="AO60" s="1715"/>
      <c r="AP60" s="1715"/>
      <c r="AQ60" s="1715"/>
      <c r="AR60" s="1715"/>
      <c r="AS60" s="1716"/>
      <c r="AT60" s="1725"/>
      <c r="AU60" s="1726"/>
      <c r="AV60" s="1726"/>
      <c r="AW60" s="1726"/>
      <c r="AX60" s="1726"/>
      <c r="AY60" s="1726"/>
      <c r="AZ60" s="1726"/>
      <c r="BA60" s="1726"/>
      <c r="BB60" s="1726"/>
      <c r="BC60" s="1726"/>
      <c r="BD60" s="1726"/>
      <c r="BE60" s="1726"/>
      <c r="BF60" s="1727"/>
      <c r="BG60" s="1707"/>
      <c r="BH60" s="1707"/>
      <c r="BI60" s="1710"/>
      <c r="BJ60" s="135"/>
      <c r="BK60" s="1736">
        <f>SUM(BK62/60)</f>
        <v>3021.3333333333335</v>
      </c>
      <c r="BL60" s="1736"/>
      <c r="BM60" s="1736"/>
      <c r="BN60" s="23"/>
      <c r="BO60" s="1737" t="s">
        <v>686</v>
      </c>
      <c r="BP60" s="1738"/>
      <c r="BQ60" s="1738"/>
      <c r="BR60" s="1738"/>
      <c r="BS60" s="1738"/>
      <c r="BT60" s="1738"/>
      <c r="BU60" s="1738"/>
      <c r="BV60" s="1738"/>
      <c r="BW60" s="1738"/>
      <c r="BX60" s="1738"/>
      <c r="BY60" s="1738"/>
      <c r="BZ60" s="1738"/>
      <c r="CA60" s="1739"/>
      <c r="CB60" s="1740" t="s">
        <v>687</v>
      </c>
      <c r="CC60" s="1741"/>
      <c r="CD60" s="1741"/>
      <c r="CE60" s="1741"/>
      <c r="CF60" s="1741"/>
      <c r="CG60" s="1741"/>
      <c r="CH60" s="1741"/>
      <c r="CI60" s="1741"/>
      <c r="CJ60" s="1741"/>
      <c r="CK60" s="1741"/>
      <c r="CL60" s="1741"/>
      <c r="CM60" s="1741"/>
      <c r="CN60" s="1742"/>
    </row>
    <row r="61" spans="1:98" s="6" customFormat="1" ht="28.5" customHeight="1" x14ac:dyDescent="0.2">
      <c r="A61" s="1705"/>
      <c r="B61" s="1708"/>
      <c r="C61" s="1708"/>
      <c r="D61" s="1713"/>
      <c r="E61" s="26">
        <v>1</v>
      </c>
      <c r="F61" s="26">
        <v>2</v>
      </c>
      <c r="G61" s="26">
        <v>3</v>
      </c>
      <c r="H61" s="26">
        <v>4</v>
      </c>
      <c r="I61" s="26">
        <v>5</v>
      </c>
      <c r="J61" s="26">
        <v>6</v>
      </c>
      <c r="K61" s="26">
        <v>7</v>
      </c>
      <c r="L61" s="26">
        <v>8</v>
      </c>
      <c r="M61" s="26">
        <v>9</v>
      </c>
      <c r="N61" s="26">
        <v>10</v>
      </c>
      <c r="O61" s="26">
        <v>11</v>
      </c>
      <c r="P61" s="26">
        <v>12</v>
      </c>
      <c r="Q61" s="26" t="s">
        <v>21</v>
      </c>
      <c r="R61" s="1708"/>
      <c r="S61" s="1713"/>
      <c r="T61" s="26">
        <v>1</v>
      </c>
      <c r="U61" s="26">
        <v>2</v>
      </c>
      <c r="V61" s="26">
        <v>3</v>
      </c>
      <c r="W61" s="26">
        <v>4</v>
      </c>
      <c r="X61" s="26">
        <v>5</v>
      </c>
      <c r="Y61" s="26">
        <v>6</v>
      </c>
      <c r="Z61" s="26">
        <v>7</v>
      </c>
      <c r="AA61" s="26">
        <v>8</v>
      </c>
      <c r="AB61" s="26">
        <v>9</v>
      </c>
      <c r="AC61" s="26">
        <v>10</v>
      </c>
      <c r="AD61" s="26">
        <v>11</v>
      </c>
      <c r="AE61" s="26">
        <v>12</v>
      </c>
      <c r="AF61" s="1713"/>
      <c r="AG61" s="26">
        <v>1</v>
      </c>
      <c r="AH61" s="26">
        <v>2</v>
      </c>
      <c r="AI61" s="26">
        <v>3</v>
      </c>
      <c r="AJ61" s="26">
        <v>4</v>
      </c>
      <c r="AK61" s="26">
        <v>5</v>
      </c>
      <c r="AL61" s="26">
        <v>6</v>
      </c>
      <c r="AM61" s="26">
        <v>7</v>
      </c>
      <c r="AN61" s="26">
        <v>8</v>
      </c>
      <c r="AO61" s="26">
        <v>9</v>
      </c>
      <c r="AP61" s="26">
        <v>10</v>
      </c>
      <c r="AQ61" s="26">
        <v>11</v>
      </c>
      <c r="AR61" s="26">
        <v>12</v>
      </c>
      <c r="AS61" s="26" t="s">
        <v>13</v>
      </c>
      <c r="AT61" s="173">
        <v>1</v>
      </c>
      <c r="AU61" s="173">
        <v>2</v>
      </c>
      <c r="AV61" s="173">
        <v>3</v>
      </c>
      <c r="AW61" s="173">
        <v>4</v>
      </c>
      <c r="AX61" s="173">
        <v>5</v>
      </c>
      <c r="AY61" s="173">
        <v>6</v>
      </c>
      <c r="AZ61" s="173">
        <v>7</v>
      </c>
      <c r="BA61" s="173">
        <v>8</v>
      </c>
      <c r="BB61" s="173">
        <v>9</v>
      </c>
      <c r="BC61" s="173">
        <v>10</v>
      </c>
      <c r="BD61" s="173">
        <v>11</v>
      </c>
      <c r="BE61" s="173">
        <v>12</v>
      </c>
      <c r="BF61" s="26" t="s">
        <v>13</v>
      </c>
      <c r="BG61" s="1708"/>
      <c r="BH61" s="1708"/>
      <c r="BI61" s="1711"/>
      <c r="BJ61" s="7"/>
      <c r="BK61" s="1743" t="s">
        <v>19</v>
      </c>
      <c r="BL61" s="1744"/>
      <c r="BM61" s="1745"/>
      <c r="BN61" s="621"/>
      <c r="BO61" s="173">
        <v>1</v>
      </c>
      <c r="BP61" s="173">
        <v>2</v>
      </c>
      <c r="BQ61" s="173">
        <v>3</v>
      </c>
      <c r="BR61" s="173">
        <v>4</v>
      </c>
      <c r="BS61" s="173">
        <v>5</v>
      </c>
      <c r="BT61" s="173">
        <v>6</v>
      </c>
      <c r="BU61" s="173">
        <v>7</v>
      </c>
      <c r="BV61" s="173">
        <v>8</v>
      </c>
      <c r="BW61" s="173">
        <v>9</v>
      </c>
      <c r="BX61" s="173">
        <v>10</v>
      </c>
      <c r="BY61" s="173">
        <v>11</v>
      </c>
      <c r="BZ61" s="173">
        <v>12</v>
      </c>
      <c r="CA61" s="26" t="s">
        <v>13</v>
      </c>
      <c r="CB61" s="173">
        <v>1</v>
      </c>
      <c r="CC61" s="173">
        <v>2</v>
      </c>
      <c r="CD61" s="173">
        <v>3</v>
      </c>
      <c r="CE61" s="173">
        <v>4</v>
      </c>
      <c r="CF61" s="173">
        <v>5</v>
      </c>
      <c r="CG61" s="173">
        <v>6</v>
      </c>
      <c r="CH61" s="173">
        <v>7</v>
      </c>
      <c r="CI61" s="173">
        <v>8</v>
      </c>
      <c r="CJ61" s="173">
        <v>9</v>
      </c>
      <c r="CK61" s="173">
        <v>10</v>
      </c>
      <c r="CL61" s="173">
        <v>11</v>
      </c>
      <c r="CM61" s="173">
        <v>12</v>
      </c>
      <c r="CN61" s="26" t="s">
        <v>13</v>
      </c>
    </row>
    <row r="62" spans="1:98" s="7" customFormat="1" ht="24.75" customHeight="1" thickBot="1" x14ac:dyDescent="0.25">
      <c r="A62" s="41"/>
      <c r="B62" s="198" t="s">
        <v>416</v>
      </c>
      <c r="C62" s="29" t="s">
        <v>54</v>
      </c>
      <c r="D62" s="189">
        <v>100</v>
      </c>
      <c r="E62" s="82">
        <v>20</v>
      </c>
      <c r="F62" s="30">
        <v>10</v>
      </c>
      <c r="G62" s="30">
        <v>30</v>
      </c>
      <c r="H62" s="1200">
        <v>10</v>
      </c>
      <c r="I62" s="1136">
        <v>20</v>
      </c>
      <c r="J62" s="30"/>
      <c r="K62" s="30"/>
      <c r="L62" s="30"/>
      <c r="M62" s="30"/>
      <c r="N62" s="30"/>
      <c r="O62" s="30"/>
      <c r="P62" s="30"/>
      <c r="Q62" s="31">
        <f>SUM(E62:P62)</f>
        <v>90</v>
      </c>
      <c r="R62" s="1159" t="s">
        <v>31</v>
      </c>
      <c r="S62" s="595">
        <v>10300</v>
      </c>
      <c r="T62" s="84">
        <v>9000</v>
      </c>
      <c r="U62" s="84">
        <v>9000</v>
      </c>
      <c r="V62" s="33">
        <v>9000</v>
      </c>
      <c r="W62" s="1201">
        <v>10300</v>
      </c>
      <c r="X62" s="1141">
        <v>10300</v>
      </c>
      <c r="Y62" s="33"/>
      <c r="Z62" s="33"/>
      <c r="AA62" s="33"/>
      <c r="AB62" s="33"/>
      <c r="AC62" s="33"/>
      <c r="AD62" s="33"/>
      <c r="AE62" s="33"/>
      <c r="AF62" s="69">
        <f>SUM(Q62*S62)</f>
        <v>927000</v>
      </c>
      <c r="AG62" s="862">
        <f>T62*E62</f>
        <v>180000</v>
      </c>
      <c r="AH62" s="862">
        <f>U62*F62</f>
        <v>90000</v>
      </c>
      <c r="AI62" s="862">
        <f>V62*G62</f>
        <v>270000</v>
      </c>
      <c r="AJ62" s="1202">
        <f t="shared" ref="AJ62" si="234">W62*H62</f>
        <v>103000</v>
      </c>
      <c r="AK62" s="1128">
        <f t="shared" ref="AK62" si="235">X62*I62</f>
        <v>206000</v>
      </c>
      <c r="AL62" s="862">
        <f t="shared" ref="AL62" si="236">Y62*J62</f>
        <v>0</v>
      </c>
      <c r="AM62" s="862">
        <f t="shared" ref="AM62" si="237">Z62*K62</f>
        <v>0</v>
      </c>
      <c r="AN62" s="862">
        <f t="shared" ref="AN62" si="238">AA62*L62</f>
        <v>0</v>
      </c>
      <c r="AO62" s="862">
        <f t="shared" ref="AO62" si="239">AB62*M62</f>
        <v>0</v>
      </c>
      <c r="AP62" s="862">
        <f t="shared" ref="AP62" si="240">AC62*N62</f>
        <v>0</v>
      </c>
      <c r="AQ62" s="862">
        <f t="shared" ref="AQ62" si="241">AD62*O62</f>
        <v>0</v>
      </c>
      <c r="AR62" s="862">
        <f t="shared" ref="AR62" si="242">AE62*P62</f>
        <v>0</v>
      </c>
      <c r="AS62" s="863">
        <f>SUM(AG62:AR62)</f>
        <v>849000</v>
      </c>
      <c r="AT62" s="862">
        <f>AG62*2%</f>
        <v>3600</v>
      </c>
      <c r="AU62" s="862">
        <f>AH62*2%</f>
        <v>1800</v>
      </c>
      <c r="AV62" s="862">
        <f>AI62*2%</f>
        <v>5400</v>
      </c>
      <c r="AW62" s="862">
        <f>AJ62*2%</f>
        <v>2060</v>
      </c>
      <c r="AX62" s="862">
        <f>AK62*2%</f>
        <v>4120</v>
      </c>
      <c r="AY62" s="862">
        <f t="shared" ref="AY62" si="243">SUM(AL62*14%)</f>
        <v>0</v>
      </c>
      <c r="AZ62" s="862">
        <f t="shared" ref="AZ62" si="244">SUM(AM62*14%)</f>
        <v>0</v>
      </c>
      <c r="BA62" s="862">
        <f t="shared" ref="BA62" si="245">SUM(AN62*14%)</f>
        <v>0</v>
      </c>
      <c r="BB62" s="862">
        <f t="shared" ref="BB62" si="246">SUM(AO62*14%)</f>
        <v>0</v>
      </c>
      <c r="BC62" s="862">
        <f t="shared" ref="BC62" si="247">SUM(AP62*14%)</f>
        <v>0</v>
      </c>
      <c r="BD62" s="862">
        <f t="shared" ref="BD62" si="248">SUM(AQ62*14%)</f>
        <v>0</v>
      </c>
      <c r="BE62" s="862">
        <f t="shared" ref="BE62" si="249">SUM(AR62*14%)</f>
        <v>0</v>
      </c>
      <c r="BF62" s="73">
        <f t="shared" ref="BF62" si="250">SUM(AT62:BE62)</f>
        <v>16980</v>
      </c>
      <c r="BG62" s="73">
        <f>AF62-AS62+2580</f>
        <v>80580</v>
      </c>
      <c r="BH62" s="74">
        <f>S62*D62</f>
        <v>1030000</v>
      </c>
      <c r="BI62" s="75">
        <f>BH62-AS62+BF62-2580</f>
        <v>195400</v>
      </c>
      <c r="BJ62" s="163">
        <f>SUM(Q62/D62)</f>
        <v>0.9</v>
      </c>
      <c r="BK62" s="862">
        <f>AK62-BS62-CF62</f>
        <v>181280</v>
      </c>
      <c r="BL62" s="862">
        <f>20*9000</f>
        <v>180000</v>
      </c>
      <c r="BM62" s="1102">
        <f>BK62-BL62</f>
        <v>1280</v>
      </c>
      <c r="BN62" s="1084"/>
      <c r="BO62" s="862"/>
      <c r="BP62" s="862"/>
      <c r="BQ62" s="862"/>
      <c r="BR62" s="1202">
        <f>SUM(AJ62*2%)</f>
        <v>2060</v>
      </c>
      <c r="BS62" s="1103">
        <f>AK62*2%</f>
        <v>4120</v>
      </c>
      <c r="BT62" s="862"/>
      <c r="BU62" s="862"/>
      <c r="BV62" s="862"/>
      <c r="BW62" s="862">
        <f t="shared" ref="BW62:BW63" si="251">SUM(AN62*12.5%)</f>
        <v>0</v>
      </c>
      <c r="BX62" s="862"/>
      <c r="BY62" s="862"/>
      <c r="BZ62" s="862"/>
      <c r="CA62" s="73">
        <f t="shared" ref="CA62" si="252">SUM(BO62:BZ62)</f>
        <v>6180</v>
      </c>
      <c r="CB62" s="862"/>
      <c r="CC62" s="862"/>
      <c r="CD62" s="862"/>
      <c r="CE62" s="1202">
        <f>SUM(AJ62*10%)</f>
        <v>10300</v>
      </c>
      <c r="CF62" s="1103">
        <f>AK62*10%</f>
        <v>20600</v>
      </c>
      <c r="CG62" s="862"/>
      <c r="CH62" s="862"/>
      <c r="CI62" s="862"/>
      <c r="CJ62" s="862"/>
      <c r="CK62" s="862"/>
      <c r="CL62" s="862"/>
      <c r="CM62" s="862"/>
      <c r="CN62" s="73">
        <f t="shared" ref="CN62:CN63" si="253">SUM(CB62:CM62)</f>
        <v>30900</v>
      </c>
    </row>
    <row r="63" spans="1:98" s="38" customFormat="1" ht="24.75" customHeight="1" thickBot="1" x14ac:dyDescent="0.25">
      <c r="A63" s="577">
        <v>6</v>
      </c>
      <c r="B63" s="44" t="s">
        <v>4</v>
      </c>
      <c r="C63" s="44"/>
      <c r="D63" s="45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7"/>
      <c r="R63" s="77"/>
      <c r="S63" s="45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78">
        <f t="shared" ref="AF63:AI63" si="254">SUM(AF62:AF62)</f>
        <v>927000</v>
      </c>
      <c r="AG63" s="78">
        <f t="shared" si="254"/>
        <v>180000</v>
      </c>
      <c r="AH63" s="78">
        <f t="shared" si="254"/>
        <v>90000</v>
      </c>
      <c r="AI63" s="78">
        <f t="shared" si="254"/>
        <v>270000</v>
      </c>
      <c r="AJ63" s="78">
        <f t="shared" ref="AJ63:AR63" si="255">SUM(AJ62:AJ62)</f>
        <v>103000</v>
      </c>
      <c r="AK63" s="1279">
        <f t="shared" si="255"/>
        <v>206000</v>
      </c>
      <c r="AL63" s="78">
        <f t="shared" si="255"/>
        <v>0</v>
      </c>
      <c r="AM63" s="78">
        <f t="shared" si="255"/>
        <v>0</v>
      </c>
      <c r="AN63" s="78">
        <f t="shared" si="255"/>
        <v>0</v>
      </c>
      <c r="AO63" s="78">
        <f t="shared" si="255"/>
        <v>0</v>
      </c>
      <c r="AP63" s="78">
        <f t="shared" si="255"/>
        <v>0</v>
      </c>
      <c r="AQ63" s="78">
        <f t="shared" si="255"/>
        <v>0</v>
      </c>
      <c r="AR63" s="78">
        <f t="shared" si="255"/>
        <v>0</v>
      </c>
      <c r="AS63" s="78">
        <f>SUM(AS62:AS62)-200000</f>
        <v>649000</v>
      </c>
      <c r="AT63" s="78"/>
      <c r="AU63" s="78"/>
      <c r="AV63" s="78"/>
      <c r="AW63" s="78">
        <f t="shared" ref="AW63:BE63" si="256">SUM(AW62:AW62)</f>
        <v>2060</v>
      </c>
      <c r="AX63" s="78">
        <f t="shared" si="256"/>
        <v>4120</v>
      </c>
      <c r="AY63" s="78">
        <f t="shared" si="256"/>
        <v>0</v>
      </c>
      <c r="AZ63" s="78">
        <f t="shared" si="256"/>
        <v>0</v>
      </c>
      <c r="BA63" s="78">
        <f t="shared" si="256"/>
        <v>0</v>
      </c>
      <c r="BB63" s="78">
        <f t="shared" si="256"/>
        <v>0</v>
      </c>
      <c r="BC63" s="78">
        <f t="shared" si="256"/>
        <v>0</v>
      </c>
      <c r="BD63" s="78">
        <f t="shared" si="256"/>
        <v>0</v>
      </c>
      <c r="BE63" s="78">
        <f t="shared" si="256"/>
        <v>0</v>
      </c>
      <c r="BF63" s="78">
        <f t="shared" ref="BF63" si="257">SUM(BF62:BF62)</f>
        <v>16980</v>
      </c>
      <c r="BG63" s="79">
        <f>SUM(BG62)</f>
        <v>80580</v>
      </c>
      <c r="BH63" s="78">
        <f>SUM(BH62:BH62)</f>
        <v>1030000</v>
      </c>
      <c r="BI63" s="78">
        <f>SUM(BI62:BI62)</f>
        <v>195400</v>
      </c>
      <c r="BJ63" s="164">
        <v>1</v>
      </c>
      <c r="BK63" s="1081">
        <f>SUM(BK62)</f>
        <v>181280</v>
      </c>
      <c r="BL63" s="1081">
        <f>SUM(BL62)</f>
        <v>180000</v>
      </c>
      <c r="BM63" s="1083">
        <f>SUM(BK63-BL63)</f>
        <v>1280</v>
      </c>
      <c r="BN63" s="1084"/>
      <c r="BO63" s="862"/>
      <c r="BP63" s="862"/>
      <c r="BQ63" s="862"/>
      <c r="BR63" s="862"/>
      <c r="BS63" s="862"/>
      <c r="BT63" s="862"/>
      <c r="BU63" s="862"/>
      <c r="BV63" s="862"/>
      <c r="BW63" s="1081">
        <f t="shared" si="251"/>
        <v>0</v>
      </c>
      <c r="BX63" s="862"/>
      <c r="BY63" s="862"/>
      <c r="BZ63" s="862"/>
      <c r="CA63" s="73">
        <f t="shared" ref="CA63" si="258">SUM(BO63:BZ63)</f>
        <v>0</v>
      </c>
      <c r="CB63" s="862"/>
      <c r="CC63" s="862"/>
      <c r="CD63" s="862"/>
      <c r="CE63" s="862"/>
      <c r="CF63" s="862"/>
      <c r="CG63" s="862"/>
      <c r="CH63" s="862"/>
      <c r="CI63" s="862"/>
      <c r="CJ63" s="1081"/>
      <c r="CK63" s="862"/>
      <c r="CL63" s="862"/>
      <c r="CM63" s="862"/>
      <c r="CN63" s="73">
        <f t="shared" si="253"/>
        <v>0</v>
      </c>
    </row>
    <row r="64" spans="1:98" s="20" customFormat="1" ht="24.75" customHeight="1" x14ac:dyDescent="0.2">
      <c r="A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AE64" s="40"/>
      <c r="AS64" s="51"/>
      <c r="BF64" s="52">
        <f>SUM(AS63+BF63)</f>
        <v>665980</v>
      </c>
      <c r="BG64" s="53">
        <f>BG63</f>
        <v>80580</v>
      </c>
      <c r="BH64" s="54">
        <f>SUM(BI63+AS63+BF63)</f>
        <v>861380</v>
      </c>
      <c r="BI64" s="55">
        <f>SUM(BG63)</f>
        <v>80580</v>
      </c>
      <c r="BJ64" s="165" t="s">
        <v>38</v>
      </c>
      <c r="BK64" s="171"/>
      <c r="BL64" s="24"/>
      <c r="BM64" s="236">
        <v>640</v>
      </c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</row>
    <row r="65" spans="1:98" s="20" customFormat="1" ht="24.75" customHeight="1" x14ac:dyDescent="0.2">
      <c r="A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AE65" s="40"/>
      <c r="AS65" s="40"/>
      <c r="AT65" s="388">
        <f>SUM(AG63+AT63)</f>
        <v>180000</v>
      </c>
      <c r="AU65" s="388">
        <f t="shared" ref="AU65" si="259">SUM(AH63+AU63)</f>
        <v>90000</v>
      </c>
      <c r="AV65" s="1030">
        <f t="shared" ref="AV65" si="260">SUM(AI63+AV63)</f>
        <v>270000</v>
      </c>
      <c r="AW65" s="388">
        <f t="shared" ref="AW65" si="261">SUM(AJ63+AW63)</f>
        <v>105060</v>
      </c>
      <c r="AX65" s="388">
        <f t="shared" ref="AX65" si="262">SUM(AK63+AX63)</f>
        <v>210120</v>
      </c>
      <c r="AY65" s="388">
        <f t="shared" ref="AY65" si="263">SUM(AL63+AY63)</f>
        <v>0</v>
      </c>
      <c r="AZ65" s="388">
        <f t="shared" ref="AZ65" si="264">SUM(AM63+AZ63)</f>
        <v>0</v>
      </c>
      <c r="BA65" s="388">
        <f t="shared" ref="BA65" si="265">SUM(AN63+BA63)</f>
        <v>0</v>
      </c>
      <c r="BB65" s="388">
        <f t="shared" ref="BB65" si="266">SUM(AO63+BB63)</f>
        <v>0</v>
      </c>
      <c r="BC65" s="388">
        <f t="shared" ref="BC65" si="267">SUM(AP63+BC63)</f>
        <v>0</v>
      </c>
      <c r="BD65" s="388">
        <f t="shared" ref="BD65" si="268">SUM(AQ63+BD63)</f>
        <v>0</v>
      </c>
      <c r="BE65" s="388">
        <f t="shared" ref="BE65" si="269">SUM(AR63+BE63)</f>
        <v>0</v>
      </c>
      <c r="BF65" s="388">
        <f>SUM(AT65:BE65)</f>
        <v>855180</v>
      </c>
      <c r="BG65" s="40"/>
      <c r="BH65" s="56"/>
      <c r="BI65" s="57">
        <f>SUM(BI63-BI64)</f>
        <v>114820</v>
      </c>
      <c r="BJ65" s="165" t="s">
        <v>37</v>
      </c>
      <c r="BK65" s="171"/>
      <c r="BL65" s="389"/>
      <c r="BM65" s="1278">
        <v>1280</v>
      </c>
      <c r="BN65" s="389">
        <f>BM64+BM65</f>
        <v>1920</v>
      </c>
      <c r="BO65" s="389"/>
      <c r="BP65" s="389"/>
      <c r="BQ65" s="389"/>
      <c r="BR65" s="389"/>
      <c r="BS65" s="389"/>
      <c r="BT65" s="389"/>
      <c r="BU65" s="389"/>
      <c r="BV65" s="389"/>
      <c r="BW65" s="389"/>
      <c r="BX65" s="389"/>
      <c r="BY65" s="389"/>
      <c r="BZ65" s="389"/>
      <c r="CA65" s="389"/>
      <c r="CB65" s="389"/>
      <c r="CC65" s="389"/>
    </row>
    <row r="66" spans="1:98" s="20" customFormat="1" ht="16.5" customHeight="1" x14ac:dyDescent="0.2">
      <c r="A66" s="1730" t="s">
        <v>8</v>
      </c>
      <c r="B66" s="1731"/>
      <c r="C66" s="124" t="s">
        <v>218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7"/>
      <c r="AF66" s="23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8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8"/>
      <c r="BG66" s="138"/>
      <c r="BH66" s="135"/>
      <c r="BI66" s="139"/>
      <c r="BJ66" s="23"/>
      <c r="BK66" s="169"/>
      <c r="BL66" s="136"/>
      <c r="BM66" s="136"/>
      <c r="BN66" s="136"/>
      <c r="BO66" s="136"/>
      <c r="BP66" s="137"/>
      <c r="BQ66" s="136"/>
      <c r="BR66" s="136"/>
      <c r="BS66" s="136"/>
      <c r="BT66" s="136"/>
      <c r="BU66" s="136"/>
      <c r="BV66" s="138"/>
      <c r="BW66" s="138"/>
      <c r="BX66" s="138"/>
      <c r="BY66" s="135"/>
      <c r="BZ66" s="139"/>
      <c r="CA66" s="138"/>
      <c r="CB66" s="138"/>
      <c r="CC66" s="389"/>
      <c r="CD66" s="389"/>
      <c r="CE66" s="389"/>
      <c r="CF66" s="389"/>
      <c r="CG66" s="389"/>
      <c r="CH66" s="390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89"/>
    </row>
    <row r="67" spans="1:98" s="8" customFormat="1" ht="48.75" customHeight="1" x14ac:dyDescent="0.2">
      <c r="A67" s="1703" t="s">
        <v>10</v>
      </c>
      <c r="B67" s="1706" t="s">
        <v>11</v>
      </c>
      <c r="C67" s="1706" t="s">
        <v>22</v>
      </c>
      <c r="D67" s="1721" t="s">
        <v>12</v>
      </c>
      <c r="E67" s="1721"/>
      <c r="F67" s="1721"/>
      <c r="G67" s="1721"/>
      <c r="H67" s="1721"/>
      <c r="I67" s="1721"/>
      <c r="J67" s="1721"/>
      <c r="K67" s="1721"/>
      <c r="L67" s="1721"/>
      <c r="M67" s="1721"/>
      <c r="N67" s="1721"/>
      <c r="O67" s="1721"/>
      <c r="P67" s="1721"/>
      <c r="Q67" s="1721"/>
      <c r="R67" s="1706" t="s">
        <v>20</v>
      </c>
      <c r="S67" s="1717" t="s">
        <v>17</v>
      </c>
      <c r="T67" s="1718"/>
      <c r="U67" s="1718"/>
      <c r="V67" s="1718"/>
      <c r="W67" s="1718"/>
      <c r="X67" s="1718"/>
      <c r="Y67" s="1718"/>
      <c r="Z67" s="1718"/>
      <c r="AA67" s="1718"/>
      <c r="AB67" s="1718"/>
      <c r="AC67" s="1718"/>
      <c r="AD67" s="1718"/>
      <c r="AE67" s="1719"/>
      <c r="AF67" s="1720" t="s">
        <v>6</v>
      </c>
      <c r="AG67" s="1720"/>
      <c r="AH67" s="1720"/>
      <c r="AI67" s="1720"/>
      <c r="AJ67" s="1720"/>
      <c r="AK67" s="1720"/>
      <c r="AL67" s="1720"/>
      <c r="AM67" s="1720"/>
      <c r="AN67" s="1720"/>
      <c r="AO67" s="1720"/>
      <c r="AP67" s="1720"/>
      <c r="AQ67" s="1720"/>
      <c r="AR67" s="1720"/>
      <c r="AS67" s="1720"/>
      <c r="AT67" s="1722" t="s">
        <v>41</v>
      </c>
      <c r="AU67" s="1723"/>
      <c r="AV67" s="1723"/>
      <c r="AW67" s="1723"/>
      <c r="AX67" s="1723"/>
      <c r="AY67" s="1723"/>
      <c r="AZ67" s="1723"/>
      <c r="BA67" s="1723"/>
      <c r="BB67" s="1723"/>
      <c r="BC67" s="1723"/>
      <c r="BD67" s="1723"/>
      <c r="BE67" s="1723"/>
      <c r="BF67" s="1724"/>
      <c r="BG67" s="1706" t="s">
        <v>38</v>
      </c>
      <c r="BH67" s="1706" t="s">
        <v>256</v>
      </c>
      <c r="BI67" s="1709" t="s">
        <v>39</v>
      </c>
      <c r="BJ67" s="135"/>
      <c r="BK67" s="1378">
        <v>195400</v>
      </c>
      <c r="BL67" s="135"/>
      <c r="BM67" s="135"/>
      <c r="BN67" s="135"/>
      <c r="BO67" s="1733" t="s">
        <v>41</v>
      </c>
      <c r="BP67" s="1734"/>
      <c r="BQ67" s="1734"/>
      <c r="BR67" s="1734"/>
      <c r="BS67" s="1734"/>
      <c r="BT67" s="1734"/>
      <c r="BU67" s="1734"/>
      <c r="BV67" s="1734"/>
      <c r="BW67" s="1734"/>
      <c r="BX67" s="1734"/>
      <c r="BY67" s="1734"/>
      <c r="BZ67" s="1734"/>
      <c r="CA67" s="1734"/>
      <c r="CB67" s="1734"/>
      <c r="CC67" s="1734"/>
      <c r="CD67" s="1734"/>
      <c r="CE67" s="1734"/>
      <c r="CF67" s="1734"/>
      <c r="CG67" s="1734"/>
      <c r="CH67" s="1734"/>
      <c r="CI67" s="1734"/>
      <c r="CJ67" s="1734"/>
      <c r="CK67" s="1734"/>
      <c r="CL67" s="1734"/>
      <c r="CM67" s="1734"/>
      <c r="CN67" s="1735"/>
    </row>
    <row r="68" spans="1:98" s="8" customFormat="1" ht="48.75" customHeight="1" x14ac:dyDescent="0.2">
      <c r="A68" s="1704"/>
      <c r="B68" s="1707"/>
      <c r="C68" s="1707"/>
      <c r="D68" s="1712" t="s">
        <v>18</v>
      </c>
      <c r="E68" s="1714" t="s">
        <v>19</v>
      </c>
      <c r="F68" s="1715"/>
      <c r="G68" s="1715"/>
      <c r="H68" s="1715"/>
      <c r="I68" s="1715"/>
      <c r="J68" s="1715"/>
      <c r="K68" s="1715"/>
      <c r="L68" s="1715"/>
      <c r="M68" s="1715"/>
      <c r="N68" s="1715"/>
      <c r="O68" s="1715"/>
      <c r="P68" s="1715"/>
      <c r="Q68" s="1715"/>
      <c r="R68" s="1707"/>
      <c r="S68" s="1712" t="s">
        <v>18</v>
      </c>
      <c r="T68" s="1714" t="s">
        <v>19</v>
      </c>
      <c r="U68" s="1715"/>
      <c r="V68" s="1715"/>
      <c r="W68" s="1715"/>
      <c r="X68" s="1715"/>
      <c r="Y68" s="1715"/>
      <c r="Z68" s="1715"/>
      <c r="AA68" s="1715"/>
      <c r="AB68" s="1715"/>
      <c r="AC68" s="1715"/>
      <c r="AD68" s="1715"/>
      <c r="AE68" s="1716"/>
      <c r="AF68" s="1712" t="s">
        <v>18</v>
      </c>
      <c r="AG68" s="1714" t="s">
        <v>19</v>
      </c>
      <c r="AH68" s="1715"/>
      <c r="AI68" s="1715"/>
      <c r="AJ68" s="1715"/>
      <c r="AK68" s="1715"/>
      <c r="AL68" s="1715"/>
      <c r="AM68" s="1715"/>
      <c r="AN68" s="1715"/>
      <c r="AO68" s="1715"/>
      <c r="AP68" s="1715"/>
      <c r="AQ68" s="1715"/>
      <c r="AR68" s="1715"/>
      <c r="AS68" s="1716"/>
      <c r="AT68" s="1725"/>
      <c r="AU68" s="1726"/>
      <c r="AV68" s="1726"/>
      <c r="AW68" s="1726"/>
      <c r="AX68" s="1726"/>
      <c r="AY68" s="1726"/>
      <c r="AZ68" s="1726"/>
      <c r="BA68" s="1726"/>
      <c r="BB68" s="1726"/>
      <c r="BC68" s="1726"/>
      <c r="BD68" s="1726"/>
      <c r="BE68" s="1726"/>
      <c r="BF68" s="1727"/>
      <c r="BG68" s="1707"/>
      <c r="BH68" s="1707"/>
      <c r="BI68" s="1710"/>
      <c r="BJ68" s="135"/>
      <c r="BK68" s="1736">
        <f>BI63-BK67</f>
        <v>0</v>
      </c>
      <c r="BL68" s="1736"/>
      <c r="BM68" s="1736"/>
      <c r="BN68" s="23"/>
      <c r="BO68" s="1737" t="s">
        <v>686</v>
      </c>
      <c r="BP68" s="1738"/>
      <c r="BQ68" s="1738"/>
      <c r="BR68" s="1738"/>
      <c r="BS68" s="1738"/>
      <c r="BT68" s="1738"/>
      <c r="BU68" s="1738"/>
      <c r="BV68" s="1738"/>
      <c r="BW68" s="1738"/>
      <c r="BX68" s="1738"/>
      <c r="BY68" s="1738"/>
      <c r="BZ68" s="1738"/>
      <c r="CA68" s="1739"/>
      <c r="CB68" s="1740" t="s">
        <v>687</v>
      </c>
      <c r="CC68" s="1741"/>
      <c r="CD68" s="1741"/>
      <c r="CE68" s="1741"/>
      <c r="CF68" s="1741"/>
      <c r="CG68" s="1741"/>
      <c r="CH68" s="1741"/>
      <c r="CI68" s="1741"/>
      <c r="CJ68" s="1741"/>
      <c r="CK68" s="1741"/>
      <c r="CL68" s="1741"/>
      <c r="CM68" s="1741"/>
      <c r="CN68" s="1742"/>
    </row>
    <row r="69" spans="1:98" s="6" customFormat="1" ht="28.5" customHeight="1" x14ac:dyDescent="0.2">
      <c r="A69" s="1705"/>
      <c r="B69" s="1708"/>
      <c r="C69" s="1708"/>
      <c r="D69" s="1713"/>
      <c r="E69" s="26">
        <v>1</v>
      </c>
      <c r="F69" s="26">
        <v>2</v>
      </c>
      <c r="G69" s="26">
        <v>3</v>
      </c>
      <c r="H69" s="26">
        <v>4</v>
      </c>
      <c r="I69" s="26">
        <v>5</v>
      </c>
      <c r="J69" s="26">
        <v>6</v>
      </c>
      <c r="K69" s="26">
        <v>7</v>
      </c>
      <c r="L69" s="26">
        <v>8</v>
      </c>
      <c r="M69" s="26">
        <v>9</v>
      </c>
      <c r="N69" s="26">
        <v>10</v>
      </c>
      <c r="O69" s="26">
        <v>11</v>
      </c>
      <c r="P69" s="26">
        <v>12</v>
      </c>
      <c r="Q69" s="26" t="s">
        <v>21</v>
      </c>
      <c r="R69" s="1708"/>
      <c r="S69" s="1713"/>
      <c r="T69" s="26">
        <v>1</v>
      </c>
      <c r="U69" s="26">
        <v>2</v>
      </c>
      <c r="V69" s="26">
        <v>3</v>
      </c>
      <c r="W69" s="26">
        <v>4</v>
      </c>
      <c r="X69" s="26">
        <v>5</v>
      </c>
      <c r="Y69" s="26">
        <v>6</v>
      </c>
      <c r="Z69" s="26">
        <v>7</v>
      </c>
      <c r="AA69" s="26">
        <v>8</v>
      </c>
      <c r="AB69" s="26">
        <v>9</v>
      </c>
      <c r="AC69" s="26">
        <v>10</v>
      </c>
      <c r="AD69" s="26">
        <v>11</v>
      </c>
      <c r="AE69" s="26">
        <v>12</v>
      </c>
      <c r="AF69" s="1713"/>
      <c r="AG69" s="26">
        <v>1</v>
      </c>
      <c r="AH69" s="26">
        <v>2</v>
      </c>
      <c r="AI69" s="26">
        <v>3</v>
      </c>
      <c r="AJ69" s="26">
        <v>4</v>
      </c>
      <c r="AK69" s="26">
        <v>5</v>
      </c>
      <c r="AL69" s="26">
        <v>6</v>
      </c>
      <c r="AM69" s="26">
        <v>7</v>
      </c>
      <c r="AN69" s="26">
        <v>8</v>
      </c>
      <c r="AO69" s="26">
        <v>9</v>
      </c>
      <c r="AP69" s="26">
        <v>10</v>
      </c>
      <c r="AQ69" s="26">
        <v>11</v>
      </c>
      <c r="AR69" s="26">
        <v>12</v>
      </c>
      <c r="AS69" s="26" t="s">
        <v>13</v>
      </c>
      <c r="AT69" s="173">
        <v>1</v>
      </c>
      <c r="AU69" s="173">
        <v>2</v>
      </c>
      <c r="AV69" s="173">
        <v>3</v>
      </c>
      <c r="AW69" s="173">
        <v>4</v>
      </c>
      <c r="AX69" s="173">
        <v>5</v>
      </c>
      <c r="AY69" s="173">
        <v>6</v>
      </c>
      <c r="AZ69" s="173">
        <v>7</v>
      </c>
      <c r="BA69" s="173">
        <v>8</v>
      </c>
      <c r="BB69" s="173">
        <v>9</v>
      </c>
      <c r="BC69" s="173">
        <v>10</v>
      </c>
      <c r="BD69" s="173">
        <v>11</v>
      </c>
      <c r="BE69" s="173">
        <v>12</v>
      </c>
      <c r="BF69" s="26" t="s">
        <v>13</v>
      </c>
      <c r="BG69" s="1708"/>
      <c r="BH69" s="1708"/>
      <c r="BI69" s="1711"/>
      <c r="BJ69" s="7"/>
      <c r="BK69" s="1743" t="s">
        <v>19</v>
      </c>
      <c r="BL69" s="1744"/>
      <c r="BM69" s="1745"/>
      <c r="BN69" s="621"/>
      <c r="BO69" s="173">
        <v>1</v>
      </c>
      <c r="BP69" s="173">
        <v>2</v>
      </c>
      <c r="BQ69" s="173">
        <v>3</v>
      </c>
      <c r="BR69" s="173">
        <v>4</v>
      </c>
      <c r="BS69" s="173">
        <v>5</v>
      </c>
      <c r="BT69" s="173">
        <v>6</v>
      </c>
      <c r="BU69" s="173">
        <v>7</v>
      </c>
      <c r="BV69" s="173">
        <v>8</v>
      </c>
      <c r="BW69" s="173">
        <v>9</v>
      </c>
      <c r="BX69" s="173">
        <v>10</v>
      </c>
      <c r="BY69" s="173">
        <v>11</v>
      </c>
      <c r="BZ69" s="173">
        <v>12</v>
      </c>
      <c r="CA69" s="26" t="s">
        <v>13</v>
      </c>
      <c r="CB69" s="173">
        <v>1</v>
      </c>
      <c r="CC69" s="173">
        <v>2</v>
      </c>
      <c r="CD69" s="173">
        <v>3</v>
      </c>
      <c r="CE69" s="173">
        <v>4</v>
      </c>
      <c r="CF69" s="173">
        <v>5</v>
      </c>
      <c r="CG69" s="173">
        <v>6</v>
      </c>
      <c r="CH69" s="173">
        <v>7</v>
      </c>
      <c r="CI69" s="173">
        <v>8</v>
      </c>
      <c r="CJ69" s="173">
        <v>9</v>
      </c>
      <c r="CK69" s="173">
        <v>10</v>
      </c>
      <c r="CL69" s="173">
        <v>11</v>
      </c>
      <c r="CM69" s="173">
        <v>12</v>
      </c>
      <c r="CN69" s="26" t="s">
        <v>13</v>
      </c>
    </row>
    <row r="70" spans="1:98" s="7" customFormat="1" ht="24.75" customHeight="1" x14ac:dyDescent="0.2">
      <c r="A70" s="41"/>
      <c r="B70" s="198" t="s">
        <v>417</v>
      </c>
      <c r="C70" s="29" t="s">
        <v>290</v>
      </c>
      <c r="D70" s="651">
        <v>8</v>
      </c>
      <c r="E70" s="82">
        <v>8</v>
      </c>
      <c r="F70" s="1127"/>
      <c r="G70" s="1080"/>
      <c r="H70" s="30"/>
      <c r="I70" s="30"/>
      <c r="J70" s="30"/>
      <c r="K70" s="30"/>
      <c r="L70" s="30"/>
      <c r="M70" s="30"/>
      <c r="N70" s="30"/>
      <c r="O70" s="30"/>
      <c r="P70" s="30"/>
      <c r="Q70" s="31">
        <f>SUM(E70:P70)</f>
        <v>8</v>
      </c>
      <c r="R70" s="197" t="s">
        <v>16</v>
      </c>
      <c r="S70" s="652">
        <v>35000</v>
      </c>
      <c r="T70" s="84">
        <v>30000</v>
      </c>
      <c r="U70" s="1158"/>
      <c r="V70" s="1154"/>
      <c r="W70" s="33"/>
      <c r="X70" s="33"/>
      <c r="Y70" s="33"/>
      <c r="Z70" s="33"/>
      <c r="AA70" s="33"/>
      <c r="AB70" s="33"/>
      <c r="AC70" s="33"/>
      <c r="AD70" s="33"/>
      <c r="AE70" s="33"/>
      <c r="AF70" s="69">
        <f t="shared" ref="AF70:AF72" si="270">SUM(Q70*S70)</f>
        <v>280000</v>
      </c>
      <c r="AG70" s="70">
        <f t="shared" ref="AG70:AI72" si="271">T70*E70</f>
        <v>240000</v>
      </c>
      <c r="AH70" s="1123">
        <f t="shared" si="271"/>
        <v>0</v>
      </c>
      <c r="AI70" s="70">
        <f t="shared" si="271"/>
        <v>0</v>
      </c>
      <c r="AJ70" s="70">
        <f t="shared" ref="AJ70:AR72" si="272">W70*H70</f>
        <v>0</v>
      </c>
      <c r="AK70" s="70">
        <f t="shared" si="272"/>
        <v>0</v>
      </c>
      <c r="AL70" s="70">
        <f t="shared" si="272"/>
        <v>0</v>
      </c>
      <c r="AM70" s="70">
        <f t="shared" si="272"/>
        <v>0</v>
      </c>
      <c r="AN70" s="70">
        <f t="shared" si="272"/>
        <v>0</v>
      </c>
      <c r="AO70" s="70">
        <f t="shared" si="272"/>
        <v>0</v>
      </c>
      <c r="AP70" s="70">
        <f t="shared" si="272"/>
        <v>0</v>
      </c>
      <c r="AQ70" s="70">
        <f t="shared" si="272"/>
        <v>0</v>
      </c>
      <c r="AR70" s="70">
        <f t="shared" si="272"/>
        <v>0</v>
      </c>
      <c r="AS70" s="71">
        <f>SUM(AG70:AR70)</f>
        <v>240000</v>
      </c>
      <c r="AT70" s="70">
        <f>SUM(AG70*4%)</f>
        <v>9600</v>
      </c>
      <c r="AU70" s="70">
        <f t="shared" ref="AT70:AV72" si="273">SUM(AH70*14%)</f>
        <v>0</v>
      </c>
      <c r="AV70" s="70">
        <f t="shared" si="273"/>
        <v>0</v>
      </c>
      <c r="AW70" s="70">
        <f t="shared" ref="AW70:BE72" si="274">SUM(AJ70*14%)</f>
        <v>0</v>
      </c>
      <c r="AX70" s="70">
        <f t="shared" si="274"/>
        <v>0</v>
      </c>
      <c r="AY70" s="70">
        <f t="shared" si="274"/>
        <v>0</v>
      </c>
      <c r="AZ70" s="70">
        <f t="shared" si="274"/>
        <v>0</v>
      </c>
      <c r="BA70" s="70">
        <f t="shared" si="274"/>
        <v>0</v>
      </c>
      <c r="BB70" s="70">
        <f t="shared" si="274"/>
        <v>0</v>
      </c>
      <c r="BC70" s="70">
        <f t="shared" si="274"/>
        <v>0</v>
      </c>
      <c r="BD70" s="70">
        <f t="shared" si="274"/>
        <v>0</v>
      </c>
      <c r="BE70" s="70">
        <f t="shared" si="274"/>
        <v>0</v>
      </c>
      <c r="BF70" s="72">
        <f t="shared" ref="BF70:BF72" si="275">SUM(AT70:BE70)</f>
        <v>9600</v>
      </c>
      <c r="BG70" s="73">
        <f>AF70-AS70-BF70</f>
        <v>30400</v>
      </c>
      <c r="BH70" s="74">
        <f>S70*D70</f>
        <v>280000</v>
      </c>
      <c r="BI70" s="75">
        <f t="shared" ref="BI70" si="276">BH70-AS70-BF70</f>
        <v>30400</v>
      </c>
      <c r="BJ70" s="163">
        <f>SUM(Q70/D70)</f>
        <v>1</v>
      </c>
      <c r="BK70" s="1081"/>
      <c r="BL70" s="1081"/>
      <c r="BM70" s="1083"/>
      <c r="BN70" s="1084"/>
      <c r="BO70" s="862"/>
      <c r="BP70" s="862"/>
      <c r="BQ70" s="862"/>
      <c r="BR70" s="862"/>
      <c r="BS70" s="862"/>
      <c r="BT70" s="862"/>
      <c r="BU70" s="862"/>
      <c r="BV70" s="862"/>
      <c r="BW70" s="1081">
        <f t="shared" ref="BW70:BW71" si="277">SUM(AN70*12.5%)</f>
        <v>0</v>
      </c>
      <c r="BX70" s="862"/>
      <c r="BY70" s="862"/>
      <c r="BZ70" s="862"/>
      <c r="CA70" s="73">
        <f t="shared" ref="CA70" si="278">SUM(BO70:BZ70)</f>
        <v>0</v>
      </c>
      <c r="CB70" s="862"/>
      <c r="CC70" s="862"/>
      <c r="CD70" s="862"/>
      <c r="CE70" s="862"/>
      <c r="CF70" s="862"/>
      <c r="CG70" s="862"/>
      <c r="CH70" s="862"/>
      <c r="CI70" s="862"/>
      <c r="CJ70" s="1081"/>
      <c r="CK70" s="862"/>
      <c r="CL70" s="862"/>
      <c r="CM70" s="862"/>
      <c r="CN70" s="73">
        <f t="shared" ref="CN70:CN71" si="279">SUM(CB70:CM70)</f>
        <v>0</v>
      </c>
    </row>
    <row r="71" spans="1:98" s="1150" customFormat="1" ht="24.75" customHeight="1" x14ac:dyDescent="0.2">
      <c r="A71" s="1132"/>
      <c r="B71" s="1133" t="s">
        <v>418</v>
      </c>
      <c r="C71" s="1134" t="s">
        <v>290</v>
      </c>
      <c r="D71" s="1135">
        <v>8</v>
      </c>
      <c r="E71" s="837"/>
      <c r="F71" s="1127">
        <v>8</v>
      </c>
      <c r="G71" s="1080"/>
      <c r="H71" s="1136"/>
      <c r="I71" s="1136"/>
      <c r="J71" s="1136"/>
      <c r="K71" s="1136"/>
      <c r="L71" s="1136"/>
      <c r="M71" s="1136"/>
      <c r="N71" s="1136"/>
      <c r="O71" s="1136"/>
      <c r="P71" s="1136"/>
      <c r="Q71" s="1137">
        <f>SUM(E71:P71)</f>
        <v>8</v>
      </c>
      <c r="R71" s="1138" t="s">
        <v>16</v>
      </c>
      <c r="S71" s="1139">
        <v>35000</v>
      </c>
      <c r="T71" s="1140"/>
      <c r="U71" s="84">
        <v>35000</v>
      </c>
      <c r="V71" s="1154"/>
      <c r="W71" s="1141"/>
      <c r="X71" s="1141"/>
      <c r="Y71" s="1141"/>
      <c r="Z71" s="1141"/>
      <c r="AA71" s="1141"/>
      <c r="AB71" s="1141"/>
      <c r="AC71" s="1141"/>
      <c r="AD71" s="1141"/>
      <c r="AE71" s="1141"/>
      <c r="AF71" s="1142">
        <f t="shared" si="270"/>
        <v>280000</v>
      </c>
      <c r="AG71" s="1128">
        <f t="shared" si="271"/>
        <v>0</v>
      </c>
      <c r="AH71" s="1123">
        <f t="shared" si="271"/>
        <v>280000</v>
      </c>
      <c r="AI71" s="1128">
        <f t="shared" si="271"/>
        <v>0</v>
      </c>
      <c r="AJ71" s="1128">
        <f t="shared" si="272"/>
        <v>0</v>
      </c>
      <c r="AK71" s="1128">
        <f t="shared" si="272"/>
        <v>0</v>
      </c>
      <c r="AL71" s="1128">
        <f t="shared" si="272"/>
        <v>0</v>
      </c>
      <c r="AM71" s="1128">
        <f t="shared" si="272"/>
        <v>0</v>
      </c>
      <c r="AN71" s="1128">
        <f t="shared" si="272"/>
        <v>0</v>
      </c>
      <c r="AO71" s="1128">
        <f t="shared" si="272"/>
        <v>0</v>
      </c>
      <c r="AP71" s="1128">
        <f t="shared" si="272"/>
        <v>0</v>
      </c>
      <c r="AQ71" s="1128">
        <f t="shared" si="272"/>
        <v>0</v>
      </c>
      <c r="AR71" s="1128">
        <f t="shared" si="272"/>
        <v>0</v>
      </c>
      <c r="AS71" s="1143">
        <f>SUM(AG71:AR71)</f>
        <v>280000</v>
      </c>
      <c r="AT71" s="1128">
        <f t="shared" si="273"/>
        <v>0</v>
      </c>
      <c r="AU71" s="1128">
        <f>SUM(AH71*2%)</f>
        <v>5600</v>
      </c>
      <c r="AV71" s="1128">
        <f t="shared" si="273"/>
        <v>0</v>
      </c>
      <c r="AW71" s="1128">
        <f t="shared" si="274"/>
        <v>0</v>
      </c>
      <c r="AX71" s="1128">
        <f t="shared" si="274"/>
        <v>0</v>
      </c>
      <c r="AY71" s="1128">
        <f t="shared" si="274"/>
        <v>0</v>
      </c>
      <c r="AZ71" s="1128">
        <f t="shared" si="274"/>
        <v>0</v>
      </c>
      <c r="BA71" s="1128">
        <f t="shared" si="274"/>
        <v>0</v>
      </c>
      <c r="BB71" s="1128">
        <f t="shared" si="274"/>
        <v>0</v>
      </c>
      <c r="BC71" s="1128">
        <f t="shared" si="274"/>
        <v>0</v>
      </c>
      <c r="BD71" s="1128">
        <f t="shared" si="274"/>
        <v>0</v>
      </c>
      <c r="BE71" s="1128">
        <f t="shared" si="274"/>
        <v>0</v>
      </c>
      <c r="BF71" s="1144">
        <f t="shared" si="275"/>
        <v>5600</v>
      </c>
      <c r="BG71" s="1144">
        <f>AF71-AS71</f>
        <v>0</v>
      </c>
      <c r="BH71" s="1145">
        <f>S71*D71</f>
        <v>280000</v>
      </c>
      <c r="BI71" s="1146">
        <f>BH71-AS71</f>
        <v>0</v>
      </c>
      <c r="BJ71" s="1147">
        <f>SUM(Q71/D71)</f>
        <v>1</v>
      </c>
      <c r="BK71" s="1128">
        <f>SUM(AH71-AU71)</f>
        <v>274400</v>
      </c>
      <c r="BL71" s="1128">
        <f>30000*8</f>
        <v>240000</v>
      </c>
      <c r="BM71" s="1148">
        <f>SUM(BK71-BL71)</f>
        <v>34400</v>
      </c>
      <c r="BN71" s="1149"/>
      <c r="BO71" s="1128"/>
      <c r="BP71" s="1128"/>
      <c r="BQ71" s="1128"/>
      <c r="BR71" s="1128"/>
      <c r="BS71" s="1128"/>
      <c r="BT71" s="1128"/>
      <c r="BU71" s="1128"/>
      <c r="BV71" s="1128"/>
      <c r="BW71" s="1128">
        <f t="shared" si="277"/>
        <v>0</v>
      </c>
      <c r="BX71" s="1128"/>
      <c r="BY71" s="1128"/>
      <c r="BZ71" s="1128"/>
      <c r="CA71" s="1144">
        <f t="shared" ref="CA71" si="280">SUM(BO71:BZ71)</f>
        <v>0</v>
      </c>
      <c r="CB71" s="1128"/>
      <c r="CC71" s="1128"/>
      <c r="CD71" s="1128"/>
      <c r="CE71" s="1128"/>
      <c r="CF71" s="1128"/>
      <c r="CG71" s="1128"/>
      <c r="CH71" s="1128"/>
      <c r="CI71" s="1128"/>
      <c r="CJ71" s="1128"/>
      <c r="CK71" s="1128"/>
      <c r="CL71" s="1128"/>
      <c r="CM71" s="1128"/>
      <c r="CN71" s="1144">
        <f t="shared" si="279"/>
        <v>0</v>
      </c>
    </row>
    <row r="72" spans="1:98" s="7" customFormat="1" ht="24.75" customHeight="1" thickBot="1" x14ac:dyDescent="0.25">
      <c r="A72" s="41"/>
      <c r="B72" s="198" t="s">
        <v>419</v>
      </c>
      <c r="C72" s="29" t="s">
        <v>290</v>
      </c>
      <c r="D72" s="651">
        <v>8</v>
      </c>
      <c r="E72" s="82"/>
      <c r="F72" s="1127"/>
      <c r="G72" s="1080">
        <v>8</v>
      </c>
      <c r="H72" s="30"/>
      <c r="I72" s="30"/>
      <c r="J72" s="30"/>
      <c r="K72" s="30"/>
      <c r="L72" s="30"/>
      <c r="M72" s="30"/>
      <c r="N72" s="30"/>
      <c r="O72" s="30"/>
      <c r="P72" s="30"/>
      <c r="Q72" s="31">
        <f>SUM(E72:P72)</f>
        <v>8</v>
      </c>
      <c r="R72" s="197" t="s">
        <v>16</v>
      </c>
      <c r="S72" s="652">
        <v>35000</v>
      </c>
      <c r="T72" s="84"/>
      <c r="U72" s="1160"/>
      <c r="V72" s="1154">
        <v>35000</v>
      </c>
      <c r="W72" s="33"/>
      <c r="X72" s="33"/>
      <c r="Y72" s="33"/>
      <c r="Z72" s="33"/>
      <c r="AA72" s="33"/>
      <c r="AB72" s="33"/>
      <c r="AC72" s="33"/>
      <c r="AD72" s="33"/>
      <c r="AE72" s="33"/>
      <c r="AF72" s="69">
        <f t="shared" si="270"/>
        <v>280000</v>
      </c>
      <c r="AG72" s="70">
        <f t="shared" si="271"/>
        <v>0</v>
      </c>
      <c r="AH72" s="1123">
        <f t="shared" si="271"/>
        <v>0</v>
      </c>
      <c r="AI72" s="70">
        <f t="shared" si="271"/>
        <v>280000</v>
      </c>
      <c r="AJ72" s="70">
        <f t="shared" si="272"/>
        <v>0</v>
      </c>
      <c r="AK72" s="70">
        <f t="shared" si="272"/>
        <v>0</v>
      </c>
      <c r="AL72" s="70">
        <f t="shared" si="272"/>
        <v>0</v>
      </c>
      <c r="AM72" s="70">
        <f t="shared" si="272"/>
        <v>0</v>
      </c>
      <c r="AN72" s="70">
        <f t="shared" si="272"/>
        <v>0</v>
      </c>
      <c r="AO72" s="70">
        <f t="shared" si="272"/>
        <v>0</v>
      </c>
      <c r="AP72" s="70">
        <f t="shared" si="272"/>
        <v>0</v>
      </c>
      <c r="AQ72" s="70">
        <f t="shared" si="272"/>
        <v>0</v>
      </c>
      <c r="AR72" s="70">
        <f t="shared" si="272"/>
        <v>0</v>
      </c>
      <c r="AS72" s="71">
        <f>SUM(AG72:AR72)</f>
        <v>280000</v>
      </c>
      <c r="AT72" s="70">
        <f t="shared" si="273"/>
        <v>0</v>
      </c>
      <c r="AU72" s="70">
        <f t="shared" si="273"/>
        <v>0</v>
      </c>
      <c r="AV72" s="70"/>
      <c r="AW72" s="70">
        <f t="shared" si="274"/>
        <v>0</v>
      </c>
      <c r="AX72" s="70">
        <f t="shared" si="274"/>
        <v>0</v>
      </c>
      <c r="AY72" s="70">
        <f t="shared" si="274"/>
        <v>0</v>
      </c>
      <c r="AZ72" s="70">
        <f t="shared" si="274"/>
        <v>0</v>
      </c>
      <c r="BA72" s="70">
        <f t="shared" si="274"/>
        <v>0</v>
      </c>
      <c r="BB72" s="70">
        <f t="shared" si="274"/>
        <v>0</v>
      </c>
      <c r="BC72" s="70">
        <f t="shared" si="274"/>
        <v>0</v>
      </c>
      <c r="BD72" s="70">
        <f t="shared" si="274"/>
        <v>0</v>
      </c>
      <c r="BE72" s="70">
        <f t="shared" si="274"/>
        <v>0</v>
      </c>
      <c r="BF72" s="72">
        <f t="shared" si="275"/>
        <v>0</v>
      </c>
      <c r="BG72" s="73">
        <f>AF72-AS72-BF72</f>
        <v>0</v>
      </c>
      <c r="BH72" s="74">
        <f>S72*D72</f>
        <v>280000</v>
      </c>
      <c r="BI72" s="75">
        <f t="shared" ref="BI72" si="281">BH72-AS72-BF72</f>
        <v>0</v>
      </c>
      <c r="BJ72" s="163">
        <f>SUM(Q72/D72)</f>
        <v>1</v>
      </c>
      <c r="BK72" s="1081"/>
      <c r="BL72" s="1081"/>
      <c r="BM72" s="1083"/>
      <c r="BN72" s="1084"/>
      <c r="BO72" s="862"/>
      <c r="BP72" s="862"/>
      <c r="BQ72" s="862"/>
      <c r="BR72" s="862"/>
      <c r="BS72" s="862"/>
      <c r="BT72" s="862"/>
      <c r="BU72" s="862"/>
      <c r="BV72" s="862"/>
      <c r="BW72" s="1081">
        <f t="shared" ref="BW72:BW73" si="282">SUM(AN72*12.5%)</f>
        <v>0</v>
      </c>
      <c r="BX72" s="862"/>
      <c r="BY72" s="862"/>
      <c r="BZ72" s="862"/>
      <c r="CA72" s="73">
        <f t="shared" ref="CA72:CA73" si="283">SUM(BO72:BZ72)</f>
        <v>0</v>
      </c>
      <c r="CB72" s="862"/>
      <c r="CC72" s="862"/>
      <c r="CD72" s="862"/>
      <c r="CE72" s="862"/>
      <c r="CF72" s="862"/>
      <c r="CG72" s="862"/>
      <c r="CH72" s="862"/>
      <c r="CI72" s="862"/>
      <c r="CJ72" s="1081"/>
      <c r="CK72" s="862"/>
      <c r="CL72" s="862"/>
      <c r="CM72" s="862"/>
      <c r="CN72" s="73">
        <f t="shared" ref="CN72:CN73" si="284">SUM(CB72:CM72)</f>
        <v>0</v>
      </c>
    </row>
    <row r="73" spans="1:98" s="38" customFormat="1" ht="24.75" customHeight="1" thickBot="1" x14ac:dyDescent="0.25">
      <c r="A73" s="577">
        <v>7</v>
      </c>
      <c r="B73" s="44" t="s">
        <v>4</v>
      </c>
      <c r="C73" s="44"/>
      <c r="D73" s="45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7"/>
      <c r="R73" s="77"/>
      <c r="S73" s="45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78">
        <f t="shared" ref="AF73:BF73" si="285">SUM(AF70:AF72)</f>
        <v>840000</v>
      </c>
      <c r="AG73" s="78">
        <f t="shared" si="285"/>
        <v>240000</v>
      </c>
      <c r="AH73" s="78">
        <f>SUM(AH70:AH72)</f>
        <v>280000</v>
      </c>
      <c r="AI73" s="78">
        <f t="shared" si="285"/>
        <v>280000</v>
      </c>
      <c r="AJ73" s="78">
        <f t="shared" ref="AJ73:AR73" si="286">SUM(AJ70:AJ72)</f>
        <v>0</v>
      </c>
      <c r="AK73" s="78">
        <f t="shared" si="286"/>
        <v>0</v>
      </c>
      <c r="AL73" s="78">
        <f t="shared" si="286"/>
        <v>0</v>
      </c>
      <c r="AM73" s="78">
        <f t="shared" si="286"/>
        <v>0</v>
      </c>
      <c r="AN73" s="78">
        <f t="shared" si="286"/>
        <v>0</v>
      </c>
      <c r="AO73" s="78">
        <f t="shared" si="286"/>
        <v>0</v>
      </c>
      <c r="AP73" s="78">
        <f t="shared" si="286"/>
        <v>0</v>
      </c>
      <c r="AQ73" s="78">
        <f t="shared" si="286"/>
        <v>0</v>
      </c>
      <c r="AR73" s="78">
        <f t="shared" si="286"/>
        <v>0</v>
      </c>
      <c r="AS73" s="78">
        <f>SUM(AS70:AS72)-200000</f>
        <v>600000</v>
      </c>
      <c r="AT73" s="78">
        <f t="shared" si="285"/>
        <v>9600</v>
      </c>
      <c r="AU73" s="78">
        <f>SUM(AU70:AU72)</f>
        <v>5600</v>
      </c>
      <c r="AV73" s="78">
        <f t="shared" si="285"/>
        <v>0</v>
      </c>
      <c r="AW73" s="78">
        <f t="shared" ref="AW73:BE73" si="287">SUM(AW70:AW72)</f>
        <v>0</v>
      </c>
      <c r="AX73" s="78">
        <f t="shared" si="287"/>
        <v>0</v>
      </c>
      <c r="AY73" s="78">
        <f t="shared" si="287"/>
        <v>0</v>
      </c>
      <c r="AZ73" s="78">
        <f t="shared" si="287"/>
        <v>0</v>
      </c>
      <c r="BA73" s="78">
        <f t="shared" si="287"/>
        <v>0</v>
      </c>
      <c r="BB73" s="78">
        <f t="shared" si="287"/>
        <v>0</v>
      </c>
      <c r="BC73" s="78">
        <f t="shared" si="287"/>
        <v>0</v>
      </c>
      <c r="BD73" s="78">
        <f t="shared" si="287"/>
        <v>0</v>
      </c>
      <c r="BE73" s="78">
        <f t="shared" si="287"/>
        <v>0</v>
      </c>
      <c r="BF73" s="78">
        <f t="shared" si="285"/>
        <v>15200</v>
      </c>
      <c r="BG73" s="79">
        <f>SUM(BG70:BG72)</f>
        <v>30400</v>
      </c>
      <c r="BH73" s="78">
        <f>SUM(BH70:BH72)</f>
        <v>840000</v>
      </c>
      <c r="BI73" s="78">
        <f>SUM(BI70:BI72)</f>
        <v>30400</v>
      </c>
      <c r="BJ73" s="164">
        <v>1</v>
      </c>
      <c r="BK73" s="1107">
        <f>SUM(BK70:BK72)</f>
        <v>274400</v>
      </c>
      <c r="BL73" s="1107">
        <f t="shared" ref="BL73:BM73" si="288">SUM(BL70:BL72)</f>
        <v>240000</v>
      </c>
      <c r="BM73" s="1107">
        <f t="shared" si="288"/>
        <v>34400</v>
      </c>
      <c r="BN73" s="1084"/>
      <c r="BO73" s="862"/>
      <c r="BP73" s="862"/>
      <c r="BQ73" s="862"/>
      <c r="BR73" s="862"/>
      <c r="BS73" s="862"/>
      <c r="BT73" s="862"/>
      <c r="BU73" s="862"/>
      <c r="BV73" s="862"/>
      <c r="BW73" s="1081">
        <f t="shared" si="282"/>
        <v>0</v>
      </c>
      <c r="BX73" s="862"/>
      <c r="BY73" s="862"/>
      <c r="BZ73" s="862"/>
      <c r="CA73" s="73">
        <f t="shared" si="283"/>
        <v>0</v>
      </c>
      <c r="CB73" s="862"/>
      <c r="CC73" s="862"/>
      <c r="CD73" s="862"/>
      <c r="CE73" s="862"/>
      <c r="CF73" s="862"/>
      <c r="CG73" s="862"/>
      <c r="CH73" s="862"/>
      <c r="CI73" s="862"/>
      <c r="CJ73" s="1081"/>
      <c r="CK73" s="862"/>
      <c r="CL73" s="862"/>
      <c r="CM73" s="862"/>
      <c r="CN73" s="73">
        <f t="shared" si="284"/>
        <v>0</v>
      </c>
    </row>
    <row r="74" spans="1:98" s="20" customFormat="1" ht="24.75" customHeight="1" x14ac:dyDescent="0.2">
      <c r="A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AE74" s="40"/>
      <c r="AS74" s="51"/>
      <c r="BF74" s="52"/>
      <c r="BG74" s="53"/>
      <c r="BH74" s="54"/>
      <c r="BI74" s="55">
        <f>SUM(BG73)</f>
        <v>30400</v>
      </c>
      <c r="BJ74" s="165" t="s">
        <v>38</v>
      </c>
      <c r="BK74" s="171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</row>
    <row r="75" spans="1:98" s="20" customFormat="1" ht="24.75" customHeight="1" x14ac:dyDescent="0.2">
      <c r="A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AE75" s="40"/>
      <c r="AS75" s="40"/>
      <c r="AT75" s="388">
        <f>SUM(AG73+AT73)</f>
        <v>249600</v>
      </c>
      <c r="AU75" s="388">
        <f t="shared" ref="AU75" si="289">SUM(AH73+AU73)</f>
        <v>285600</v>
      </c>
      <c r="AV75" s="388">
        <f t="shared" ref="AV75" si="290">SUM(AI73+AV73)</f>
        <v>280000</v>
      </c>
      <c r="AW75" s="388">
        <f t="shared" ref="AW75" si="291">SUM(AJ73+AW73)</f>
        <v>0</v>
      </c>
      <c r="AX75" s="388">
        <f t="shared" ref="AX75" si="292">SUM(AK73+AX73)</f>
        <v>0</v>
      </c>
      <c r="AY75" s="388">
        <f t="shared" ref="AY75" si="293">SUM(AL73+AY73)</f>
        <v>0</v>
      </c>
      <c r="AZ75" s="388">
        <f t="shared" ref="AZ75" si="294">SUM(AM73+AZ73)</f>
        <v>0</v>
      </c>
      <c r="BA75" s="388">
        <f t="shared" ref="BA75" si="295">SUM(AN73+BA73)</f>
        <v>0</v>
      </c>
      <c r="BB75" s="388">
        <f t="shared" ref="BB75" si="296">SUM(AO73+BB73)</f>
        <v>0</v>
      </c>
      <c r="BC75" s="388">
        <f t="shared" ref="BC75" si="297">SUM(AP73+BC73)</f>
        <v>0</v>
      </c>
      <c r="BD75" s="388">
        <f t="shared" ref="BD75" si="298">SUM(AQ73+BD73)</f>
        <v>0</v>
      </c>
      <c r="BE75" s="388">
        <f t="shared" ref="BE75" si="299">SUM(AR73+BE73)</f>
        <v>0</v>
      </c>
      <c r="BF75" s="388"/>
      <c r="BG75" s="57"/>
      <c r="BH75" s="57"/>
      <c r="BI75" s="57">
        <f>SUM(BI73-BI74)</f>
        <v>0</v>
      </c>
      <c r="BJ75" s="165" t="s">
        <v>37</v>
      </c>
      <c r="BK75" s="171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</row>
    <row r="76" spans="1:98" s="20" customFormat="1" ht="16.5" customHeight="1" x14ac:dyDescent="0.2">
      <c r="A76" s="1730" t="s">
        <v>8</v>
      </c>
      <c r="B76" s="1731"/>
      <c r="C76" s="124" t="s">
        <v>420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7"/>
      <c r="AF76" s="23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8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8"/>
      <c r="BG76" s="138"/>
      <c r="BH76" s="135"/>
      <c r="BI76" s="139"/>
      <c r="BJ76" s="23"/>
      <c r="BK76" s="169"/>
      <c r="BL76" s="136"/>
      <c r="BM76" s="136"/>
      <c r="BN76" s="136"/>
      <c r="BO76" s="136"/>
      <c r="BP76" s="137"/>
      <c r="BQ76" s="136"/>
      <c r="BR76" s="136"/>
      <c r="BS76" s="136"/>
      <c r="BT76" s="136"/>
      <c r="BU76" s="136"/>
      <c r="BV76" s="138"/>
      <c r="BW76" s="138"/>
      <c r="BX76" s="138"/>
      <c r="BY76" s="135"/>
      <c r="BZ76" s="139"/>
      <c r="CA76" s="138"/>
      <c r="CB76" s="138"/>
      <c r="CC76" s="24"/>
      <c r="CD76" s="24"/>
      <c r="CE76" s="24"/>
      <c r="CF76" s="24"/>
      <c r="CG76" s="24"/>
      <c r="CH76" s="140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</row>
    <row r="77" spans="1:98" s="8" customFormat="1" ht="48.75" customHeight="1" x14ac:dyDescent="0.2">
      <c r="A77" s="1703" t="s">
        <v>10</v>
      </c>
      <c r="B77" s="1706" t="s">
        <v>11</v>
      </c>
      <c r="C77" s="1706" t="s">
        <v>22</v>
      </c>
      <c r="D77" s="1721" t="s">
        <v>12</v>
      </c>
      <c r="E77" s="1721"/>
      <c r="F77" s="1721"/>
      <c r="G77" s="1721"/>
      <c r="H77" s="1721"/>
      <c r="I77" s="1721"/>
      <c r="J77" s="1721"/>
      <c r="K77" s="1721"/>
      <c r="L77" s="1721"/>
      <c r="M77" s="1721"/>
      <c r="N77" s="1721"/>
      <c r="O77" s="1721"/>
      <c r="P77" s="1721"/>
      <c r="Q77" s="1721"/>
      <c r="R77" s="1706" t="s">
        <v>20</v>
      </c>
      <c r="S77" s="1717" t="s">
        <v>17</v>
      </c>
      <c r="T77" s="1718"/>
      <c r="U77" s="1718"/>
      <c r="V77" s="1718"/>
      <c r="W77" s="1718"/>
      <c r="X77" s="1718"/>
      <c r="Y77" s="1718"/>
      <c r="Z77" s="1718"/>
      <c r="AA77" s="1718"/>
      <c r="AB77" s="1718"/>
      <c r="AC77" s="1718"/>
      <c r="AD77" s="1718"/>
      <c r="AE77" s="1719"/>
      <c r="AF77" s="1720" t="s">
        <v>6</v>
      </c>
      <c r="AG77" s="1720"/>
      <c r="AH77" s="1720"/>
      <c r="AI77" s="1720"/>
      <c r="AJ77" s="1720"/>
      <c r="AK77" s="1720"/>
      <c r="AL77" s="1720"/>
      <c r="AM77" s="1720"/>
      <c r="AN77" s="1720"/>
      <c r="AO77" s="1720"/>
      <c r="AP77" s="1720"/>
      <c r="AQ77" s="1720"/>
      <c r="AR77" s="1720"/>
      <c r="AS77" s="1720"/>
      <c r="AT77" s="1722" t="s">
        <v>41</v>
      </c>
      <c r="AU77" s="1723"/>
      <c r="AV77" s="1723"/>
      <c r="AW77" s="1723"/>
      <c r="AX77" s="1723"/>
      <c r="AY77" s="1723"/>
      <c r="AZ77" s="1723"/>
      <c r="BA77" s="1723"/>
      <c r="BB77" s="1723"/>
      <c r="BC77" s="1723"/>
      <c r="BD77" s="1723"/>
      <c r="BE77" s="1723"/>
      <c r="BF77" s="1724"/>
      <c r="BG77" s="1706" t="s">
        <v>38</v>
      </c>
      <c r="BH77" s="1706" t="s">
        <v>256</v>
      </c>
      <c r="BI77" s="1794" t="s">
        <v>39</v>
      </c>
      <c r="BJ77" s="135"/>
      <c r="BK77" s="135"/>
      <c r="BL77" s="135"/>
      <c r="BM77" s="135"/>
      <c r="BN77" s="135"/>
      <c r="BO77" s="1733" t="s">
        <v>41</v>
      </c>
      <c r="BP77" s="1734"/>
      <c r="BQ77" s="1734"/>
      <c r="BR77" s="1734"/>
      <c r="BS77" s="1734"/>
      <c r="BT77" s="1734"/>
      <c r="BU77" s="1734"/>
      <c r="BV77" s="1734"/>
      <c r="BW77" s="1734"/>
      <c r="BX77" s="1734"/>
      <c r="BY77" s="1734"/>
      <c r="BZ77" s="1734"/>
      <c r="CA77" s="1734"/>
      <c r="CB77" s="1734"/>
      <c r="CC77" s="1734"/>
      <c r="CD77" s="1734"/>
      <c r="CE77" s="1734"/>
      <c r="CF77" s="1734"/>
      <c r="CG77" s="1734"/>
      <c r="CH77" s="1734"/>
      <c r="CI77" s="1734"/>
      <c r="CJ77" s="1734"/>
      <c r="CK77" s="1734"/>
      <c r="CL77" s="1734"/>
      <c r="CM77" s="1734"/>
      <c r="CN77" s="1735"/>
    </row>
    <row r="78" spans="1:98" s="8" customFormat="1" ht="48.75" customHeight="1" x14ac:dyDescent="0.2">
      <c r="A78" s="1704"/>
      <c r="B78" s="1707"/>
      <c r="C78" s="1707"/>
      <c r="D78" s="1712" t="s">
        <v>18</v>
      </c>
      <c r="E78" s="1714" t="s">
        <v>19</v>
      </c>
      <c r="F78" s="1715"/>
      <c r="G78" s="1715"/>
      <c r="H78" s="1715"/>
      <c r="I78" s="1715"/>
      <c r="J78" s="1715"/>
      <c r="K78" s="1715"/>
      <c r="L78" s="1715"/>
      <c r="M78" s="1715"/>
      <c r="N78" s="1715"/>
      <c r="O78" s="1715"/>
      <c r="P78" s="1715"/>
      <c r="Q78" s="1715"/>
      <c r="R78" s="1707"/>
      <c r="S78" s="1712" t="s">
        <v>18</v>
      </c>
      <c r="T78" s="1714" t="s">
        <v>19</v>
      </c>
      <c r="U78" s="1715"/>
      <c r="V78" s="1715"/>
      <c r="W78" s="1715"/>
      <c r="X78" s="1715"/>
      <c r="Y78" s="1715"/>
      <c r="Z78" s="1715"/>
      <c r="AA78" s="1715"/>
      <c r="AB78" s="1715"/>
      <c r="AC78" s="1715"/>
      <c r="AD78" s="1715"/>
      <c r="AE78" s="1716"/>
      <c r="AF78" s="1712" t="s">
        <v>18</v>
      </c>
      <c r="AG78" s="1714" t="s">
        <v>19</v>
      </c>
      <c r="AH78" s="1715"/>
      <c r="AI78" s="1715"/>
      <c r="AJ78" s="1715"/>
      <c r="AK78" s="1715"/>
      <c r="AL78" s="1715"/>
      <c r="AM78" s="1715"/>
      <c r="AN78" s="1715"/>
      <c r="AO78" s="1715"/>
      <c r="AP78" s="1715"/>
      <c r="AQ78" s="1715"/>
      <c r="AR78" s="1715"/>
      <c r="AS78" s="1716"/>
      <c r="AT78" s="1725"/>
      <c r="AU78" s="1726"/>
      <c r="AV78" s="1726"/>
      <c r="AW78" s="1726"/>
      <c r="AX78" s="1726"/>
      <c r="AY78" s="1726"/>
      <c r="AZ78" s="1726"/>
      <c r="BA78" s="1726"/>
      <c r="BB78" s="1726"/>
      <c r="BC78" s="1726"/>
      <c r="BD78" s="1726"/>
      <c r="BE78" s="1726"/>
      <c r="BF78" s="1727"/>
      <c r="BG78" s="1707"/>
      <c r="BH78" s="1707"/>
      <c r="BI78" s="1795"/>
      <c r="BJ78" s="135"/>
      <c r="BK78" s="1736">
        <f>SUM(BK80/60)</f>
        <v>0</v>
      </c>
      <c r="BL78" s="1736"/>
      <c r="BM78" s="1736"/>
      <c r="BN78" s="23"/>
      <c r="BO78" s="1737" t="s">
        <v>686</v>
      </c>
      <c r="BP78" s="1738"/>
      <c r="BQ78" s="1738"/>
      <c r="BR78" s="1738"/>
      <c r="BS78" s="1738"/>
      <c r="BT78" s="1738"/>
      <c r="BU78" s="1738"/>
      <c r="BV78" s="1738"/>
      <c r="BW78" s="1738"/>
      <c r="BX78" s="1738"/>
      <c r="BY78" s="1738"/>
      <c r="BZ78" s="1738"/>
      <c r="CA78" s="1739"/>
      <c r="CB78" s="1740" t="s">
        <v>687</v>
      </c>
      <c r="CC78" s="1741"/>
      <c r="CD78" s="1741"/>
      <c r="CE78" s="1741"/>
      <c r="CF78" s="1741"/>
      <c r="CG78" s="1741"/>
      <c r="CH78" s="1741"/>
      <c r="CI78" s="1741"/>
      <c r="CJ78" s="1741"/>
      <c r="CK78" s="1741"/>
      <c r="CL78" s="1741"/>
      <c r="CM78" s="1741"/>
      <c r="CN78" s="1742"/>
    </row>
    <row r="79" spans="1:98" s="6" customFormat="1" ht="28.5" customHeight="1" x14ac:dyDescent="0.2">
      <c r="A79" s="1705"/>
      <c r="B79" s="1708"/>
      <c r="C79" s="1708"/>
      <c r="D79" s="1713"/>
      <c r="E79" s="26">
        <v>1</v>
      </c>
      <c r="F79" s="26">
        <v>2</v>
      </c>
      <c r="G79" s="26">
        <v>3</v>
      </c>
      <c r="H79" s="26">
        <v>4</v>
      </c>
      <c r="I79" s="26">
        <v>5</v>
      </c>
      <c r="J79" s="26">
        <v>6</v>
      </c>
      <c r="K79" s="26">
        <v>7</v>
      </c>
      <c r="L79" s="26">
        <v>8</v>
      </c>
      <c r="M79" s="26">
        <v>9</v>
      </c>
      <c r="N79" s="26">
        <v>10</v>
      </c>
      <c r="O79" s="26">
        <v>11</v>
      </c>
      <c r="P79" s="26">
        <v>12</v>
      </c>
      <c r="Q79" s="26" t="s">
        <v>21</v>
      </c>
      <c r="R79" s="1707"/>
      <c r="S79" s="1784"/>
      <c r="T79" s="26">
        <v>1</v>
      </c>
      <c r="U79" s="26">
        <v>2</v>
      </c>
      <c r="V79" s="26">
        <v>3</v>
      </c>
      <c r="W79" s="26">
        <v>4</v>
      </c>
      <c r="X79" s="26">
        <v>5</v>
      </c>
      <c r="Y79" s="26">
        <v>6</v>
      </c>
      <c r="Z79" s="26">
        <v>7</v>
      </c>
      <c r="AA79" s="26">
        <v>8</v>
      </c>
      <c r="AB79" s="26">
        <v>9</v>
      </c>
      <c r="AC79" s="26">
        <v>10</v>
      </c>
      <c r="AD79" s="26">
        <v>11</v>
      </c>
      <c r="AE79" s="26">
        <v>12</v>
      </c>
      <c r="AF79" s="1713"/>
      <c r="AG79" s="26">
        <v>1</v>
      </c>
      <c r="AH79" s="26">
        <v>2</v>
      </c>
      <c r="AI79" s="26">
        <v>3</v>
      </c>
      <c r="AJ79" s="26">
        <v>4</v>
      </c>
      <c r="AK79" s="26">
        <v>5</v>
      </c>
      <c r="AL79" s="26">
        <v>6</v>
      </c>
      <c r="AM79" s="26">
        <v>7</v>
      </c>
      <c r="AN79" s="26">
        <v>8</v>
      </c>
      <c r="AO79" s="26">
        <v>9</v>
      </c>
      <c r="AP79" s="26">
        <v>10</v>
      </c>
      <c r="AQ79" s="26">
        <v>11</v>
      </c>
      <c r="AR79" s="26">
        <v>12</v>
      </c>
      <c r="AS79" s="26" t="s">
        <v>13</v>
      </c>
      <c r="AT79" s="643">
        <v>1</v>
      </c>
      <c r="AU79" s="643">
        <v>2</v>
      </c>
      <c r="AV79" s="643">
        <v>3</v>
      </c>
      <c r="AW79" s="643">
        <v>4</v>
      </c>
      <c r="AX79" s="643">
        <v>5</v>
      </c>
      <c r="AY79" s="643">
        <v>6</v>
      </c>
      <c r="AZ79" s="643">
        <v>7</v>
      </c>
      <c r="BA79" s="643">
        <v>8</v>
      </c>
      <c r="BB79" s="643">
        <v>9</v>
      </c>
      <c r="BC79" s="643">
        <v>10</v>
      </c>
      <c r="BD79" s="643">
        <v>11</v>
      </c>
      <c r="BE79" s="643">
        <v>12</v>
      </c>
      <c r="BF79" s="26" t="s">
        <v>13</v>
      </c>
      <c r="BG79" s="1708"/>
      <c r="BH79" s="1708"/>
      <c r="BI79" s="1796"/>
      <c r="BJ79" s="7"/>
      <c r="BK79" s="1743" t="s">
        <v>19</v>
      </c>
      <c r="BL79" s="1744"/>
      <c r="BM79" s="1745"/>
      <c r="BN79" s="621"/>
      <c r="BO79" s="173">
        <v>1</v>
      </c>
      <c r="BP79" s="173">
        <v>2</v>
      </c>
      <c r="BQ79" s="173">
        <v>3</v>
      </c>
      <c r="BR79" s="173">
        <v>4</v>
      </c>
      <c r="BS79" s="173">
        <v>5</v>
      </c>
      <c r="BT79" s="173">
        <v>6</v>
      </c>
      <c r="BU79" s="173">
        <v>7</v>
      </c>
      <c r="BV79" s="173">
        <v>8</v>
      </c>
      <c r="BW79" s="173">
        <v>9</v>
      </c>
      <c r="BX79" s="173">
        <v>10</v>
      </c>
      <c r="BY79" s="173">
        <v>11</v>
      </c>
      <c r="BZ79" s="173">
        <v>12</v>
      </c>
      <c r="CA79" s="26" t="s">
        <v>13</v>
      </c>
      <c r="CB79" s="173">
        <v>1</v>
      </c>
      <c r="CC79" s="173">
        <v>2</v>
      </c>
      <c r="CD79" s="173">
        <v>3</v>
      </c>
      <c r="CE79" s="173">
        <v>4</v>
      </c>
      <c r="CF79" s="173">
        <v>5</v>
      </c>
      <c r="CG79" s="173">
        <v>6</v>
      </c>
      <c r="CH79" s="173">
        <v>7</v>
      </c>
      <c r="CI79" s="173">
        <v>8</v>
      </c>
      <c r="CJ79" s="173">
        <v>9</v>
      </c>
      <c r="CK79" s="173">
        <v>10</v>
      </c>
      <c r="CL79" s="173">
        <v>11</v>
      </c>
      <c r="CM79" s="173">
        <v>12</v>
      </c>
      <c r="CN79" s="26" t="s">
        <v>13</v>
      </c>
    </row>
    <row r="80" spans="1:98" s="637" customFormat="1" ht="28.5" customHeight="1" x14ac:dyDescent="0.2">
      <c r="A80" s="617"/>
      <c r="B80" s="631" t="s">
        <v>421</v>
      </c>
      <c r="C80" s="618"/>
      <c r="D80" s="636"/>
      <c r="E80" s="619"/>
      <c r="F80" s="619"/>
      <c r="G80" s="619"/>
      <c r="H80" s="619"/>
      <c r="I80" s="619"/>
      <c r="J80" s="619"/>
      <c r="K80" s="619"/>
      <c r="L80" s="619"/>
      <c r="M80" s="619"/>
      <c r="N80" s="619"/>
      <c r="O80" s="619"/>
      <c r="P80" s="619"/>
      <c r="Q80" s="619"/>
      <c r="R80" s="634"/>
      <c r="S80" s="634"/>
      <c r="T80" s="634"/>
      <c r="U80" s="620"/>
      <c r="V80" s="620"/>
      <c r="W80" s="620"/>
      <c r="X80" s="620"/>
      <c r="Y80" s="620"/>
      <c r="Z80" s="620"/>
      <c r="AA80" s="620"/>
      <c r="AB80" s="620"/>
      <c r="AC80" s="620"/>
      <c r="AD80" s="620"/>
      <c r="AE80" s="620"/>
      <c r="AF80" s="618"/>
      <c r="AG80" s="619"/>
      <c r="AH80" s="619"/>
      <c r="AI80" s="619"/>
      <c r="AJ80" s="619"/>
      <c r="AK80" s="619"/>
      <c r="AL80" s="619"/>
      <c r="AM80" s="619"/>
      <c r="AN80" s="619"/>
      <c r="AO80" s="619"/>
      <c r="AP80" s="619"/>
      <c r="AQ80" s="619"/>
      <c r="AR80" s="619"/>
      <c r="AS80" s="619"/>
      <c r="AT80" s="621"/>
      <c r="AU80" s="621"/>
      <c r="AV80" s="621"/>
      <c r="AW80" s="621"/>
      <c r="AX80" s="621"/>
      <c r="AY80" s="621"/>
      <c r="AZ80" s="621"/>
      <c r="BA80" s="621"/>
      <c r="BB80" s="621"/>
      <c r="BC80" s="621"/>
      <c r="BD80" s="621"/>
      <c r="BE80" s="621"/>
      <c r="BF80" s="620"/>
      <c r="BG80" s="622"/>
      <c r="BH80" s="618"/>
      <c r="BI80" s="667"/>
      <c r="BJ80" s="37"/>
      <c r="BK80" s="1081"/>
      <c r="BL80" s="1081"/>
      <c r="BM80" s="1083"/>
      <c r="BN80" s="1084"/>
      <c r="BO80" s="862"/>
      <c r="BP80" s="862"/>
      <c r="BQ80" s="862"/>
      <c r="BR80" s="862"/>
      <c r="BS80" s="862"/>
      <c r="BT80" s="862"/>
      <c r="BU80" s="862"/>
      <c r="BV80" s="862"/>
      <c r="BW80" s="1081">
        <f t="shared" ref="BW80:BW83" si="300">SUM(AN80*12.5%)</f>
        <v>0</v>
      </c>
      <c r="BX80" s="862"/>
      <c r="BY80" s="862"/>
      <c r="BZ80" s="862"/>
      <c r="CA80" s="73">
        <f t="shared" ref="CA80" si="301">SUM(BO80:BZ80)</f>
        <v>0</v>
      </c>
      <c r="CB80" s="862"/>
      <c r="CC80" s="862"/>
      <c r="CD80" s="862"/>
      <c r="CE80" s="862"/>
      <c r="CF80" s="862"/>
      <c r="CG80" s="862"/>
      <c r="CH80" s="862"/>
      <c r="CI80" s="862"/>
      <c r="CJ80" s="1081"/>
      <c r="CK80" s="862"/>
      <c r="CL80" s="862"/>
      <c r="CM80" s="862"/>
      <c r="CN80" s="73">
        <f t="shared" ref="CN80:CN82" si="302">SUM(CB80:CM80)</f>
        <v>0</v>
      </c>
    </row>
    <row r="81" spans="1:98" s="37" customFormat="1" ht="24.75" customHeight="1" x14ac:dyDescent="0.2">
      <c r="A81" s="28"/>
      <c r="B81" s="653" t="s">
        <v>422</v>
      </c>
      <c r="C81" s="29" t="s">
        <v>24</v>
      </c>
      <c r="D81" s="147">
        <v>40</v>
      </c>
      <c r="E81" s="147">
        <v>40</v>
      </c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1">
        <f>SUM(E81:P81)</f>
        <v>40</v>
      </c>
      <c r="R81" s="594" t="s">
        <v>2</v>
      </c>
      <c r="S81" s="595">
        <v>5700</v>
      </c>
      <c r="T81" s="642">
        <v>5000</v>
      </c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629">
        <f t="shared" ref="AF81:AF85" si="303">SUM(Q81*S81)</f>
        <v>228000</v>
      </c>
      <c r="AG81" s="70">
        <f t="shared" ref="AG81:AG85" si="304">T81*E81</f>
        <v>200000</v>
      </c>
      <c r="AH81" s="70">
        <f t="shared" ref="AH81:AH85" si="305">U81*F81</f>
        <v>0</v>
      </c>
      <c r="AI81" s="70">
        <f t="shared" ref="AI81:AI85" si="306">V81*G81</f>
        <v>0</v>
      </c>
      <c r="AJ81" s="70">
        <f t="shared" ref="AJ81:AJ85" si="307">W81*H81</f>
        <v>0</v>
      </c>
      <c r="AK81" s="70">
        <f t="shared" ref="AK81:AK85" si="308">X81*I81</f>
        <v>0</v>
      </c>
      <c r="AL81" s="70">
        <f t="shared" ref="AL81:AL85" si="309">Y81*J81</f>
        <v>0</v>
      </c>
      <c r="AM81" s="70">
        <f t="shared" ref="AM81:AM85" si="310">Z81*K81</f>
        <v>0</v>
      </c>
      <c r="AN81" s="70">
        <f t="shared" ref="AN81:AN85" si="311">AA81*L81</f>
        <v>0</v>
      </c>
      <c r="AO81" s="70">
        <f t="shared" ref="AO81:AO85" si="312">AB81*M81</f>
        <v>0</v>
      </c>
      <c r="AP81" s="70">
        <f t="shared" ref="AP81:AP85" si="313">AC81*N81</f>
        <v>0</v>
      </c>
      <c r="AQ81" s="70">
        <f t="shared" ref="AQ81:AQ85" si="314">AD81*O81</f>
        <v>0</v>
      </c>
      <c r="AR81" s="70">
        <f t="shared" ref="AR81:AR85" si="315">AE81*P81</f>
        <v>0</v>
      </c>
      <c r="AS81" s="71">
        <f>SUM(AG81:AR81)</f>
        <v>200000</v>
      </c>
      <c r="AT81" s="70">
        <f>SUM(AG81*4%)</f>
        <v>8000</v>
      </c>
      <c r="AU81" s="70">
        <f t="shared" ref="AU81:AU85" si="316">SUM(AH81*14%)</f>
        <v>0</v>
      </c>
      <c r="AV81" s="70">
        <f t="shared" ref="AV81:AV85" si="317">SUM(AI81*14%)</f>
        <v>0</v>
      </c>
      <c r="AW81" s="70">
        <f t="shared" ref="AW81:AW85" si="318">SUM(AJ81*14%)</f>
        <v>0</v>
      </c>
      <c r="AX81" s="70">
        <f t="shared" ref="AX81:AX85" si="319">SUM(AK81*14%)</f>
        <v>0</v>
      </c>
      <c r="AY81" s="70">
        <f t="shared" ref="AY81:AY85" si="320">SUM(AL81*14%)</f>
        <v>0</v>
      </c>
      <c r="AZ81" s="70">
        <f t="shared" ref="AZ81:AZ85" si="321">SUM(AM81*14%)</f>
        <v>0</v>
      </c>
      <c r="BA81" s="70">
        <f t="shared" ref="BA81:BA85" si="322">SUM(AN81*14%)</f>
        <v>0</v>
      </c>
      <c r="BB81" s="70">
        <f t="shared" ref="BB81:BB85" si="323">SUM(AO81*14%)</f>
        <v>0</v>
      </c>
      <c r="BC81" s="70">
        <f t="shared" ref="BC81:BC85" si="324">SUM(AP81*14%)</f>
        <v>0</v>
      </c>
      <c r="BD81" s="70">
        <f t="shared" ref="BD81:BD85" si="325">SUM(AQ81*14%)</f>
        <v>0</v>
      </c>
      <c r="BE81" s="70">
        <f t="shared" ref="BE81:BE85" si="326">SUM(AR81*14%)</f>
        <v>0</v>
      </c>
      <c r="BF81" s="72">
        <f t="shared" ref="BF81:BF85" si="327">SUM(AT81:BE81)</f>
        <v>8000</v>
      </c>
      <c r="BG81" s="73">
        <f>AF81-AS81-BF81</f>
        <v>20000</v>
      </c>
      <c r="BH81" s="74">
        <f>S81*D81</f>
        <v>228000</v>
      </c>
      <c r="BI81" s="75">
        <f t="shared" ref="BI81:BI85" si="328">BH81-AS81-BF81</f>
        <v>20000</v>
      </c>
      <c r="BJ81" s="630">
        <f>SUM(Q81/D81)</f>
        <v>1</v>
      </c>
      <c r="BK81" s="1081"/>
      <c r="BL81" s="1081"/>
      <c r="BM81" s="1083"/>
      <c r="BN81" s="1084"/>
      <c r="BO81" s="862"/>
      <c r="BP81" s="862"/>
      <c r="BQ81" s="862"/>
      <c r="BR81" s="862"/>
      <c r="BS81" s="862"/>
      <c r="BT81" s="862"/>
      <c r="BU81" s="862"/>
      <c r="BV81" s="862"/>
      <c r="BW81" s="1081">
        <f t="shared" si="300"/>
        <v>0</v>
      </c>
      <c r="BX81" s="862"/>
      <c r="BY81" s="862"/>
      <c r="BZ81" s="862"/>
      <c r="CA81" s="73">
        <f t="shared" ref="CA81:CA83" si="329">SUM(BO81:BZ81)</f>
        <v>0</v>
      </c>
      <c r="CB81" s="862"/>
      <c r="CC81" s="862"/>
      <c r="CD81" s="862"/>
      <c r="CE81" s="862"/>
      <c r="CF81" s="862"/>
      <c r="CG81" s="862"/>
      <c r="CH81" s="862"/>
      <c r="CI81" s="862"/>
      <c r="CJ81" s="1081"/>
      <c r="CK81" s="862"/>
      <c r="CL81" s="862"/>
      <c r="CM81" s="862"/>
      <c r="CN81" s="73">
        <f t="shared" si="302"/>
        <v>0</v>
      </c>
    </row>
    <row r="82" spans="1:98" s="37" customFormat="1" ht="24.75" customHeight="1" x14ac:dyDescent="0.2">
      <c r="A82" s="28"/>
      <c r="B82" s="653" t="s">
        <v>423</v>
      </c>
      <c r="C82" s="29" t="s">
        <v>24</v>
      </c>
      <c r="D82" s="147">
        <v>4</v>
      </c>
      <c r="E82" s="147">
        <v>4</v>
      </c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1">
        <f>SUM(E82:P82)</f>
        <v>4</v>
      </c>
      <c r="R82" s="594" t="s">
        <v>0</v>
      </c>
      <c r="S82" s="595">
        <v>49500</v>
      </c>
      <c r="T82" s="628">
        <v>45000</v>
      </c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629">
        <f t="shared" si="303"/>
        <v>198000</v>
      </c>
      <c r="AG82" s="70">
        <f t="shared" si="304"/>
        <v>180000</v>
      </c>
      <c r="AH82" s="70">
        <f t="shared" si="305"/>
        <v>0</v>
      </c>
      <c r="AI82" s="70">
        <f t="shared" si="306"/>
        <v>0</v>
      </c>
      <c r="AJ82" s="70">
        <f t="shared" si="307"/>
        <v>0</v>
      </c>
      <c r="AK82" s="70">
        <f t="shared" si="308"/>
        <v>0</v>
      </c>
      <c r="AL82" s="70">
        <f t="shared" si="309"/>
        <v>0</v>
      </c>
      <c r="AM82" s="70">
        <f t="shared" si="310"/>
        <v>0</v>
      </c>
      <c r="AN82" s="70">
        <f t="shared" si="311"/>
        <v>0</v>
      </c>
      <c r="AO82" s="70">
        <f t="shared" si="312"/>
        <v>0</v>
      </c>
      <c r="AP82" s="70">
        <f t="shared" si="313"/>
        <v>0</v>
      </c>
      <c r="AQ82" s="70">
        <f t="shared" si="314"/>
        <v>0</v>
      </c>
      <c r="AR82" s="70">
        <f t="shared" si="315"/>
        <v>0</v>
      </c>
      <c r="AS82" s="71">
        <f>SUM(AG82:AR82)</f>
        <v>180000</v>
      </c>
      <c r="AT82" s="70">
        <f>SUM(AG82*4%)</f>
        <v>7200</v>
      </c>
      <c r="AU82" s="70">
        <f t="shared" si="316"/>
        <v>0</v>
      </c>
      <c r="AV82" s="70">
        <f t="shared" si="317"/>
        <v>0</v>
      </c>
      <c r="AW82" s="70">
        <f t="shared" si="318"/>
        <v>0</v>
      </c>
      <c r="AX82" s="70">
        <f t="shared" si="319"/>
        <v>0</v>
      </c>
      <c r="AY82" s="70">
        <f t="shared" si="320"/>
        <v>0</v>
      </c>
      <c r="AZ82" s="70">
        <f t="shared" si="321"/>
        <v>0</v>
      </c>
      <c r="BA82" s="70">
        <f t="shared" si="322"/>
        <v>0</v>
      </c>
      <c r="BB82" s="70">
        <f t="shared" si="323"/>
        <v>0</v>
      </c>
      <c r="BC82" s="70">
        <f t="shared" si="324"/>
        <v>0</v>
      </c>
      <c r="BD82" s="70">
        <f t="shared" si="325"/>
        <v>0</v>
      </c>
      <c r="BE82" s="70">
        <f t="shared" si="326"/>
        <v>0</v>
      </c>
      <c r="BF82" s="72">
        <f t="shared" si="327"/>
        <v>7200</v>
      </c>
      <c r="BG82" s="73">
        <f>AF82-AS82-BF82</f>
        <v>10800</v>
      </c>
      <c r="BH82" s="74">
        <f>S82*D82</f>
        <v>198000</v>
      </c>
      <c r="BI82" s="75">
        <f t="shared" si="328"/>
        <v>10800</v>
      </c>
      <c r="BJ82" s="630">
        <f>SUM(Q82/D82)</f>
        <v>1</v>
      </c>
      <c r="BK82" s="1081"/>
      <c r="BL82" s="1081"/>
      <c r="BM82" s="1083"/>
      <c r="BN82" s="1084"/>
      <c r="BO82" s="862"/>
      <c r="BP82" s="862"/>
      <c r="BQ82" s="862"/>
      <c r="BR82" s="862"/>
      <c r="BS82" s="862"/>
      <c r="BT82" s="862"/>
      <c r="BU82" s="862"/>
      <c r="BV82" s="862"/>
      <c r="BW82" s="1081">
        <f t="shared" si="300"/>
        <v>0</v>
      </c>
      <c r="BX82" s="862"/>
      <c r="BY82" s="862"/>
      <c r="BZ82" s="862"/>
      <c r="CA82" s="73">
        <f t="shared" si="329"/>
        <v>0</v>
      </c>
      <c r="CB82" s="862"/>
      <c r="CC82" s="862"/>
      <c r="CD82" s="862"/>
      <c r="CE82" s="862"/>
      <c r="CF82" s="862"/>
      <c r="CG82" s="862"/>
      <c r="CH82" s="862"/>
      <c r="CI82" s="862"/>
      <c r="CJ82" s="1081"/>
      <c r="CK82" s="862"/>
      <c r="CL82" s="862"/>
      <c r="CM82" s="862"/>
      <c r="CN82" s="73">
        <f t="shared" si="302"/>
        <v>0</v>
      </c>
    </row>
    <row r="83" spans="1:98" s="37" customFormat="1" ht="24.75" customHeight="1" x14ac:dyDescent="0.2">
      <c r="A83" s="28"/>
      <c r="B83" s="653" t="s">
        <v>89</v>
      </c>
      <c r="C83" s="29" t="s">
        <v>24</v>
      </c>
      <c r="D83" s="147">
        <v>40</v>
      </c>
      <c r="E83" s="147">
        <v>40</v>
      </c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1">
        <f>SUM(E83:P83)</f>
        <v>40</v>
      </c>
      <c r="R83" s="594" t="s">
        <v>31</v>
      </c>
      <c r="S83" s="595">
        <v>10300</v>
      </c>
      <c r="T83" s="628">
        <v>9000</v>
      </c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629">
        <f t="shared" si="303"/>
        <v>412000</v>
      </c>
      <c r="AG83" s="70">
        <f t="shared" si="304"/>
        <v>360000</v>
      </c>
      <c r="AH83" s="70">
        <f t="shared" si="305"/>
        <v>0</v>
      </c>
      <c r="AI83" s="70">
        <f t="shared" si="306"/>
        <v>0</v>
      </c>
      <c r="AJ83" s="70">
        <f t="shared" si="307"/>
        <v>0</v>
      </c>
      <c r="AK83" s="70">
        <f t="shared" si="308"/>
        <v>0</v>
      </c>
      <c r="AL83" s="70">
        <f t="shared" si="309"/>
        <v>0</v>
      </c>
      <c r="AM83" s="70">
        <f t="shared" si="310"/>
        <v>0</v>
      </c>
      <c r="AN83" s="70">
        <f t="shared" si="311"/>
        <v>0</v>
      </c>
      <c r="AO83" s="70">
        <f t="shared" si="312"/>
        <v>0</v>
      </c>
      <c r="AP83" s="70">
        <f t="shared" si="313"/>
        <v>0</v>
      </c>
      <c r="AQ83" s="70">
        <f t="shared" si="314"/>
        <v>0</v>
      </c>
      <c r="AR83" s="70">
        <f t="shared" si="315"/>
        <v>0</v>
      </c>
      <c r="AS83" s="71">
        <f>SUM(AG83:AR83)</f>
        <v>360000</v>
      </c>
      <c r="AT83" s="70">
        <f>SUM(AG83*4%)</f>
        <v>14400</v>
      </c>
      <c r="AU83" s="70">
        <f t="shared" si="316"/>
        <v>0</v>
      </c>
      <c r="AV83" s="70">
        <f t="shared" si="317"/>
        <v>0</v>
      </c>
      <c r="AW83" s="70">
        <f t="shared" si="318"/>
        <v>0</v>
      </c>
      <c r="AX83" s="70">
        <f t="shared" si="319"/>
        <v>0</v>
      </c>
      <c r="AY83" s="70">
        <f t="shared" si="320"/>
        <v>0</v>
      </c>
      <c r="AZ83" s="70">
        <f t="shared" si="321"/>
        <v>0</v>
      </c>
      <c r="BA83" s="70">
        <f t="shared" si="322"/>
        <v>0</v>
      </c>
      <c r="BB83" s="70">
        <f t="shared" si="323"/>
        <v>0</v>
      </c>
      <c r="BC83" s="70">
        <f t="shared" si="324"/>
        <v>0</v>
      </c>
      <c r="BD83" s="70">
        <f t="shared" si="325"/>
        <v>0</v>
      </c>
      <c r="BE83" s="70">
        <f t="shared" si="326"/>
        <v>0</v>
      </c>
      <c r="BF83" s="72">
        <f t="shared" si="327"/>
        <v>14400</v>
      </c>
      <c r="BG83" s="73">
        <f>AF83-AS83-BF83</f>
        <v>37600</v>
      </c>
      <c r="BH83" s="74">
        <f>S83*D83</f>
        <v>412000</v>
      </c>
      <c r="BI83" s="75">
        <f t="shared" si="328"/>
        <v>37600</v>
      </c>
      <c r="BJ83" s="630">
        <f>SUM(Q83/D83)</f>
        <v>1</v>
      </c>
      <c r="BK83" s="1081"/>
      <c r="BL83" s="1081"/>
      <c r="BM83" s="1083"/>
      <c r="BN83" s="1084"/>
      <c r="BO83" s="862"/>
      <c r="BP83" s="862"/>
      <c r="BQ83" s="862"/>
      <c r="BR83" s="862"/>
      <c r="BS83" s="862"/>
      <c r="BT83" s="862"/>
      <c r="BU83" s="862"/>
      <c r="BV83" s="862"/>
      <c r="BW83" s="1081">
        <f t="shared" si="300"/>
        <v>0</v>
      </c>
      <c r="BX83" s="862"/>
      <c r="BY83" s="862"/>
      <c r="BZ83" s="862"/>
      <c r="CA83" s="73">
        <f t="shared" si="329"/>
        <v>0</v>
      </c>
      <c r="CB83" s="862"/>
      <c r="CC83" s="862"/>
      <c r="CD83" s="862"/>
      <c r="CE83" s="862"/>
      <c r="CF83" s="862"/>
      <c r="CG83" s="862"/>
      <c r="CH83" s="862"/>
      <c r="CI83" s="862"/>
      <c r="CJ83" s="1081"/>
      <c r="CK83" s="862"/>
      <c r="CL83" s="862"/>
      <c r="CM83" s="862"/>
      <c r="CN83" s="1081">
        <f t="shared" ref="CN83" si="330">SUM(BR83-CI83)</f>
        <v>0</v>
      </c>
    </row>
    <row r="84" spans="1:98" s="37" customFormat="1" ht="24.75" customHeight="1" x14ac:dyDescent="0.2">
      <c r="A84" s="28"/>
      <c r="B84" s="653" t="s">
        <v>219</v>
      </c>
      <c r="C84" s="29" t="s">
        <v>24</v>
      </c>
      <c r="D84" s="147">
        <v>40</v>
      </c>
      <c r="E84" s="147">
        <v>40</v>
      </c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1">
        <f t="shared" ref="Q84:Q85" si="331">SUM(E84:P84)</f>
        <v>40</v>
      </c>
      <c r="R84" s="594" t="s">
        <v>31</v>
      </c>
      <c r="S84" s="595">
        <v>28500</v>
      </c>
      <c r="T84" s="628">
        <v>25000</v>
      </c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629">
        <f t="shared" si="303"/>
        <v>1140000</v>
      </c>
      <c r="AG84" s="70">
        <f t="shared" si="304"/>
        <v>1000000</v>
      </c>
      <c r="AH84" s="70">
        <f t="shared" si="305"/>
        <v>0</v>
      </c>
      <c r="AI84" s="70">
        <f t="shared" si="306"/>
        <v>0</v>
      </c>
      <c r="AJ84" s="70">
        <f t="shared" si="307"/>
        <v>0</v>
      </c>
      <c r="AK84" s="70">
        <f t="shared" si="308"/>
        <v>0</v>
      </c>
      <c r="AL84" s="70">
        <f t="shared" si="309"/>
        <v>0</v>
      </c>
      <c r="AM84" s="70">
        <f t="shared" si="310"/>
        <v>0</v>
      </c>
      <c r="AN84" s="70">
        <f t="shared" si="311"/>
        <v>0</v>
      </c>
      <c r="AO84" s="70">
        <f t="shared" si="312"/>
        <v>0</v>
      </c>
      <c r="AP84" s="70">
        <f t="shared" si="313"/>
        <v>0</v>
      </c>
      <c r="AQ84" s="70">
        <f t="shared" si="314"/>
        <v>0</v>
      </c>
      <c r="AR84" s="70">
        <f t="shared" si="315"/>
        <v>0</v>
      </c>
      <c r="AS84" s="71">
        <f t="shared" ref="AS84:AS85" si="332">SUM(AG84:AR84)</f>
        <v>1000000</v>
      </c>
      <c r="AT84" s="70">
        <f>SUM(AG84*4%)</f>
        <v>40000</v>
      </c>
      <c r="AU84" s="70">
        <f t="shared" si="316"/>
        <v>0</v>
      </c>
      <c r="AV84" s="70">
        <f t="shared" si="317"/>
        <v>0</v>
      </c>
      <c r="AW84" s="70">
        <f t="shared" si="318"/>
        <v>0</v>
      </c>
      <c r="AX84" s="70">
        <f t="shared" si="319"/>
        <v>0</v>
      </c>
      <c r="AY84" s="70">
        <f t="shared" si="320"/>
        <v>0</v>
      </c>
      <c r="AZ84" s="70">
        <f t="shared" si="321"/>
        <v>0</v>
      </c>
      <c r="BA84" s="70">
        <f t="shared" si="322"/>
        <v>0</v>
      </c>
      <c r="BB84" s="70">
        <f t="shared" si="323"/>
        <v>0</v>
      </c>
      <c r="BC84" s="70">
        <f t="shared" si="324"/>
        <v>0</v>
      </c>
      <c r="BD84" s="70">
        <f t="shared" si="325"/>
        <v>0</v>
      </c>
      <c r="BE84" s="70">
        <f t="shared" si="326"/>
        <v>0</v>
      </c>
      <c r="BF84" s="72">
        <f t="shared" si="327"/>
        <v>40000</v>
      </c>
      <c r="BG84" s="73">
        <f t="shared" ref="BG84:BG85" si="333">AF84-AS84-BF84</f>
        <v>100000</v>
      </c>
      <c r="BH84" s="74">
        <f t="shared" ref="BH84:BH85" si="334">S84*D84</f>
        <v>1140000</v>
      </c>
      <c r="BI84" s="75">
        <f t="shared" si="328"/>
        <v>100000</v>
      </c>
      <c r="BJ84" s="630">
        <f t="shared" ref="BJ84:BJ85" si="335">SUM(Q84/D84)</f>
        <v>1</v>
      </c>
      <c r="BK84" s="1081"/>
      <c r="BL84" s="1081"/>
      <c r="BM84" s="1083"/>
      <c r="BN84" s="1084"/>
      <c r="BO84" s="862"/>
      <c r="BP84" s="862"/>
      <c r="BQ84" s="862"/>
      <c r="BR84" s="862"/>
      <c r="BS84" s="862"/>
      <c r="BT84" s="862"/>
      <c r="BU84" s="862"/>
      <c r="BV84" s="862"/>
      <c r="BW84" s="1081">
        <f t="shared" ref="BW84:BW87" si="336">SUM(AN84*12.5%)</f>
        <v>0</v>
      </c>
      <c r="BX84" s="862"/>
      <c r="BY84" s="862"/>
      <c r="BZ84" s="862"/>
      <c r="CA84" s="73">
        <f t="shared" ref="CA84:CA87" si="337">SUM(BO84:BZ84)</f>
        <v>0</v>
      </c>
      <c r="CB84" s="862"/>
      <c r="CC84" s="862"/>
      <c r="CD84" s="862"/>
      <c r="CE84" s="862"/>
      <c r="CF84" s="862"/>
      <c r="CG84" s="862"/>
      <c r="CH84" s="862"/>
      <c r="CI84" s="862"/>
      <c r="CJ84" s="1081"/>
      <c r="CK84" s="862"/>
      <c r="CL84" s="862"/>
      <c r="CM84" s="862"/>
      <c r="CN84" s="1081">
        <f t="shared" ref="CN84:CN87" si="338">SUM(BR84-CI84)</f>
        <v>0</v>
      </c>
    </row>
    <row r="85" spans="1:98" s="37" customFormat="1" ht="24.75" customHeight="1" x14ac:dyDescent="0.2">
      <c r="A85" s="28"/>
      <c r="B85" s="653" t="s">
        <v>32</v>
      </c>
      <c r="C85" s="29" t="s">
        <v>24</v>
      </c>
      <c r="D85" s="147">
        <v>2</v>
      </c>
      <c r="E85" s="147">
        <v>2</v>
      </c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1">
        <f t="shared" si="331"/>
        <v>2</v>
      </c>
      <c r="R85" s="594" t="s">
        <v>16</v>
      </c>
      <c r="S85" s="595">
        <v>35000</v>
      </c>
      <c r="T85" s="628">
        <v>30000</v>
      </c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629">
        <f t="shared" si="303"/>
        <v>70000</v>
      </c>
      <c r="AG85" s="70">
        <f t="shared" si="304"/>
        <v>60000</v>
      </c>
      <c r="AH85" s="70">
        <f t="shared" si="305"/>
        <v>0</v>
      </c>
      <c r="AI85" s="70">
        <f t="shared" si="306"/>
        <v>0</v>
      </c>
      <c r="AJ85" s="70">
        <f t="shared" si="307"/>
        <v>0</v>
      </c>
      <c r="AK85" s="70">
        <f t="shared" si="308"/>
        <v>0</v>
      </c>
      <c r="AL85" s="70">
        <f t="shared" si="309"/>
        <v>0</v>
      </c>
      <c r="AM85" s="70">
        <f t="shared" si="310"/>
        <v>0</v>
      </c>
      <c r="AN85" s="70">
        <f t="shared" si="311"/>
        <v>0</v>
      </c>
      <c r="AO85" s="70">
        <f t="shared" si="312"/>
        <v>0</v>
      </c>
      <c r="AP85" s="70">
        <f t="shared" si="313"/>
        <v>0</v>
      </c>
      <c r="AQ85" s="70">
        <f t="shared" si="314"/>
        <v>0</v>
      </c>
      <c r="AR85" s="70">
        <f t="shared" si="315"/>
        <v>0</v>
      </c>
      <c r="AS85" s="71">
        <f t="shared" si="332"/>
        <v>60000</v>
      </c>
      <c r="AT85" s="70">
        <f>SUM(AG85*4%)</f>
        <v>2400</v>
      </c>
      <c r="AU85" s="70">
        <f t="shared" si="316"/>
        <v>0</v>
      </c>
      <c r="AV85" s="70">
        <f t="shared" si="317"/>
        <v>0</v>
      </c>
      <c r="AW85" s="70">
        <f t="shared" si="318"/>
        <v>0</v>
      </c>
      <c r="AX85" s="70">
        <f t="shared" si="319"/>
        <v>0</v>
      </c>
      <c r="AY85" s="70">
        <f t="shared" si="320"/>
        <v>0</v>
      </c>
      <c r="AZ85" s="70">
        <f t="shared" si="321"/>
        <v>0</v>
      </c>
      <c r="BA85" s="70">
        <f t="shared" si="322"/>
        <v>0</v>
      </c>
      <c r="BB85" s="70">
        <f t="shared" si="323"/>
        <v>0</v>
      </c>
      <c r="BC85" s="70">
        <f t="shared" si="324"/>
        <v>0</v>
      </c>
      <c r="BD85" s="70">
        <f t="shared" si="325"/>
        <v>0</v>
      </c>
      <c r="BE85" s="70">
        <f t="shared" si="326"/>
        <v>0</v>
      </c>
      <c r="BF85" s="72">
        <f t="shared" si="327"/>
        <v>2400</v>
      </c>
      <c r="BG85" s="73">
        <f t="shared" si="333"/>
        <v>7600</v>
      </c>
      <c r="BH85" s="74">
        <f t="shared" si="334"/>
        <v>70000</v>
      </c>
      <c r="BI85" s="75">
        <f t="shared" si="328"/>
        <v>7600</v>
      </c>
      <c r="BJ85" s="630">
        <f t="shared" si="335"/>
        <v>1</v>
      </c>
      <c r="BK85" s="1081"/>
      <c r="BL85" s="1081"/>
      <c r="BM85" s="1083"/>
      <c r="BN85" s="1084"/>
      <c r="BO85" s="862"/>
      <c r="BP85" s="862"/>
      <c r="BQ85" s="862"/>
      <c r="BR85" s="862"/>
      <c r="BS85" s="862"/>
      <c r="BT85" s="862"/>
      <c r="BU85" s="862"/>
      <c r="BV85" s="862"/>
      <c r="BW85" s="1081">
        <f t="shared" si="336"/>
        <v>0</v>
      </c>
      <c r="BX85" s="862"/>
      <c r="BY85" s="862"/>
      <c r="BZ85" s="862"/>
      <c r="CA85" s="73">
        <f t="shared" si="337"/>
        <v>0</v>
      </c>
      <c r="CB85" s="862"/>
      <c r="CC85" s="862"/>
      <c r="CD85" s="862"/>
      <c r="CE85" s="862"/>
      <c r="CF85" s="862"/>
      <c r="CG85" s="862"/>
      <c r="CH85" s="862"/>
      <c r="CI85" s="862"/>
      <c r="CJ85" s="1081"/>
      <c r="CK85" s="862"/>
      <c r="CL85" s="862"/>
      <c r="CM85" s="862"/>
      <c r="CN85" s="1081">
        <f t="shared" si="338"/>
        <v>0</v>
      </c>
    </row>
    <row r="86" spans="1:98" s="37" customFormat="1" ht="24.75" customHeight="1" thickBot="1" x14ac:dyDescent="0.25">
      <c r="A86" s="28"/>
      <c r="B86" s="653" t="s">
        <v>424</v>
      </c>
      <c r="C86" s="29" t="s">
        <v>24</v>
      </c>
      <c r="D86" s="147">
        <v>6</v>
      </c>
      <c r="E86" s="625">
        <v>4</v>
      </c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1">
        <f>SUM(E86:P86)</f>
        <v>4</v>
      </c>
      <c r="R86" s="594" t="s">
        <v>35</v>
      </c>
      <c r="S86" s="595">
        <v>250000</v>
      </c>
      <c r="T86" s="642">
        <v>250000</v>
      </c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629">
        <f t="shared" ref="AF86" si="339">SUM(Q86*S86)</f>
        <v>1000000</v>
      </c>
      <c r="AG86" s="70">
        <f t="shared" ref="AG86" si="340">T86*E86</f>
        <v>1000000</v>
      </c>
      <c r="AH86" s="70">
        <f t="shared" ref="AH86" si="341">U86*F86</f>
        <v>0</v>
      </c>
      <c r="AI86" s="70">
        <f t="shared" ref="AI86" si="342">V86*G86</f>
        <v>0</v>
      </c>
      <c r="AJ86" s="70">
        <f t="shared" ref="AJ86" si="343">W86*H86</f>
        <v>0</v>
      </c>
      <c r="AK86" s="70">
        <f t="shared" ref="AK86" si="344">X86*I86</f>
        <v>0</v>
      </c>
      <c r="AL86" s="70">
        <f t="shared" ref="AL86" si="345">Y86*J86</f>
        <v>0</v>
      </c>
      <c r="AM86" s="70">
        <f t="shared" ref="AM86" si="346">Z86*K86</f>
        <v>0</v>
      </c>
      <c r="AN86" s="70">
        <f t="shared" ref="AN86" si="347">AA86*L86</f>
        <v>0</v>
      </c>
      <c r="AO86" s="70">
        <f t="shared" ref="AO86" si="348">AB86*M86</f>
        <v>0</v>
      </c>
      <c r="AP86" s="70">
        <f t="shared" ref="AP86" si="349">AC86*N86</f>
        <v>0</v>
      </c>
      <c r="AQ86" s="70">
        <f t="shared" ref="AQ86" si="350">AD86*O86</f>
        <v>0</v>
      </c>
      <c r="AR86" s="70">
        <f t="shared" ref="AR86" si="351">AE86*P86</f>
        <v>0</v>
      </c>
      <c r="AS86" s="71">
        <f>SUM(AG86:AR86)</f>
        <v>1000000</v>
      </c>
      <c r="AT86" s="70"/>
      <c r="AU86" s="70">
        <f t="shared" ref="AU86" si="352">SUM(AH86*14%)</f>
        <v>0</v>
      </c>
      <c r="AV86" s="70">
        <f t="shared" ref="AV86" si="353">SUM(AI86*14%)</f>
        <v>0</v>
      </c>
      <c r="AW86" s="70">
        <f t="shared" ref="AW86" si="354">SUM(AJ86*14%)</f>
        <v>0</v>
      </c>
      <c r="AX86" s="70">
        <f t="shared" ref="AX86" si="355">SUM(AK86*14%)</f>
        <v>0</v>
      </c>
      <c r="AY86" s="70">
        <f t="shared" ref="AY86" si="356">SUM(AL86*14%)</f>
        <v>0</v>
      </c>
      <c r="AZ86" s="70">
        <f t="shared" ref="AZ86" si="357">SUM(AM86*14%)</f>
        <v>0</v>
      </c>
      <c r="BA86" s="70">
        <f t="shared" ref="BA86" si="358">SUM(AN86*14%)</f>
        <v>0</v>
      </c>
      <c r="BB86" s="70">
        <f t="shared" ref="BB86" si="359">SUM(AO86*14%)</f>
        <v>0</v>
      </c>
      <c r="BC86" s="70">
        <f t="shared" ref="BC86" si="360">SUM(AP86*14%)</f>
        <v>0</v>
      </c>
      <c r="BD86" s="70">
        <f t="shared" ref="BD86" si="361">SUM(AQ86*14%)</f>
        <v>0</v>
      </c>
      <c r="BE86" s="70">
        <f t="shared" ref="BE86" si="362">SUM(AR86*14%)</f>
        <v>0</v>
      </c>
      <c r="BF86" s="72">
        <f t="shared" ref="BF86" si="363">SUM(AT86:BE86)</f>
        <v>0</v>
      </c>
      <c r="BG86" s="73">
        <f>AF86-AS86-BF86</f>
        <v>0</v>
      </c>
      <c r="BH86" s="74">
        <f>S86*D86</f>
        <v>1500000</v>
      </c>
      <c r="BI86" s="75">
        <f t="shared" ref="BI86" si="364">BH86-AS86-BF86</f>
        <v>500000</v>
      </c>
      <c r="BJ86" s="630">
        <f>SUM(Q86/D86)</f>
        <v>0.66666666666666663</v>
      </c>
      <c r="BK86" s="1081"/>
      <c r="BL86" s="1081"/>
      <c r="BM86" s="1083"/>
      <c r="BN86" s="1084"/>
      <c r="BO86" s="862"/>
      <c r="BP86" s="862"/>
      <c r="BQ86" s="862"/>
      <c r="BR86" s="862"/>
      <c r="BS86" s="862"/>
      <c r="BT86" s="862"/>
      <c r="BU86" s="862"/>
      <c r="BV86" s="862"/>
      <c r="BW86" s="1081">
        <f t="shared" si="336"/>
        <v>0</v>
      </c>
      <c r="BX86" s="862"/>
      <c r="BY86" s="862"/>
      <c r="BZ86" s="862"/>
      <c r="CA86" s="73">
        <f t="shared" si="337"/>
        <v>0</v>
      </c>
      <c r="CB86" s="862"/>
      <c r="CC86" s="862"/>
      <c r="CD86" s="862"/>
      <c r="CE86" s="862"/>
      <c r="CF86" s="862"/>
      <c r="CG86" s="862"/>
      <c r="CH86" s="862"/>
      <c r="CI86" s="862"/>
      <c r="CJ86" s="1081"/>
      <c r="CK86" s="862"/>
      <c r="CL86" s="862"/>
      <c r="CM86" s="862"/>
      <c r="CN86" s="1081">
        <f t="shared" si="338"/>
        <v>0</v>
      </c>
    </row>
    <row r="87" spans="1:98" s="38" customFormat="1" ht="24.75" customHeight="1" thickBot="1" x14ac:dyDescent="0.25">
      <c r="A87" s="577">
        <v>8</v>
      </c>
      <c r="B87" s="44" t="s">
        <v>4</v>
      </c>
      <c r="C87" s="44"/>
      <c r="D87" s="45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7"/>
      <c r="R87" s="77"/>
      <c r="S87" s="45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78">
        <f>SUM(AF81:AF86)</f>
        <v>3048000</v>
      </c>
      <c r="AG87" s="78">
        <f>SUM(AG81:AG86)</f>
        <v>2800000</v>
      </c>
      <c r="AH87" s="78">
        <f t="shared" ref="AH87:BE87" si="365">SUM(AH81:AH83)</f>
        <v>0</v>
      </c>
      <c r="AI87" s="78">
        <f t="shared" si="365"/>
        <v>0</v>
      </c>
      <c r="AJ87" s="78">
        <f t="shared" si="365"/>
        <v>0</v>
      </c>
      <c r="AK87" s="78">
        <f t="shared" si="365"/>
        <v>0</v>
      </c>
      <c r="AL87" s="78">
        <f t="shared" si="365"/>
        <v>0</v>
      </c>
      <c r="AM87" s="78">
        <f t="shared" si="365"/>
        <v>0</v>
      </c>
      <c r="AN87" s="78">
        <f t="shared" si="365"/>
        <v>0</v>
      </c>
      <c r="AO87" s="78">
        <f t="shared" si="365"/>
        <v>0</v>
      </c>
      <c r="AP87" s="78">
        <f t="shared" si="365"/>
        <v>0</v>
      </c>
      <c r="AQ87" s="78">
        <f t="shared" si="365"/>
        <v>0</v>
      </c>
      <c r="AR87" s="78">
        <f t="shared" si="365"/>
        <v>0</v>
      </c>
      <c r="AS87" s="78">
        <f>SUM(AS81:AS86)</f>
        <v>2800000</v>
      </c>
      <c r="AT87" s="78">
        <f>SUM(AT81:AT86)</f>
        <v>72000</v>
      </c>
      <c r="AU87" s="78">
        <f t="shared" si="365"/>
        <v>0</v>
      </c>
      <c r="AV87" s="78">
        <f t="shared" si="365"/>
        <v>0</v>
      </c>
      <c r="AW87" s="78">
        <f t="shared" si="365"/>
        <v>0</v>
      </c>
      <c r="AX87" s="78">
        <f t="shared" si="365"/>
        <v>0</v>
      </c>
      <c r="AY87" s="78">
        <f t="shared" si="365"/>
        <v>0</v>
      </c>
      <c r="AZ87" s="78">
        <f t="shared" si="365"/>
        <v>0</v>
      </c>
      <c r="BA87" s="78">
        <f t="shared" si="365"/>
        <v>0</v>
      </c>
      <c r="BB87" s="78">
        <f t="shared" si="365"/>
        <v>0</v>
      </c>
      <c r="BC87" s="78">
        <f t="shared" si="365"/>
        <v>0</v>
      </c>
      <c r="BD87" s="78">
        <f t="shared" si="365"/>
        <v>0</v>
      </c>
      <c r="BE87" s="78">
        <f t="shared" si="365"/>
        <v>0</v>
      </c>
      <c r="BF87" s="78">
        <f>SUM(BF80:BF86)</f>
        <v>72000</v>
      </c>
      <c r="BG87" s="79">
        <f>AF87-AS87-BF87</f>
        <v>176000</v>
      </c>
      <c r="BH87" s="78">
        <f>SUM(BH81:BH86)</f>
        <v>3548000</v>
      </c>
      <c r="BI87" s="78">
        <f>SUM(BI81:BI86)</f>
        <v>676000</v>
      </c>
      <c r="BJ87" s="164">
        <v>1</v>
      </c>
      <c r="BK87" s="1083"/>
      <c r="BL87" s="1083"/>
      <c r="BM87" s="1083"/>
      <c r="BN87" s="1084"/>
      <c r="BO87" s="862"/>
      <c r="BP87" s="862"/>
      <c r="BQ87" s="862"/>
      <c r="BR87" s="862"/>
      <c r="BS87" s="862"/>
      <c r="BT87" s="862"/>
      <c r="BU87" s="862"/>
      <c r="BV87" s="862"/>
      <c r="BW87" s="1081">
        <f t="shared" si="336"/>
        <v>0</v>
      </c>
      <c r="BX87" s="862"/>
      <c r="BY87" s="862"/>
      <c r="BZ87" s="862"/>
      <c r="CA87" s="73">
        <f t="shared" si="337"/>
        <v>0</v>
      </c>
      <c r="CB87" s="862"/>
      <c r="CC87" s="862"/>
      <c r="CD87" s="862"/>
      <c r="CE87" s="862"/>
      <c r="CF87" s="862"/>
      <c r="CG87" s="862"/>
      <c r="CH87" s="862"/>
      <c r="CI87" s="862"/>
      <c r="CJ87" s="1081"/>
      <c r="CK87" s="862"/>
      <c r="CL87" s="862"/>
      <c r="CM87" s="862"/>
      <c r="CN87" s="1081">
        <f t="shared" si="338"/>
        <v>0</v>
      </c>
    </row>
    <row r="88" spans="1:98" s="20" customFormat="1" ht="24.75" customHeight="1" x14ac:dyDescent="0.2">
      <c r="A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AE88" s="40"/>
      <c r="AS88" s="51"/>
      <c r="BF88" s="52">
        <f>SUM(AS87+BF87)</f>
        <v>2872000</v>
      </c>
      <c r="BG88" s="53">
        <f>AF87-AS87-BF87</f>
        <v>176000</v>
      </c>
      <c r="BH88" s="54">
        <f>SUM(BI87+AS87+BF87)</f>
        <v>3548000</v>
      </c>
      <c r="BI88" s="55">
        <f>SUM(BG87)</f>
        <v>176000</v>
      </c>
      <c r="BJ88" s="40" t="s">
        <v>38</v>
      </c>
      <c r="BK88" s="171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</row>
    <row r="89" spans="1:98" s="20" customFormat="1" ht="24.75" customHeight="1" x14ac:dyDescent="0.2">
      <c r="A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AE89" s="40"/>
      <c r="AS89" s="40"/>
      <c r="AT89" s="388">
        <f>SUM(AG87+AT87)</f>
        <v>2872000</v>
      </c>
      <c r="AU89" s="388">
        <f t="shared" ref="AU89" si="366">SUM(AH87+AU87)</f>
        <v>0</v>
      </c>
      <c r="AV89" s="388">
        <f t="shared" ref="AV89" si="367">SUM(AI87+AV87)</f>
        <v>0</v>
      </c>
      <c r="AW89" s="388">
        <f t="shared" ref="AW89" si="368">SUM(AJ87+AW87)</f>
        <v>0</v>
      </c>
      <c r="AX89" s="388">
        <f t="shared" ref="AX89" si="369">SUM(AK87+AX87)</f>
        <v>0</v>
      </c>
      <c r="AY89" s="388">
        <f t="shared" ref="AY89" si="370">SUM(AL87+AY87)</f>
        <v>0</v>
      </c>
      <c r="AZ89" s="388">
        <f t="shared" ref="AZ89" si="371">SUM(AM87+AZ87)</f>
        <v>0</v>
      </c>
      <c r="BA89" s="388">
        <f t="shared" ref="BA89" si="372">SUM(AN87+BA87)</f>
        <v>0</v>
      </c>
      <c r="BB89" s="388">
        <f t="shared" ref="BB89" si="373">SUM(AO87+BB87)</f>
        <v>0</v>
      </c>
      <c r="BC89" s="388">
        <f t="shared" ref="BC89" si="374">SUM(AP87+BC87)</f>
        <v>0</v>
      </c>
      <c r="BD89" s="388">
        <f t="shared" ref="BD89" si="375">SUM(AQ87+BD87)</f>
        <v>0</v>
      </c>
      <c r="BE89" s="388">
        <f t="shared" ref="BE89" si="376">SUM(AR87+BE87)</f>
        <v>0</v>
      </c>
      <c r="BF89" s="388">
        <f>SUM(AT89:BE89)</f>
        <v>2872000</v>
      </c>
      <c r="BG89" s="40"/>
      <c r="BH89" s="56"/>
      <c r="BI89" s="57">
        <f>SUM(BI87-BI88)</f>
        <v>500000</v>
      </c>
      <c r="BJ89" s="40" t="s">
        <v>37</v>
      </c>
      <c r="BK89" s="171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</row>
    <row r="90" spans="1:98" s="20" customFormat="1" ht="16.5" customHeight="1" x14ac:dyDescent="0.2">
      <c r="A90" s="1730" t="s">
        <v>8</v>
      </c>
      <c r="B90" s="1731"/>
      <c r="C90" s="124" t="s">
        <v>425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7"/>
      <c r="AF90" s="23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8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8"/>
      <c r="BG90" s="138"/>
      <c r="BH90" s="135"/>
      <c r="BI90" s="139"/>
      <c r="BJ90" s="23"/>
      <c r="BK90" s="169"/>
      <c r="BL90" s="136"/>
      <c r="BM90" s="136"/>
      <c r="BN90" s="136"/>
      <c r="BO90" s="136"/>
      <c r="BP90" s="137"/>
      <c r="BQ90" s="136"/>
      <c r="BR90" s="136"/>
      <c r="BS90" s="136"/>
      <c r="BT90" s="136"/>
      <c r="BU90" s="136"/>
      <c r="BV90" s="138"/>
      <c r="BW90" s="138"/>
      <c r="BX90" s="138"/>
      <c r="BY90" s="135"/>
      <c r="BZ90" s="139"/>
      <c r="CA90" s="138"/>
      <c r="CB90" s="138"/>
      <c r="CC90" s="24"/>
      <c r="CD90" s="24"/>
      <c r="CE90" s="24"/>
      <c r="CF90" s="24"/>
      <c r="CG90" s="24"/>
      <c r="CH90" s="140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</row>
    <row r="91" spans="1:98" s="8" customFormat="1" ht="48.75" customHeight="1" x14ac:dyDescent="0.2">
      <c r="A91" s="1703" t="s">
        <v>10</v>
      </c>
      <c r="B91" s="1706" t="s">
        <v>11</v>
      </c>
      <c r="C91" s="1706" t="s">
        <v>22</v>
      </c>
      <c r="D91" s="1721" t="s">
        <v>12</v>
      </c>
      <c r="E91" s="1721"/>
      <c r="F91" s="1721"/>
      <c r="G91" s="1721"/>
      <c r="H91" s="1721"/>
      <c r="I91" s="1721"/>
      <c r="J91" s="1721"/>
      <c r="K91" s="1721"/>
      <c r="L91" s="1721"/>
      <c r="M91" s="1721"/>
      <c r="N91" s="1721"/>
      <c r="O91" s="1721"/>
      <c r="P91" s="1721"/>
      <c r="Q91" s="1721"/>
      <c r="R91" s="1706" t="s">
        <v>20</v>
      </c>
      <c r="S91" s="1717" t="s">
        <v>17</v>
      </c>
      <c r="T91" s="1718"/>
      <c r="U91" s="1718"/>
      <c r="V91" s="1718"/>
      <c r="W91" s="1718"/>
      <c r="X91" s="1718"/>
      <c r="Y91" s="1718"/>
      <c r="Z91" s="1718"/>
      <c r="AA91" s="1718"/>
      <c r="AB91" s="1718"/>
      <c r="AC91" s="1718"/>
      <c r="AD91" s="1718"/>
      <c r="AE91" s="1719"/>
      <c r="AF91" s="1720" t="s">
        <v>6</v>
      </c>
      <c r="AG91" s="1720"/>
      <c r="AH91" s="1720"/>
      <c r="AI91" s="1720"/>
      <c r="AJ91" s="1720"/>
      <c r="AK91" s="1720"/>
      <c r="AL91" s="1720"/>
      <c r="AM91" s="1720"/>
      <c r="AN91" s="1720"/>
      <c r="AO91" s="1720"/>
      <c r="AP91" s="1720"/>
      <c r="AQ91" s="1720"/>
      <c r="AR91" s="1720"/>
      <c r="AS91" s="1720"/>
      <c r="AT91" s="1722" t="s">
        <v>41</v>
      </c>
      <c r="AU91" s="1723"/>
      <c r="AV91" s="1723"/>
      <c r="AW91" s="1723"/>
      <c r="AX91" s="1723"/>
      <c r="AY91" s="1723"/>
      <c r="AZ91" s="1723"/>
      <c r="BA91" s="1723"/>
      <c r="BB91" s="1723"/>
      <c r="BC91" s="1723"/>
      <c r="BD91" s="1723"/>
      <c r="BE91" s="1723"/>
      <c r="BF91" s="1724"/>
      <c r="BG91" s="1706" t="s">
        <v>38</v>
      </c>
      <c r="BH91" s="1706" t="s">
        <v>256</v>
      </c>
      <c r="BI91" s="1709" t="s">
        <v>39</v>
      </c>
      <c r="BJ91" s="135"/>
      <c r="BK91" s="135"/>
      <c r="BL91" s="135"/>
      <c r="BM91" s="135"/>
      <c r="BN91" s="135"/>
      <c r="BO91" s="1733" t="s">
        <v>41</v>
      </c>
      <c r="BP91" s="1734"/>
      <c r="BQ91" s="1734"/>
      <c r="BR91" s="1734"/>
      <c r="BS91" s="1734"/>
      <c r="BT91" s="1734"/>
      <c r="BU91" s="1734"/>
      <c r="BV91" s="1734"/>
      <c r="BW91" s="1734"/>
      <c r="BX91" s="1734"/>
      <c r="BY91" s="1734"/>
      <c r="BZ91" s="1734"/>
      <c r="CA91" s="1734"/>
      <c r="CB91" s="1734"/>
      <c r="CC91" s="1734"/>
      <c r="CD91" s="1734"/>
      <c r="CE91" s="1734"/>
      <c r="CF91" s="1734"/>
      <c r="CG91" s="1734"/>
      <c r="CH91" s="1734"/>
      <c r="CI91" s="1734"/>
      <c r="CJ91" s="1734"/>
      <c r="CK91" s="1734"/>
      <c r="CL91" s="1734"/>
      <c r="CM91" s="1734"/>
      <c r="CN91" s="1735"/>
    </row>
    <row r="92" spans="1:98" s="8" customFormat="1" ht="48.75" customHeight="1" x14ac:dyDescent="0.2">
      <c r="A92" s="1704"/>
      <c r="B92" s="1707"/>
      <c r="C92" s="1707"/>
      <c r="D92" s="1712" t="s">
        <v>18</v>
      </c>
      <c r="E92" s="1714" t="s">
        <v>19</v>
      </c>
      <c r="F92" s="1715"/>
      <c r="G92" s="1715"/>
      <c r="H92" s="1715"/>
      <c r="I92" s="1715"/>
      <c r="J92" s="1715"/>
      <c r="K92" s="1715"/>
      <c r="L92" s="1715"/>
      <c r="M92" s="1715"/>
      <c r="N92" s="1715"/>
      <c r="O92" s="1715"/>
      <c r="P92" s="1715"/>
      <c r="Q92" s="1715"/>
      <c r="R92" s="1707"/>
      <c r="S92" s="1712" t="s">
        <v>18</v>
      </c>
      <c r="T92" s="1714" t="s">
        <v>19</v>
      </c>
      <c r="U92" s="1715"/>
      <c r="V92" s="1715"/>
      <c r="W92" s="1715"/>
      <c r="X92" s="1715"/>
      <c r="Y92" s="1715"/>
      <c r="Z92" s="1715"/>
      <c r="AA92" s="1715"/>
      <c r="AB92" s="1715"/>
      <c r="AC92" s="1715"/>
      <c r="AD92" s="1715"/>
      <c r="AE92" s="1716"/>
      <c r="AF92" s="1712" t="s">
        <v>18</v>
      </c>
      <c r="AG92" s="1714" t="s">
        <v>19</v>
      </c>
      <c r="AH92" s="1715"/>
      <c r="AI92" s="1715"/>
      <c r="AJ92" s="1715"/>
      <c r="AK92" s="1715"/>
      <c r="AL92" s="1715"/>
      <c r="AM92" s="1715"/>
      <c r="AN92" s="1715"/>
      <c r="AO92" s="1715"/>
      <c r="AP92" s="1715"/>
      <c r="AQ92" s="1715"/>
      <c r="AR92" s="1715"/>
      <c r="AS92" s="1716"/>
      <c r="AT92" s="1725"/>
      <c r="AU92" s="1726"/>
      <c r="AV92" s="1726"/>
      <c r="AW92" s="1726"/>
      <c r="AX92" s="1726"/>
      <c r="AY92" s="1726"/>
      <c r="AZ92" s="1726"/>
      <c r="BA92" s="1726"/>
      <c r="BB92" s="1726"/>
      <c r="BC92" s="1726"/>
      <c r="BD92" s="1726"/>
      <c r="BE92" s="1726"/>
      <c r="BF92" s="1727"/>
      <c r="BG92" s="1707"/>
      <c r="BH92" s="1707"/>
      <c r="BI92" s="1710"/>
      <c r="BJ92" s="135"/>
      <c r="BK92" s="1736">
        <f>SUM(BK94/60)</f>
        <v>0</v>
      </c>
      <c r="BL92" s="1736"/>
      <c r="BM92" s="1736"/>
      <c r="BN92" s="23"/>
      <c r="BO92" s="1737" t="s">
        <v>686</v>
      </c>
      <c r="BP92" s="1738"/>
      <c r="BQ92" s="1738"/>
      <c r="BR92" s="1738"/>
      <c r="BS92" s="1738"/>
      <c r="BT92" s="1738"/>
      <c r="BU92" s="1738"/>
      <c r="BV92" s="1738"/>
      <c r="BW92" s="1738"/>
      <c r="BX92" s="1738"/>
      <c r="BY92" s="1738"/>
      <c r="BZ92" s="1738"/>
      <c r="CA92" s="1739"/>
      <c r="CB92" s="1740" t="s">
        <v>687</v>
      </c>
      <c r="CC92" s="1741"/>
      <c r="CD92" s="1741"/>
      <c r="CE92" s="1741"/>
      <c r="CF92" s="1741"/>
      <c r="CG92" s="1741"/>
      <c r="CH92" s="1741"/>
      <c r="CI92" s="1741"/>
      <c r="CJ92" s="1741"/>
      <c r="CK92" s="1741"/>
      <c r="CL92" s="1741"/>
      <c r="CM92" s="1741"/>
      <c r="CN92" s="1742"/>
    </row>
    <row r="93" spans="1:98" s="6" customFormat="1" ht="28.5" customHeight="1" x14ac:dyDescent="0.2">
      <c r="A93" s="1705"/>
      <c r="B93" s="1708"/>
      <c r="C93" s="1708"/>
      <c r="D93" s="1713"/>
      <c r="E93" s="26">
        <v>1</v>
      </c>
      <c r="F93" s="26">
        <v>2</v>
      </c>
      <c r="G93" s="26">
        <v>3</v>
      </c>
      <c r="H93" s="26">
        <v>4</v>
      </c>
      <c r="I93" s="26">
        <v>5</v>
      </c>
      <c r="J93" s="26">
        <v>6</v>
      </c>
      <c r="K93" s="26">
        <v>7</v>
      </c>
      <c r="L93" s="26">
        <v>8</v>
      </c>
      <c r="M93" s="26">
        <v>9</v>
      </c>
      <c r="N93" s="26">
        <v>10</v>
      </c>
      <c r="O93" s="26">
        <v>11</v>
      </c>
      <c r="P93" s="26">
        <v>12</v>
      </c>
      <c r="Q93" s="26" t="s">
        <v>21</v>
      </c>
      <c r="R93" s="1708"/>
      <c r="S93" s="1713"/>
      <c r="T93" s="26">
        <v>1</v>
      </c>
      <c r="U93" s="26">
        <v>2</v>
      </c>
      <c r="V93" s="26">
        <v>3</v>
      </c>
      <c r="W93" s="26">
        <v>4</v>
      </c>
      <c r="X93" s="26">
        <v>5</v>
      </c>
      <c r="Y93" s="26">
        <v>6</v>
      </c>
      <c r="Z93" s="26">
        <v>7</v>
      </c>
      <c r="AA93" s="26">
        <v>8</v>
      </c>
      <c r="AB93" s="26">
        <v>9</v>
      </c>
      <c r="AC93" s="26">
        <v>10</v>
      </c>
      <c r="AD93" s="26">
        <v>11</v>
      </c>
      <c r="AE93" s="26">
        <v>12</v>
      </c>
      <c r="AF93" s="1713"/>
      <c r="AG93" s="26">
        <v>1</v>
      </c>
      <c r="AH93" s="26">
        <v>2</v>
      </c>
      <c r="AI93" s="26">
        <v>3</v>
      </c>
      <c r="AJ93" s="26">
        <v>4</v>
      </c>
      <c r="AK93" s="26">
        <v>5</v>
      </c>
      <c r="AL93" s="26">
        <v>6</v>
      </c>
      <c r="AM93" s="26">
        <v>7</v>
      </c>
      <c r="AN93" s="26">
        <v>8</v>
      </c>
      <c r="AO93" s="26">
        <v>9</v>
      </c>
      <c r="AP93" s="26">
        <v>10</v>
      </c>
      <c r="AQ93" s="26">
        <v>11</v>
      </c>
      <c r="AR93" s="26">
        <v>12</v>
      </c>
      <c r="AS93" s="26" t="s">
        <v>13</v>
      </c>
      <c r="AT93" s="173">
        <v>1</v>
      </c>
      <c r="AU93" s="173">
        <v>2</v>
      </c>
      <c r="AV93" s="173">
        <v>3</v>
      </c>
      <c r="AW93" s="173">
        <v>4</v>
      </c>
      <c r="AX93" s="173">
        <v>5</v>
      </c>
      <c r="AY93" s="173">
        <v>6</v>
      </c>
      <c r="AZ93" s="173">
        <v>7</v>
      </c>
      <c r="BA93" s="173">
        <v>8</v>
      </c>
      <c r="BB93" s="173">
        <v>9</v>
      </c>
      <c r="BC93" s="173">
        <v>10</v>
      </c>
      <c r="BD93" s="173">
        <v>11</v>
      </c>
      <c r="BE93" s="173">
        <v>12</v>
      </c>
      <c r="BF93" s="26" t="s">
        <v>13</v>
      </c>
      <c r="BG93" s="1708"/>
      <c r="BH93" s="1708"/>
      <c r="BI93" s="1711"/>
      <c r="BJ93" s="7"/>
      <c r="BK93" s="1743" t="s">
        <v>19</v>
      </c>
      <c r="BL93" s="1744"/>
      <c r="BM93" s="1745"/>
      <c r="BN93" s="621"/>
      <c r="BO93" s="173">
        <v>1</v>
      </c>
      <c r="BP93" s="173">
        <v>2</v>
      </c>
      <c r="BQ93" s="173">
        <v>3</v>
      </c>
      <c r="BR93" s="173">
        <v>4</v>
      </c>
      <c r="BS93" s="173">
        <v>5</v>
      </c>
      <c r="BT93" s="173">
        <v>6</v>
      </c>
      <c r="BU93" s="173">
        <v>7</v>
      </c>
      <c r="BV93" s="173">
        <v>8</v>
      </c>
      <c r="BW93" s="173">
        <v>9</v>
      </c>
      <c r="BX93" s="173">
        <v>10</v>
      </c>
      <c r="BY93" s="173">
        <v>11</v>
      </c>
      <c r="BZ93" s="173">
        <v>12</v>
      </c>
      <c r="CA93" s="26" t="s">
        <v>13</v>
      </c>
      <c r="CB93" s="173">
        <v>1</v>
      </c>
      <c r="CC93" s="173">
        <v>2</v>
      </c>
      <c r="CD93" s="173">
        <v>3</v>
      </c>
      <c r="CE93" s="173">
        <v>4</v>
      </c>
      <c r="CF93" s="173">
        <v>5</v>
      </c>
      <c r="CG93" s="173">
        <v>6</v>
      </c>
      <c r="CH93" s="173">
        <v>7</v>
      </c>
      <c r="CI93" s="173">
        <v>8</v>
      </c>
      <c r="CJ93" s="173">
        <v>9</v>
      </c>
      <c r="CK93" s="173">
        <v>10</v>
      </c>
      <c r="CL93" s="173">
        <v>11</v>
      </c>
      <c r="CM93" s="173">
        <v>12</v>
      </c>
      <c r="CN93" s="26" t="s">
        <v>13</v>
      </c>
    </row>
    <row r="94" spans="1:98" s="7" customFormat="1" ht="24.75" customHeight="1" x14ac:dyDescent="0.2">
      <c r="A94" s="41"/>
      <c r="B94" s="199" t="s">
        <v>426</v>
      </c>
      <c r="C94" s="29"/>
      <c r="D94" s="189"/>
      <c r="E94" s="82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1"/>
      <c r="R94" s="197"/>
      <c r="S94" s="196"/>
      <c r="T94" s="84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69">
        <f>SUM(S94*E94)</f>
        <v>0</v>
      </c>
      <c r="AG94" s="70">
        <f t="shared" ref="AG94:AG101" si="377">T94*E94</f>
        <v>0</v>
      </c>
      <c r="AH94" s="70">
        <f t="shared" ref="AH94:AH101" si="378">U94*F94</f>
        <v>0</v>
      </c>
      <c r="AI94" s="70">
        <f t="shared" ref="AI94:AI101" si="379">V94*G94</f>
        <v>0</v>
      </c>
      <c r="AJ94" s="70">
        <f t="shared" ref="AJ94:AR101" si="380">W94*H94</f>
        <v>0</v>
      </c>
      <c r="AK94" s="70">
        <f t="shared" si="380"/>
        <v>0</v>
      </c>
      <c r="AL94" s="70">
        <f t="shared" si="380"/>
        <v>0</v>
      </c>
      <c r="AM94" s="70">
        <f t="shared" si="380"/>
        <v>0</v>
      </c>
      <c r="AN94" s="70">
        <f t="shared" si="380"/>
        <v>0</v>
      </c>
      <c r="AO94" s="70">
        <f t="shared" si="380"/>
        <v>0</v>
      </c>
      <c r="AP94" s="70">
        <f t="shared" si="380"/>
        <v>0</v>
      </c>
      <c r="AQ94" s="70">
        <f t="shared" si="380"/>
        <v>0</v>
      </c>
      <c r="AR94" s="70">
        <f t="shared" si="380"/>
        <v>0</v>
      </c>
      <c r="AS94" s="71">
        <f t="shared" ref="AS94:AS101" si="381">SUM(AG94:AR94)</f>
        <v>0</v>
      </c>
      <c r="AT94" s="70">
        <f>AG94*R94</f>
        <v>0</v>
      </c>
      <c r="AU94" s="70">
        <f>AH94*S94</f>
        <v>0</v>
      </c>
      <c r="AV94" s="70">
        <f>AI94*T94</f>
        <v>0</v>
      </c>
      <c r="AW94" s="70">
        <f t="shared" ref="AW94:BE94" si="382">AJ94*U94</f>
        <v>0</v>
      </c>
      <c r="AX94" s="70">
        <f t="shared" si="382"/>
        <v>0</v>
      </c>
      <c r="AY94" s="70">
        <f t="shared" si="382"/>
        <v>0</v>
      </c>
      <c r="AZ94" s="70">
        <f t="shared" si="382"/>
        <v>0</v>
      </c>
      <c r="BA94" s="70">
        <f t="shared" si="382"/>
        <v>0</v>
      </c>
      <c r="BB94" s="70">
        <f t="shared" si="382"/>
        <v>0</v>
      </c>
      <c r="BC94" s="70">
        <f t="shared" si="382"/>
        <v>0</v>
      </c>
      <c r="BD94" s="70">
        <f t="shared" si="382"/>
        <v>0</v>
      </c>
      <c r="BE94" s="70">
        <f t="shared" si="382"/>
        <v>0</v>
      </c>
      <c r="BF94" s="72"/>
      <c r="BG94" s="73">
        <f>AF94-AS94-BF94</f>
        <v>0</v>
      </c>
      <c r="BH94" s="74">
        <f t="shared" ref="BH94:BH101" si="383">S94*D94</f>
        <v>0</v>
      </c>
      <c r="BI94" s="75">
        <f t="shared" ref="BI94:BI98" si="384">BH94-AS94-BF94</f>
        <v>0</v>
      </c>
      <c r="BJ94" s="166"/>
      <c r="BK94" s="1081"/>
      <c r="BL94" s="1081"/>
      <c r="BM94" s="1083"/>
      <c r="BN94" s="1084"/>
      <c r="BO94" s="862"/>
      <c r="BP94" s="862"/>
      <c r="BQ94" s="862"/>
      <c r="BR94" s="862"/>
      <c r="BS94" s="862"/>
      <c r="BT94" s="862"/>
      <c r="BU94" s="862"/>
      <c r="BV94" s="862"/>
      <c r="BW94" s="1081">
        <f t="shared" ref="BW94:BW98" si="385">SUM(AN94*12.5%)</f>
        <v>0</v>
      </c>
      <c r="BX94" s="862"/>
      <c r="BY94" s="862"/>
      <c r="BZ94" s="862"/>
      <c r="CA94" s="73">
        <f t="shared" ref="CA94" si="386">SUM(BO94:BZ94)</f>
        <v>0</v>
      </c>
      <c r="CB94" s="862"/>
      <c r="CC94" s="862"/>
      <c r="CD94" s="862"/>
      <c r="CE94" s="862"/>
      <c r="CF94" s="862"/>
      <c r="CG94" s="862"/>
      <c r="CH94" s="862"/>
      <c r="CI94" s="862"/>
      <c r="CJ94" s="1081"/>
      <c r="CK94" s="862"/>
      <c r="CL94" s="862"/>
      <c r="CM94" s="862"/>
      <c r="CN94" s="73">
        <f t="shared" ref="CN94:CN96" si="387">SUM(CB94:CM94)</f>
        <v>0</v>
      </c>
    </row>
    <row r="95" spans="1:98" s="7" customFormat="1" ht="24.75" customHeight="1" x14ac:dyDescent="0.2">
      <c r="A95" s="41">
        <v>1</v>
      </c>
      <c r="B95" s="653" t="s">
        <v>429</v>
      </c>
      <c r="C95" s="29" t="s">
        <v>290</v>
      </c>
      <c r="D95" s="147">
        <v>40</v>
      </c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1">
        <f t="shared" ref="Q95:Q101" si="388">SUM(E95:P95)</f>
        <v>0</v>
      </c>
      <c r="R95" s="594" t="s">
        <v>2</v>
      </c>
      <c r="S95" s="595">
        <v>5700</v>
      </c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69">
        <f t="shared" ref="AF95:AF98" si="389">SUM(Q95*S95)</f>
        <v>0</v>
      </c>
      <c r="AG95" s="70">
        <f>T95*E95</f>
        <v>0</v>
      </c>
      <c r="AH95" s="70">
        <f t="shared" si="378"/>
        <v>0</v>
      </c>
      <c r="AI95" s="70">
        <f t="shared" si="379"/>
        <v>0</v>
      </c>
      <c r="AJ95" s="70">
        <f t="shared" si="380"/>
        <v>0</v>
      </c>
      <c r="AK95" s="70">
        <f t="shared" si="380"/>
        <v>0</v>
      </c>
      <c r="AL95" s="70">
        <f t="shared" si="380"/>
        <v>0</v>
      </c>
      <c r="AM95" s="70">
        <f t="shared" si="380"/>
        <v>0</v>
      </c>
      <c r="AN95" s="70">
        <f t="shared" si="380"/>
        <v>0</v>
      </c>
      <c r="AO95" s="70">
        <f t="shared" si="380"/>
        <v>0</v>
      </c>
      <c r="AP95" s="70">
        <f t="shared" si="380"/>
        <v>0</v>
      </c>
      <c r="AQ95" s="70">
        <f t="shared" si="380"/>
        <v>0</v>
      </c>
      <c r="AR95" s="70">
        <f t="shared" si="380"/>
        <v>0</v>
      </c>
      <c r="AS95" s="71">
        <f t="shared" si="381"/>
        <v>0</v>
      </c>
      <c r="AT95" s="70">
        <f>SUM(AG95*4%)</f>
        <v>0</v>
      </c>
      <c r="AU95" s="70">
        <f t="shared" ref="AU95:AU97" si="390">SUM(AH95*14%)</f>
        <v>0</v>
      </c>
      <c r="AV95" s="70">
        <f>SUM(AI95*4%)</f>
        <v>0</v>
      </c>
      <c r="AW95" s="70">
        <f t="shared" ref="AW95:BE98" si="391">SUM(AJ95*14%)</f>
        <v>0</v>
      </c>
      <c r="AX95" s="70">
        <f t="shared" si="391"/>
        <v>0</v>
      </c>
      <c r="AY95" s="70">
        <f t="shared" si="391"/>
        <v>0</v>
      </c>
      <c r="AZ95" s="70">
        <f t="shared" si="391"/>
        <v>0</v>
      </c>
      <c r="BA95" s="70">
        <f t="shared" si="391"/>
        <v>0</v>
      </c>
      <c r="BB95" s="70">
        <f t="shared" si="391"/>
        <v>0</v>
      </c>
      <c r="BC95" s="70">
        <f t="shared" si="391"/>
        <v>0</v>
      </c>
      <c r="BD95" s="70">
        <f t="shared" si="391"/>
        <v>0</v>
      </c>
      <c r="BE95" s="70">
        <f t="shared" si="391"/>
        <v>0</v>
      </c>
      <c r="BF95" s="72">
        <f t="shared" ref="BF95:BF98" si="392">SUM(AT95:BE95)</f>
        <v>0</v>
      </c>
      <c r="BG95" s="73">
        <f t="shared" ref="BG95:BG102" si="393">AF95-AS95-BF95</f>
        <v>0</v>
      </c>
      <c r="BH95" s="74">
        <f t="shared" si="383"/>
        <v>228000</v>
      </c>
      <c r="BI95" s="75">
        <f t="shared" si="384"/>
        <v>228000</v>
      </c>
      <c r="BJ95" s="163">
        <f t="shared" ref="BJ95:BJ102" si="394">SUM(Q95/D95)</f>
        <v>0</v>
      </c>
      <c r="BK95" s="1081"/>
      <c r="BL95" s="1081"/>
      <c r="BM95" s="1083"/>
      <c r="BN95" s="1084"/>
      <c r="BO95" s="862"/>
      <c r="BP95" s="862"/>
      <c r="BQ95" s="862"/>
      <c r="BR95" s="862"/>
      <c r="BS95" s="862"/>
      <c r="BT95" s="862"/>
      <c r="BU95" s="862"/>
      <c r="BV95" s="862"/>
      <c r="BW95" s="1081">
        <f t="shared" si="385"/>
        <v>0</v>
      </c>
      <c r="BX95" s="862"/>
      <c r="BY95" s="862"/>
      <c r="BZ95" s="862"/>
      <c r="CA95" s="73">
        <f t="shared" ref="CA95:CA98" si="395">SUM(BO95:BZ95)</f>
        <v>0</v>
      </c>
      <c r="CB95" s="862"/>
      <c r="CC95" s="862"/>
      <c r="CD95" s="862"/>
      <c r="CE95" s="862"/>
      <c r="CF95" s="862"/>
      <c r="CG95" s="862"/>
      <c r="CH95" s="862"/>
      <c r="CI95" s="862"/>
      <c r="CJ95" s="1081"/>
      <c r="CK95" s="862"/>
      <c r="CL95" s="862"/>
      <c r="CM95" s="862"/>
      <c r="CN95" s="73">
        <f t="shared" si="387"/>
        <v>0</v>
      </c>
    </row>
    <row r="96" spans="1:98" s="7" customFormat="1" ht="24.75" customHeight="1" x14ac:dyDescent="0.2">
      <c r="A96" s="41">
        <v>2</v>
      </c>
      <c r="B96" s="653" t="s">
        <v>423</v>
      </c>
      <c r="C96" s="29" t="s">
        <v>290</v>
      </c>
      <c r="D96" s="147">
        <v>2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1">
        <f t="shared" si="388"/>
        <v>0</v>
      </c>
      <c r="R96" s="594" t="s">
        <v>0</v>
      </c>
      <c r="S96" s="595">
        <v>49500</v>
      </c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69">
        <f t="shared" si="389"/>
        <v>0</v>
      </c>
      <c r="AG96" s="70">
        <f t="shared" si="377"/>
        <v>0</v>
      </c>
      <c r="AH96" s="70">
        <f t="shared" si="378"/>
        <v>0</v>
      </c>
      <c r="AI96" s="70">
        <f t="shared" si="379"/>
        <v>0</v>
      </c>
      <c r="AJ96" s="70">
        <f t="shared" si="380"/>
        <v>0</v>
      </c>
      <c r="AK96" s="70">
        <f t="shared" si="380"/>
        <v>0</v>
      </c>
      <c r="AL96" s="70">
        <f t="shared" si="380"/>
        <v>0</v>
      </c>
      <c r="AM96" s="70">
        <f t="shared" si="380"/>
        <v>0</v>
      </c>
      <c r="AN96" s="70">
        <f t="shared" si="380"/>
        <v>0</v>
      </c>
      <c r="AO96" s="70">
        <f t="shared" si="380"/>
        <v>0</v>
      </c>
      <c r="AP96" s="70">
        <f t="shared" si="380"/>
        <v>0</v>
      </c>
      <c r="AQ96" s="70">
        <f t="shared" si="380"/>
        <v>0</v>
      </c>
      <c r="AR96" s="70">
        <f t="shared" si="380"/>
        <v>0</v>
      </c>
      <c r="AS96" s="71">
        <f t="shared" si="381"/>
        <v>0</v>
      </c>
      <c r="AT96" s="70">
        <f>SUM(AG96*4%)</f>
        <v>0</v>
      </c>
      <c r="AU96" s="70">
        <f t="shared" si="390"/>
        <v>0</v>
      </c>
      <c r="AV96" s="70">
        <f>SUM(AI96*4%)</f>
        <v>0</v>
      </c>
      <c r="AW96" s="70">
        <f t="shared" si="391"/>
        <v>0</v>
      </c>
      <c r="AX96" s="70">
        <f t="shared" si="391"/>
        <v>0</v>
      </c>
      <c r="AY96" s="70">
        <f t="shared" si="391"/>
        <v>0</v>
      </c>
      <c r="AZ96" s="70">
        <f t="shared" si="391"/>
        <v>0</v>
      </c>
      <c r="BA96" s="70">
        <f t="shared" si="391"/>
        <v>0</v>
      </c>
      <c r="BB96" s="70">
        <f t="shared" si="391"/>
        <v>0</v>
      </c>
      <c r="BC96" s="70">
        <f t="shared" si="391"/>
        <v>0</v>
      </c>
      <c r="BD96" s="70">
        <f t="shared" si="391"/>
        <v>0</v>
      </c>
      <c r="BE96" s="70">
        <f t="shared" si="391"/>
        <v>0</v>
      </c>
      <c r="BF96" s="72">
        <f t="shared" si="392"/>
        <v>0</v>
      </c>
      <c r="BG96" s="73">
        <f t="shared" si="393"/>
        <v>0</v>
      </c>
      <c r="BH96" s="74">
        <f t="shared" si="383"/>
        <v>99000</v>
      </c>
      <c r="BI96" s="75">
        <f t="shared" si="384"/>
        <v>99000</v>
      </c>
      <c r="BJ96" s="163">
        <f t="shared" si="394"/>
        <v>0</v>
      </c>
      <c r="BK96" s="1081"/>
      <c r="BL96" s="1081"/>
      <c r="BM96" s="1083"/>
      <c r="BN96" s="1084"/>
      <c r="BO96" s="862"/>
      <c r="BP96" s="862"/>
      <c r="BQ96" s="862"/>
      <c r="BR96" s="862"/>
      <c r="BS96" s="862"/>
      <c r="BT96" s="862"/>
      <c r="BU96" s="862"/>
      <c r="BV96" s="862"/>
      <c r="BW96" s="1081">
        <f t="shared" si="385"/>
        <v>0</v>
      </c>
      <c r="BX96" s="862"/>
      <c r="BY96" s="862"/>
      <c r="BZ96" s="862"/>
      <c r="CA96" s="73">
        <f t="shared" si="395"/>
        <v>0</v>
      </c>
      <c r="CB96" s="862"/>
      <c r="CC96" s="862"/>
      <c r="CD96" s="862"/>
      <c r="CE96" s="862"/>
      <c r="CF96" s="862"/>
      <c r="CG96" s="862"/>
      <c r="CH96" s="862"/>
      <c r="CI96" s="862"/>
      <c r="CJ96" s="1081"/>
      <c r="CK96" s="862"/>
      <c r="CL96" s="862"/>
      <c r="CM96" s="862"/>
      <c r="CN96" s="73">
        <f t="shared" si="387"/>
        <v>0</v>
      </c>
    </row>
    <row r="97" spans="1:98" s="7" customFormat="1" ht="24.75" customHeight="1" x14ac:dyDescent="0.2">
      <c r="A97" s="41">
        <v>3</v>
      </c>
      <c r="B97" s="653" t="s">
        <v>614</v>
      </c>
      <c r="C97" s="29" t="s">
        <v>290</v>
      </c>
      <c r="D97" s="147">
        <v>40</v>
      </c>
      <c r="E97" s="30">
        <v>40</v>
      </c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1">
        <f t="shared" si="388"/>
        <v>40</v>
      </c>
      <c r="R97" s="594" t="s">
        <v>31</v>
      </c>
      <c r="S97" s="595">
        <v>10300</v>
      </c>
      <c r="T97" s="33">
        <v>9000</v>
      </c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69">
        <f t="shared" si="389"/>
        <v>412000</v>
      </c>
      <c r="AG97" s="70">
        <f t="shared" si="377"/>
        <v>360000</v>
      </c>
      <c r="AH97" s="70">
        <f t="shared" si="378"/>
        <v>0</v>
      </c>
      <c r="AI97" s="70">
        <f t="shared" si="379"/>
        <v>0</v>
      </c>
      <c r="AJ97" s="70">
        <f t="shared" si="380"/>
        <v>0</v>
      </c>
      <c r="AK97" s="70">
        <f t="shared" si="380"/>
        <v>0</v>
      </c>
      <c r="AL97" s="70">
        <f t="shared" si="380"/>
        <v>0</v>
      </c>
      <c r="AM97" s="70">
        <f t="shared" si="380"/>
        <v>0</v>
      </c>
      <c r="AN97" s="70">
        <f t="shared" si="380"/>
        <v>0</v>
      </c>
      <c r="AO97" s="70">
        <f t="shared" si="380"/>
        <v>0</v>
      </c>
      <c r="AP97" s="70">
        <f t="shared" si="380"/>
        <v>0</v>
      </c>
      <c r="AQ97" s="70">
        <f t="shared" si="380"/>
        <v>0</v>
      </c>
      <c r="AR97" s="70">
        <f t="shared" si="380"/>
        <v>0</v>
      </c>
      <c r="AS97" s="71">
        <f t="shared" si="381"/>
        <v>360000</v>
      </c>
      <c r="AT97" s="70">
        <f t="shared" ref="AT97:AT100" si="396">SUM(AG97*4%)</f>
        <v>14400</v>
      </c>
      <c r="AU97" s="70">
        <f t="shared" si="390"/>
        <v>0</v>
      </c>
      <c r="AV97" s="70">
        <f>SUM(AI97*4%)</f>
        <v>0</v>
      </c>
      <c r="AW97" s="70">
        <f t="shared" si="391"/>
        <v>0</v>
      </c>
      <c r="AX97" s="70">
        <f t="shared" si="391"/>
        <v>0</v>
      </c>
      <c r="AY97" s="70">
        <f t="shared" si="391"/>
        <v>0</v>
      </c>
      <c r="AZ97" s="70">
        <f t="shared" si="391"/>
        <v>0</v>
      </c>
      <c r="BA97" s="70">
        <f t="shared" si="391"/>
        <v>0</v>
      </c>
      <c r="BB97" s="70">
        <f t="shared" si="391"/>
        <v>0</v>
      </c>
      <c r="BC97" s="70">
        <f t="shared" si="391"/>
        <v>0</v>
      </c>
      <c r="BD97" s="70">
        <f t="shared" si="391"/>
        <v>0</v>
      </c>
      <c r="BE97" s="70">
        <f t="shared" si="391"/>
        <v>0</v>
      </c>
      <c r="BF97" s="72">
        <f t="shared" si="392"/>
        <v>14400</v>
      </c>
      <c r="BG97" s="73">
        <f t="shared" si="393"/>
        <v>37600</v>
      </c>
      <c r="BH97" s="74">
        <f t="shared" si="383"/>
        <v>412000</v>
      </c>
      <c r="BI97" s="75">
        <f t="shared" si="384"/>
        <v>37600</v>
      </c>
      <c r="BJ97" s="163">
        <f t="shared" si="394"/>
        <v>1</v>
      </c>
      <c r="BK97" s="1081"/>
      <c r="BL97" s="1081"/>
      <c r="BM97" s="1083"/>
      <c r="BN97" s="1084"/>
      <c r="BO97" s="862"/>
      <c r="BP97" s="862"/>
      <c r="BQ97" s="862"/>
      <c r="BR97" s="862"/>
      <c r="BS97" s="862"/>
      <c r="BT97" s="862"/>
      <c r="BU97" s="862"/>
      <c r="BV97" s="862"/>
      <c r="BW97" s="1081">
        <f t="shared" si="385"/>
        <v>0</v>
      </c>
      <c r="BX97" s="862"/>
      <c r="BY97" s="862"/>
      <c r="BZ97" s="862"/>
      <c r="CA97" s="73">
        <f t="shared" si="395"/>
        <v>0</v>
      </c>
      <c r="CB97" s="862"/>
      <c r="CC97" s="862"/>
      <c r="CD97" s="862"/>
      <c r="CE97" s="862"/>
      <c r="CF97" s="862"/>
      <c r="CG97" s="862"/>
      <c r="CH97" s="862"/>
      <c r="CI97" s="862"/>
      <c r="CJ97" s="1081"/>
      <c r="CK97" s="862"/>
      <c r="CL97" s="862"/>
      <c r="CM97" s="862"/>
      <c r="CN97" s="1081">
        <f t="shared" ref="CN97:CN98" si="397">SUM(BR97-CI97)</f>
        <v>0</v>
      </c>
    </row>
    <row r="98" spans="1:98" s="7" customFormat="1" ht="24.75" customHeight="1" x14ac:dyDescent="0.2">
      <c r="A98" s="41">
        <v>4</v>
      </c>
      <c r="B98" s="653" t="s">
        <v>615</v>
      </c>
      <c r="C98" s="29" t="s">
        <v>290</v>
      </c>
      <c r="D98" s="147">
        <v>40</v>
      </c>
      <c r="E98" s="30">
        <v>40</v>
      </c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1">
        <f t="shared" si="388"/>
        <v>40</v>
      </c>
      <c r="R98" s="594" t="s">
        <v>31</v>
      </c>
      <c r="S98" s="595">
        <v>28500</v>
      </c>
      <c r="T98" s="33">
        <v>25000</v>
      </c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69">
        <f t="shared" si="389"/>
        <v>1140000</v>
      </c>
      <c r="AG98" s="70">
        <f t="shared" si="377"/>
        <v>1000000</v>
      </c>
      <c r="AH98" s="70">
        <f t="shared" si="378"/>
        <v>0</v>
      </c>
      <c r="AI98" s="70">
        <f t="shared" si="379"/>
        <v>0</v>
      </c>
      <c r="AJ98" s="70">
        <f t="shared" si="380"/>
        <v>0</v>
      </c>
      <c r="AK98" s="70">
        <f t="shared" si="380"/>
        <v>0</v>
      </c>
      <c r="AL98" s="70">
        <f t="shared" si="380"/>
        <v>0</v>
      </c>
      <c r="AM98" s="70">
        <f t="shared" si="380"/>
        <v>0</v>
      </c>
      <c r="AN98" s="70">
        <f t="shared" si="380"/>
        <v>0</v>
      </c>
      <c r="AO98" s="70">
        <f t="shared" si="380"/>
        <v>0</v>
      </c>
      <c r="AP98" s="70">
        <f t="shared" si="380"/>
        <v>0</v>
      </c>
      <c r="AQ98" s="70">
        <f t="shared" si="380"/>
        <v>0</v>
      </c>
      <c r="AR98" s="70">
        <f t="shared" si="380"/>
        <v>0</v>
      </c>
      <c r="AS98" s="71">
        <f t="shared" si="381"/>
        <v>1000000</v>
      </c>
      <c r="AT98" s="70">
        <f t="shared" si="396"/>
        <v>40000</v>
      </c>
      <c r="AU98" s="70">
        <f t="shared" ref="AU98:AV98" si="398">SUM(AH98*15%)</f>
        <v>0</v>
      </c>
      <c r="AV98" s="70">
        <f t="shared" si="398"/>
        <v>0</v>
      </c>
      <c r="AW98" s="70">
        <f t="shared" si="391"/>
        <v>0</v>
      </c>
      <c r="AX98" s="70">
        <f t="shared" si="391"/>
        <v>0</v>
      </c>
      <c r="AY98" s="70">
        <f t="shared" si="391"/>
        <v>0</v>
      </c>
      <c r="AZ98" s="70">
        <f t="shared" si="391"/>
        <v>0</v>
      </c>
      <c r="BA98" s="70">
        <f t="shared" si="391"/>
        <v>0</v>
      </c>
      <c r="BB98" s="70">
        <f t="shared" si="391"/>
        <v>0</v>
      </c>
      <c r="BC98" s="70">
        <f t="shared" si="391"/>
        <v>0</v>
      </c>
      <c r="BD98" s="70">
        <f t="shared" si="391"/>
        <v>0</v>
      </c>
      <c r="BE98" s="70">
        <f t="shared" si="391"/>
        <v>0</v>
      </c>
      <c r="BF98" s="72">
        <f t="shared" si="392"/>
        <v>40000</v>
      </c>
      <c r="BG98" s="73">
        <f t="shared" si="393"/>
        <v>100000</v>
      </c>
      <c r="BH98" s="74">
        <f t="shared" si="383"/>
        <v>1140000</v>
      </c>
      <c r="BI98" s="75">
        <f t="shared" si="384"/>
        <v>100000</v>
      </c>
      <c r="BJ98" s="163">
        <f t="shared" si="394"/>
        <v>1</v>
      </c>
      <c r="BK98" s="1081"/>
      <c r="BL98" s="1081"/>
      <c r="BM98" s="1083"/>
      <c r="BN98" s="1084"/>
      <c r="BO98" s="862"/>
      <c r="BP98" s="862"/>
      <c r="BQ98" s="862"/>
      <c r="BR98" s="862"/>
      <c r="BS98" s="862"/>
      <c r="BT98" s="862"/>
      <c r="BU98" s="862"/>
      <c r="BV98" s="862"/>
      <c r="BW98" s="1081">
        <f t="shared" si="385"/>
        <v>0</v>
      </c>
      <c r="BX98" s="862"/>
      <c r="BY98" s="862"/>
      <c r="BZ98" s="862"/>
      <c r="CA98" s="73">
        <f t="shared" si="395"/>
        <v>0</v>
      </c>
      <c r="CB98" s="862"/>
      <c r="CC98" s="862"/>
      <c r="CD98" s="862"/>
      <c r="CE98" s="862"/>
      <c r="CF98" s="862"/>
      <c r="CG98" s="862"/>
      <c r="CH98" s="862"/>
      <c r="CI98" s="862"/>
      <c r="CJ98" s="1081"/>
      <c r="CK98" s="862"/>
      <c r="CL98" s="862"/>
      <c r="CM98" s="862"/>
      <c r="CN98" s="1081">
        <f t="shared" si="397"/>
        <v>0</v>
      </c>
    </row>
    <row r="99" spans="1:98" s="7" customFormat="1" ht="24.75" customHeight="1" x14ac:dyDescent="0.2">
      <c r="A99" s="41">
        <v>5</v>
      </c>
      <c r="B99" s="653" t="s">
        <v>430</v>
      </c>
      <c r="C99" s="29" t="s">
        <v>290</v>
      </c>
      <c r="D99" s="147">
        <v>1</v>
      </c>
      <c r="E99" s="30">
        <v>1</v>
      </c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1">
        <f t="shared" si="388"/>
        <v>1</v>
      </c>
      <c r="R99" s="594" t="s">
        <v>2</v>
      </c>
      <c r="S99" s="595">
        <v>15000</v>
      </c>
      <c r="T99" s="33">
        <v>12000</v>
      </c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69">
        <f t="shared" ref="AF99:AF101" si="399">SUM(Q99*S99)</f>
        <v>15000</v>
      </c>
      <c r="AG99" s="70">
        <f t="shared" si="377"/>
        <v>12000</v>
      </c>
      <c r="AH99" s="70">
        <f t="shared" si="378"/>
        <v>0</v>
      </c>
      <c r="AI99" s="70">
        <f t="shared" si="379"/>
        <v>0</v>
      </c>
      <c r="AJ99" s="70">
        <f t="shared" si="380"/>
        <v>0</v>
      </c>
      <c r="AK99" s="70">
        <f t="shared" si="380"/>
        <v>0</v>
      </c>
      <c r="AL99" s="70">
        <f t="shared" si="380"/>
        <v>0</v>
      </c>
      <c r="AM99" s="70">
        <f t="shared" si="380"/>
        <v>0</v>
      </c>
      <c r="AN99" s="70">
        <f t="shared" si="380"/>
        <v>0</v>
      </c>
      <c r="AO99" s="70">
        <f t="shared" si="380"/>
        <v>0</v>
      </c>
      <c r="AP99" s="70">
        <f t="shared" si="380"/>
        <v>0</v>
      </c>
      <c r="AQ99" s="70">
        <f t="shared" si="380"/>
        <v>0</v>
      </c>
      <c r="AR99" s="70">
        <f t="shared" si="380"/>
        <v>0</v>
      </c>
      <c r="AS99" s="71">
        <f t="shared" si="381"/>
        <v>12000</v>
      </c>
      <c r="AT99" s="70">
        <f t="shared" si="396"/>
        <v>480</v>
      </c>
      <c r="AU99" s="70">
        <f t="shared" ref="AU99:AU101" si="400">SUM(AH99*14%)</f>
        <v>0</v>
      </c>
      <c r="AV99" s="70">
        <f>SUM(AI99*4%)</f>
        <v>0</v>
      </c>
      <c r="AW99" s="70">
        <f t="shared" ref="AW99:BE101" si="401">SUM(AJ99*14%)</f>
        <v>0</v>
      </c>
      <c r="AX99" s="70">
        <f t="shared" si="401"/>
        <v>0</v>
      </c>
      <c r="AY99" s="70">
        <f t="shared" si="401"/>
        <v>0</v>
      </c>
      <c r="AZ99" s="70">
        <f t="shared" si="401"/>
        <v>0</v>
      </c>
      <c r="BA99" s="70">
        <f t="shared" si="401"/>
        <v>0</v>
      </c>
      <c r="BB99" s="70">
        <f t="shared" si="401"/>
        <v>0</v>
      </c>
      <c r="BC99" s="70">
        <f t="shared" si="401"/>
        <v>0</v>
      </c>
      <c r="BD99" s="70">
        <f t="shared" si="401"/>
        <v>0</v>
      </c>
      <c r="BE99" s="70">
        <f t="shared" si="401"/>
        <v>0</v>
      </c>
      <c r="BF99" s="72">
        <f t="shared" ref="BF99:BF101" si="402">SUM(AT99:BE99)</f>
        <v>480</v>
      </c>
      <c r="BG99" s="73">
        <f>AF99-AS99-BF99</f>
        <v>2520</v>
      </c>
      <c r="BH99" s="74">
        <f t="shared" si="383"/>
        <v>15000</v>
      </c>
      <c r="BI99" s="75">
        <f t="shared" ref="BI99:BI100" si="403">BH99-AS99-BF99</f>
        <v>2520</v>
      </c>
      <c r="BJ99" s="163">
        <f t="shared" si="394"/>
        <v>1</v>
      </c>
      <c r="BK99" s="1081"/>
      <c r="BL99" s="1081"/>
      <c r="BM99" s="1083"/>
      <c r="BN99" s="1084"/>
      <c r="BO99" s="862"/>
      <c r="BP99" s="862"/>
      <c r="BQ99" s="862"/>
      <c r="BR99" s="862"/>
      <c r="BS99" s="862"/>
      <c r="BT99" s="862"/>
      <c r="BU99" s="862"/>
      <c r="BV99" s="862"/>
      <c r="BW99" s="1081">
        <f t="shared" ref="BW99" si="404">SUM(AN99*12.5%)</f>
        <v>0</v>
      </c>
      <c r="BX99" s="862"/>
      <c r="BY99" s="862"/>
      <c r="BZ99" s="862"/>
      <c r="CA99" s="73">
        <f t="shared" ref="CA99" si="405">SUM(BO99:BZ99)</f>
        <v>0</v>
      </c>
      <c r="CB99" s="862"/>
      <c r="CC99" s="862"/>
      <c r="CD99" s="862"/>
      <c r="CE99" s="862"/>
      <c r="CF99" s="862"/>
      <c r="CG99" s="862"/>
      <c r="CH99" s="862"/>
      <c r="CI99" s="862"/>
      <c r="CJ99" s="1081"/>
      <c r="CK99" s="862"/>
      <c r="CL99" s="862"/>
      <c r="CM99" s="862"/>
      <c r="CN99" s="1081">
        <f t="shared" ref="CN99" si="406">SUM(BR99-CI99)</f>
        <v>0</v>
      </c>
    </row>
    <row r="100" spans="1:98" s="7" customFormat="1" ht="24.75" customHeight="1" x14ac:dyDescent="0.2">
      <c r="A100" s="41">
        <v>6</v>
      </c>
      <c r="B100" s="653" t="s">
        <v>32</v>
      </c>
      <c r="C100" s="29" t="s">
        <v>290</v>
      </c>
      <c r="D100" s="147">
        <v>2</v>
      </c>
      <c r="E100" s="30">
        <v>2</v>
      </c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1">
        <f t="shared" si="388"/>
        <v>2</v>
      </c>
      <c r="R100" s="594" t="s">
        <v>16</v>
      </c>
      <c r="S100" s="595">
        <v>35000</v>
      </c>
      <c r="T100" s="33">
        <v>30000</v>
      </c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69">
        <f t="shared" si="399"/>
        <v>70000</v>
      </c>
      <c r="AG100" s="70">
        <f t="shared" si="377"/>
        <v>60000</v>
      </c>
      <c r="AH100" s="70">
        <f t="shared" si="378"/>
        <v>0</v>
      </c>
      <c r="AI100" s="70">
        <f t="shared" si="379"/>
        <v>0</v>
      </c>
      <c r="AJ100" s="70">
        <f t="shared" si="380"/>
        <v>0</v>
      </c>
      <c r="AK100" s="70">
        <f t="shared" si="380"/>
        <v>0</v>
      </c>
      <c r="AL100" s="70">
        <f t="shared" si="380"/>
        <v>0</v>
      </c>
      <c r="AM100" s="70">
        <f t="shared" si="380"/>
        <v>0</v>
      </c>
      <c r="AN100" s="70">
        <f t="shared" si="380"/>
        <v>0</v>
      </c>
      <c r="AO100" s="70">
        <f t="shared" si="380"/>
        <v>0</v>
      </c>
      <c r="AP100" s="70">
        <f t="shared" si="380"/>
        <v>0</v>
      </c>
      <c r="AQ100" s="70">
        <f t="shared" si="380"/>
        <v>0</v>
      </c>
      <c r="AR100" s="70">
        <f t="shared" si="380"/>
        <v>0</v>
      </c>
      <c r="AS100" s="71">
        <f t="shared" si="381"/>
        <v>60000</v>
      </c>
      <c r="AT100" s="70">
        <f t="shared" si="396"/>
        <v>2400</v>
      </c>
      <c r="AU100" s="70">
        <f t="shared" si="400"/>
        <v>0</v>
      </c>
      <c r="AV100" s="70">
        <f>SUM(AI100*4%)</f>
        <v>0</v>
      </c>
      <c r="AW100" s="70">
        <f t="shared" si="401"/>
        <v>0</v>
      </c>
      <c r="AX100" s="70">
        <f t="shared" si="401"/>
        <v>0</v>
      </c>
      <c r="AY100" s="70">
        <f t="shared" si="401"/>
        <v>0</v>
      </c>
      <c r="AZ100" s="70">
        <f t="shared" si="401"/>
        <v>0</v>
      </c>
      <c r="BA100" s="70">
        <f t="shared" si="401"/>
        <v>0</v>
      </c>
      <c r="BB100" s="70">
        <f t="shared" si="401"/>
        <v>0</v>
      </c>
      <c r="BC100" s="70">
        <f t="shared" si="401"/>
        <v>0</v>
      </c>
      <c r="BD100" s="70">
        <f t="shared" si="401"/>
        <v>0</v>
      </c>
      <c r="BE100" s="70">
        <f t="shared" si="401"/>
        <v>0</v>
      </c>
      <c r="BF100" s="72">
        <f t="shared" si="402"/>
        <v>2400</v>
      </c>
      <c r="BG100" s="73">
        <f t="shared" si="393"/>
        <v>7600</v>
      </c>
      <c r="BH100" s="74">
        <f t="shared" si="383"/>
        <v>70000</v>
      </c>
      <c r="BI100" s="75">
        <f t="shared" si="403"/>
        <v>7600</v>
      </c>
      <c r="BJ100" s="163">
        <f t="shared" si="394"/>
        <v>1</v>
      </c>
      <c r="BK100" s="1081"/>
      <c r="BL100" s="1081"/>
      <c r="BM100" s="1083"/>
      <c r="BN100" s="1084"/>
      <c r="BO100" s="862"/>
      <c r="BP100" s="862"/>
      <c r="BQ100" s="862"/>
      <c r="BR100" s="862"/>
      <c r="BS100" s="862"/>
      <c r="BT100" s="862"/>
      <c r="BU100" s="862"/>
      <c r="BV100" s="862"/>
      <c r="BW100" s="1081">
        <f t="shared" ref="BW100:BW103" si="407">SUM(AN100*12.5%)</f>
        <v>0</v>
      </c>
      <c r="BX100" s="862"/>
      <c r="BY100" s="862"/>
      <c r="BZ100" s="862"/>
      <c r="CA100" s="73">
        <f t="shared" ref="CA100:CA103" si="408">SUM(BO100:BZ100)</f>
        <v>0</v>
      </c>
      <c r="CB100" s="862"/>
      <c r="CC100" s="862"/>
      <c r="CD100" s="862"/>
      <c r="CE100" s="862"/>
      <c r="CF100" s="862"/>
      <c r="CG100" s="862"/>
      <c r="CH100" s="862"/>
      <c r="CI100" s="862"/>
      <c r="CJ100" s="1081"/>
      <c r="CK100" s="862"/>
      <c r="CL100" s="862"/>
      <c r="CM100" s="862"/>
      <c r="CN100" s="1081">
        <f t="shared" ref="CN100:CN103" si="409">SUM(BR100-CI100)</f>
        <v>0</v>
      </c>
    </row>
    <row r="101" spans="1:98" s="7" customFormat="1" ht="24.75" customHeight="1" x14ac:dyDescent="0.2">
      <c r="A101" s="41">
        <v>7</v>
      </c>
      <c r="B101" s="653" t="s">
        <v>431</v>
      </c>
      <c r="C101" s="29" t="s">
        <v>290</v>
      </c>
      <c r="D101" s="147">
        <v>2</v>
      </c>
      <c r="E101" s="30">
        <v>2</v>
      </c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1">
        <f t="shared" si="388"/>
        <v>2</v>
      </c>
      <c r="R101" s="594" t="s">
        <v>35</v>
      </c>
      <c r="S101" s="595">
        <v>350000</v>
      </c>
      <c r="T101" s="33">
        <v>350000</v>
      </c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69">
        <f t="shared" si="399"/>
        <v>700000</v>
      </c>
      <c r="AG101" s="70">
        <f t="shared" si="377"/>
        <v>700000</v>
      </c>
      <c r="AH101" s="70">
        <f t="shared" si="378"/>
        <v>0</v>
      </c>
      <c r="AI101" s="70">
        <f t="shared" si="379"/>
        <v>0</v>
      </c>
      <c r="AJ101" s="70">
        <f t="shared" si="380"/>
        <v>0</v>
      </c>
      <c r="AK101" s="70">
        <f t="shared" si="380"/>
        <v>0</v>
      </c>
      <c r="AL101" s="70">
        <f t="shared" si="380"/>
        <v>0</v>
      </c>
      <c r="AM101" s="70">
        <f t="shared" si="380"/>
        <v>0</v>
      </c>
      <c r="AN101" s="70">
        <f t="shared" si="380"/>
        <v>0</v>
      </c>
      <c r="AO101" s="70">
        <f t="shared" si="380"/>
        <v>0</v>
      </c>
      <c r="AP101" s="70">
        <f t="shared" si="380"/>
        <v>0</v>
      </c>
      <c r="AQ101" s="70">
        <f t="shared" si="380"/>
        <v>0</v>
      </c>
      <c r="AR101" s="70">
        <f t="shared" si="380"/>
        <v>0</v>
      </c>
      <c r="AS101" s="71">
        <f t="shared" si="381"/>
        <v>700000</v>
      </c>
      <c r="AT101" s="70"/>
      <c r="AU101" s="70">
        <f t="shared" si="400"/>
        <v>0</v>
      </c>
      <c r="AV101" s="70">
        <f>SUM(AI101*4%)</f>
        <v>0</v>
      </c>
      <c r="AW101" s="70">
        <f t="shared" si="401"/>
        <v>0</v>
      </c>
      <c r="AX101" s="70">
        <f t="shared" si="401"/>
        <v>0</v>
      </c>
      <c r="AY101" s="70">
        <f t="shared" si="401"/>
        <v>0</v>
      </c>
      <c r="AZ101" s="70">
        <f t="shared" si="401"/>
        <v>0</v>
      </c>
      <c r="BA101" s="70">
        <f t="shared" si="401"/>
        <v>0</v>
      </c>
      <c r="BB101" s="70">
        <f t="shared" si="401"/>
        <v>0</v>
      </c>
      <c r="BC101" s="70">
        <f t="shared" si="401"/>
        <v>0</v>
      </c>
      <c r="BD101" s="70">
        <f t="shared" si="401"/>
        <v>0</v>
      </c>
      <c r="BE101" s="70">
        <f t="shared" si="401"/>
        <v>0</v>
      </c>
      <c r="BF101" s="72">
        <f t="shared" si="402"/>
        <v>0</v>
      </c>
      <c r="BG101" s="73">
        <f t="shared" si="393"/>
        <v>0</v>
      </c>
      <c r="BH101" s="74">
        <f t="shared" si="383"/>
        <v>700000</v>
      </c>
      <c r="BI101" s="75">
        <f>BH101-AS101-BF101</f>
        <v>0</v>
      </c>
      <c r="BJ101" s="163">
        <f t="shared" si="394"/>
        <v>1</v>
      </c>
      <c r="BK101" s="1081"/>
      <c r="BL101" s="1081"/>
      <c r="BM101" s="1083"/>
      <c r="BN101" s="1084"/>
      <c r="BO101" s="862"/>
      <c r="BP101" s="862"/>
      <c r="BQ101" s="862"/>
      <c r="BR101" s="862"/>
      <c r="BS101" s="862"/>
      <c r="BT101" s="862"/>
      <c r="BU101" s="862"/>
      <c r="BV101" s="862"/>
      <c r="BW101" s="1081">
        <f t="shared" si="407"/>
        <v>0</v>
      </c>
      <c r="BX101" s="862"/>
      <c r="BY101" s="862"/>
      <c r="BZ101" s="862"/>
      <c r="CA101" s="73">
        <f t="shared" si="408"/>
        <v>0</v>
      </c>
      <c r="CB101" s="862"/>
      <c r="CC101" s="862"/>
      <c r="CD101" s="862"/>
      <c r="CE101" s="862"/>
      <c r="CF101" s="862"/>
      <c r="CG101" s="862"/>
      <c r="CH101" s="862"/>
      <c r="CI101" s="862"/>
      <c r="CJ101" s="1081"/>
      <c r="CK101" s="862"/>
      <c r="CL101" s="862"/>
      <c r="CM101" s="862"/>
      <c r="CN101" s="1081">
        <f t="shared" si="409"/>
        <v>0</v>
      </c>
    </row>
    <row r="102" spans="1:98" s="7" customFormat="1" ht="24.75" customHeight="1" thickBot="1" x14ac:dyDescent="0.25">
      <c r="A102" s="41">
        <v>8</v>
      </c>
      <c r="B102" s="653" t="s">
        <v>424</v>
      </c>
      <c r="C102" s="29" t="s">
        <v>290</v>
      </c>
      <c r="D102" s="147">
        <v>2</v>
      </c>
      <c r="E102" s="30">
        <v>2</v>
      </c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1">
        <f t="shared" ref="Q102" si="410">SUM(E102:P102)</f>
        <v>2</v>
      </c>
      <c r="R102" s="594" t="s">
        <v>35</v>
      </c>
      <c r="S102" s="595">
        <v>250000</v>
      </c>
      <c r="T102" s="33">
        <v>250000</v>
      </c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69">
        <f t="shared" ref="AF102" si="411">SUM(Q102*S102)</f>
        <v>500000</v>
      </c>
      <c r="AG102" s="70">
        <f t="shared" ref="AG102" si="412">T102*E102</f>
        <v>500000</v>
      </c>
      <c r="AH102" s="70">
        <f t="shared" ref="AH102" si="413">U102*F102</f>
        <v>0</v>
      </c>
      <c r="AI102" s="70">
        <f t="shared" ref="AI102" si="414">V102*G102</f>
        <v>0</v>
      </c>
      <c r="AJ102" s="70">
        <f t="shared" ref="AJ102" si="415">W102*H102</f>
        <v>0</v>
      </c>
      <c r="AK102" s="70">
        <f t="shared" ref="AK102" si="416">X102*I102</f>
        <v>0</v>
      </c>
      <c r="AL102" s="70">
        <f t="shared" ref="AL102" si="417">Y102*J102</f>
        <v>0</v>
      </c>
      <c r="AM102" s="70">
        <f t="shared" ref="AM102" si="418">Z102*K102</f>
        <v>0</v>
      </c>
      <c r="AN102" s="70">
        <f t="shared" ref="AN102" si="419">AA102*L102</f>
        <v>0</v>
      </c>
      <c r="AO102" s="70">
        <f t="shared" ref="AO102" si="420">AB102*M102</f>
        <v>0</v>
      </c>
      <c r="AP102" s="70">
        <f t="shared" ref="AP102" si="421">AC102*N102</f>
        <v>0</v>
      </c>
      <c r="AQ102" s="70">
        <f t="shared" ref="AQ102" si="422">AD102*O102</f>
        <v>0</v>
      </c>
      <c r="AR102" s="70">
        <f t="shared" ref="AR102" si="423">AE102*P102</f>
        <v>0</v>
      </c>
      <c r="AS102" s="71">
        <f t="shared" ref="AS102" si="424">SUM(AG102:AR102)</f>
        <v>500000</v>
      </c>
      <c r="AT102" s="70"/>
      <c r="AU102" s="70">
        <f t="shared" ref="AU102:AV102" si="425">SUM(AH102*14%)</f>
        <v>0</v>
      </c>
      <c r="AV102" s="70">
        <f t="shared" si="425"/>
        <v>0</v>
      </c>
      <c r="AW102" s="70">
        <f t="shared" ref="AW102" si="426">SUM(AJ102*14%)</f>
        <v>0</v>
      </c>
      <c r="AX102" s="70">
        <f t="shared" ref="AX102" si="427">SUM(AK102*14%)</f>
        <v>0</v>
      </c>
      <c r="AY102" s="70">
        <f t="shared" ref="AY102" si="428">SUM(AL102*14%)</f>
        <v>0</v>
      </c>
      <c r="AZ102" s="70">
        <f t="shared" ref="AZ102" si="429">SUM(AM102*14%)</f>
        <v>0</v>
      </c>
      <c r="BA102" s="70">
        <f t="shared" ref="BA102" si="430">SUM(AN102*14%)</f>
        <v>0</v>
      </c>
      <c r="BB102" s="70">
        <f t="shared" ref="BB102" si="431">SUM(AO102*14%)</f>
        <v>0</v>
      </c>
      <c r="BC102" s="70">
        <f t="shared" ref="BC102" si="432">SUM(AP102*14%)</f>
        <v>0</v>
      </c>
      <c r="BD102" s="70">
        <f t="shared" ref="BD102" si="433">SUM(AQ102*14%)</f>
        <v>0</v>
      </c>
      <c r="BE102" s="70">
        <f t="shared" ref="BE102" si="434">SUM(AR102*14%)</f>
        <v>0</v>
      </c>
      <c r="BF102" s="72">
        <f t="shared" ref="BF102" si="435">SUM(AT102:BE102)</f>
        <v>0</v>
      </c>
      <c r="BG102" s="73">
        <f t="shared" si="393"/>
        <v>0</v>
      </c>
      <c r="BH102" s="74">
        <f t="shared" ref="BH102" si="436">S102*D102</f>
        <v>500000</v>
      </c>
      <c r="BI102" s="75">
        <f>BH102-AS102-BF102</f>
        <v>0</v>
      </c>
      <c r="BJ102" s="163">
        <f t="shared" si="394"/>
        <v>1</v>
      </c>
      <c r="BK102" s="1081"/>
      <c r="BL102" s="1081"/>
      <c r="BM102" s="1083"/>
      <c r="BN102" s="1084"/>
      <c r="BO102" s="862"/>
      <c r="BP102" s="862"/>
      <c r="BQ102" s="862"/>
      <c r="BR102" s="862"/>
      <c r="BS102" s="862"/>
      <c r="BT102" s="862"/>
      <c r="BU102" s="862"/>
      <c r="BV102" s="862"/>
      <c r="BW102" s="1081">
        <f t="shared" si="407"/>
        <v>0</v>
      </c>
      <c r="BX102" s="862"/>
      <c r="BY102" s="862"/>
      <c r="BZ102" s="862"/>
      <c r="CA102" s="73">
        <f t="shared" si="408"/>
        <v>0</v>
      </c>
      <c r="CB102" s="862"/>
      <c r="CC102" s="862"/>
      <c r="CD102" s="862"/>
      <c r="CE102" s="862"/>
      <c r="CF102" s="862"/>
      <c r="CG102" s="862"/>
      <c r="CH102" s="862"/>
      <c r="CI102" s="862"/>
      <c r="CJ102" s="1081"/>
      <c r="CK102" s="862"/>
      <c r="CL102" s="862"/>
      <c r="CM102" s="862"/>
      <c r="CN102" s="1081">
        <f t="shared" si="409"/>
        <v>0</v>
      </c>
    </row>
    <row r="103" spans="1:98" s="38" customFormat="1" ht="24.75" customHeight="1" thickBot="1" x14ac:dyDescent="0.25">
      <c r="A103" s="577">
        <v>9</v>
      </c>
      <c r="B103" s="44" t="s">
        <v>4</v>
      </c>
      <c r="C103" s="44"/>
      <c r="D103" s="45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7"/>
      <c r="R103" s="77"/>
      <c r="S103" s="45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78">
        <f>SUM(AF94:AF102)</f>
        <v>2837000</v>
      </c>
      <c r="AG103" s="78">
        <f>SUM(AG94:AG102)-500000</f>
        <v>2132000</v>
      </c>
      <c r="AH103" s="78">
        <f>SUM(AH94:AH102)</f>
        <v>0</v>
      </c>
      <c r="AI103" s="78">
        <f>SUM(AI94:AI102)</f>
        <v>0</v>
      </c>
      <c r="AJ103" s="78"/>
      <c r="AK103" s="78"/>
      <c r="AL103" s="78"/>
      <c r="AM103" s="78"/>
      <c r="AN103" s="78"/>
      <c r="AO103" s="78"/>
      <c r="AP103" s="78"/>
      <c r="AQ103" s="78"/>
      <c r="AR103" s="78"/>
      <c r="AS103" s="78">
        <f>SUM(AG103:AR103)</f>
        <v>2132000</v>
      </c>
      <c r="AT103" s="78">
        <f t="shared" ref="AS103:BI103" si="437">SUM(AT94:AT102)</f>
        <v>57280</v>
      </c>
      <c r="AU103" s="78">
        <f t="shared" si="437"/>
        <v>0</v>
      </c>
      <c r="AV103" s="78">
        <f t="shared" si="437"/>
        <v>0</v>
      </c>
      <c r="AW103" s="78">
        <f t="shared" si="437"/>
        <v>0</v>
      </c>
      <c r="AX103" s="78">
        <f t="shared" si="437"/>
        <v>0</v>
      </c>
      <c r="AY103" s="78">
        <f t="shared" si="437"/>
        <v>0</v>
      </c>
      <c r="AZ103" s="78">
        <f t="shared" si="437"/>
        <v>0</v>
      </c>
      <c r="BA103" s="78">
        <f t="shared" si="437"/>
        <v>0</v>
      </c>
      <c r="BB103" s="78">
        <f t="shared" si="437"/>
        <v>0</v>
      </c>
      <c r="BC103" s="78">
        <f t="shared" si="437"/>
        <v>0</v>
      </c>
      <c r="BD103" s="78">
        <f t="shared" si="437"/>
        <v>0</v>
      </c>
      <c r="BE103" s="78">
        <f t="shared" si="437"/>
        <v>0</v>
      </c>
      <c r="BF103" s="78">
        <f t="shared" si="437"/>
        <v>57280</v>
      </c>
      <c r="BG103" s="79">
        <f t="shared" si="437"/>
        <v>147720</v>
      </c>
      <c r="BH103" s="78">
        <f t="shared" si="437"/>
        <v>3164000</v>
      </c>
      <c r="BI103" s="78">
        <f t="shared" si="437"/>
        <v>474720</v>
      </c>
      <c r="BJ103" s="164">
        <v>1</v>
      </c>
      <c r="BK103" s="1083"/>
      <c r="BL103" s="1083"/>
      <c r="BM103" s="1083"/>
      <c r="BN103" s="1084"/>
      <c r="BO103" s="862"/>
      <c r="BP103" s="862"/>
      <c r="BQ103" s="862"/>
      <c r="BR103" s="862"/>
      <c r="BS103" s="862"/>
      <c r="BT103" s="862"/>
      <c r="BU103" s="862"/>
      <c r="BV103" s="862"/>
      <c r="BW103" s="1081">
        <f t="shared" si="407"/>
        <v>0</v>
      </c>
      <c r="BX103" s="862"/>
      <c r="BY103" s="862"/>
      <c r="BZ103" s="862"/>
      <c r="CA103" s="73">
        <f t="shared" si="408"/>
        <v>0</v>
      </c>
      <c r="CB103" s="862"/>
      <c r="CC103" s="862"/>
      <c r="CD103" s="862"/>
      <c r="CE103" s="862"/>
      <c r="CF103" s="862"/>
      <c r="CG103" s="862"/>
      <c r="CH103" s="862"/>
      <c r="CI103" s="862"/>
      <c r="CJ103" s="1081"/>
      <c r="CK103" s="862"/>
      <c r="CL103" s="862"/>
      <c r="CM103" s="862"/>
      <c r="CN103" s="1081">
        <f t="shared" si="409"/>
        <v>0</v>
      </c>
    </row>
    <row r="104" spans="1:98" s="20" customFormat="1" ht="24.75" customHeight="1" x14ac:dyDescent="0.2">
      <c r="A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AE104" s="40"/>
      <c r="AQ104" s="404"/>
      <c r="AS104" s="51"/>
      <c r="AT104" s="404"/>
      <c r="AU104" s="404"/>
      <c r="BF104" s="52">
        <f>SUM(AS103+BF103)</f>
        <v>2189280</v>
      </c>
      <c r="BG104" s="53">
        <f>AF103-AS103-BF103</f>
        <v>647720</v>
      </c>
      <c r="BH104" s="54">
        <f>SUM(BI103+AS103+BF103)</f>
        <v>2664000</v>
      </c>
      <c r="BI104" s="55">
        <f>SUM(BG103)</f>
        <v>147720</v>
      </c>
      <c r="BJ104" s="165" t="s">
        <v>38</v>
      </c>
      <c r="BK104" s="171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</row>
    <row r="105" spans="1:98" s="20" customFormat="1" ht="24.75" customHeight="1" x14ac:dyDescent="0.2">
      <c r="A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AE105" s="40"/>
      <c r="AS105" s="40"/>
      <c r="AT105" s="388">
        <f>SUM(AG103+AT103)</f>
        <v>2189280</v>
      </c>
      <c r="AU105" s="388">
        <f t="shared" ref="AU105" si="438">SUM(AH103+AU103)</f>
        <v>0</v>
      </c>
      <c r="AV105" s="388">
        <f>SUM(AI103+AV103)</f>
        <v>0</v>
      </c>
      <c r="AW105" s="388">
        <f t="shared" ref="AW105" si="439">SUM(AJ103+AW103)</f>
        <v>0</v>
      </c>
      <c r="AX105" s="388">
        <f t="shared" ref="AX105" si="440">SUM(AK103+AX103)</f>
        <v>0</v>
      </c>
      <c r="AY105" s="388">
        <f t="shared" ref="AY105" si="441">SUM(AL103+AY103)</f>
        <v>0</v>
      </c>
      <c r="AZ105" s="388">
        <f t="shared" ref="AZ105" si="442">SUM(AM103+AZ103)</f>
        <v>0</v>
      </c>
      <c r="BA105" s="388">
        <f t="shared" ref="BA105" si="443">SUM(AN103+BA103)</f>
        <v>0</v>
      </c>
      <c r="BB105" s="388">
        <f t="shared" ref="BB105" si="444">SUM(AO103+BB103)</f>
        <v>0</v>
      </c>
      <c r="BC105" s="388">
        <f t="shared" ref="BC105" si="445">SUM(AP103+BC103)</f>
        <v>0</v>
      </c>
      <c r="BD105" s="388">
        <f t="shared" ref="BD105" si="446">SUM(AQ103+BD103)</f>
        <v>0</v>
      </c>
      <c r="BE105" s="388">
        <f t="shared" ref="BE105" si="447">SUM(AR103+BE103)</f>
        <v>0</v>
      </c>
      <c r="BF105" s="388">
        <f>SUM(AT105:BE105)</f>
        <v>2189280</v>
      </c>
      <c r="BG105" s="40"/>
      <c r="BH105" s="56"/>
      <c r="BI105" s="57">
        <f>SUM(BI103-BI104)</f>
        <v>327000</v>
      </c>
      <c r="BJ105" s="165" t="s">
        <v>37</v>
      </c>
      <c r="BK105" s="171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</row>
    <row r="106" spans="1:98" s="20" customFormat="1" ht="16.5" customHeight="1" x14ac:dyDescent="0.2">
      <c r="A106" s="1730" t="s">
        <v>8</v>
      </c>
      <c r="B106" s="1731"/>
      <c r="C106" s="124" t="s">
        <v>427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7"/>
      <c r="AF106" s="23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8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8"/>
      <c r="BG106" s="138"/>
      <c r="BH106" s="135"/>
      <c r="BI106" s="139"/>
      <c r="BJ106" s="23"/>
      <c r="BK106" s="169"/>
      <c r="BL106" s="136"/>
      <c r="BM106" s="136"/>
      <c r="BN106" s="136"/>
      <c r="BO106" s="136"/>
      <c r="BP106" s="137"/>
      <c r="BQ106" s="136"/>
      <c r="BR106" s="136"/>
      <c r="BS106" s="136"/>
      <c r="BT106" s="136"/>
      <c r="BU106" s="136"/>
      <c r="BV106" s="138"/>
      <c r="BW106" s="138"/>
      <c r="BX106" s="138"/>
      <c r="BY106" s="135"/>
      <c r="BZ106" s="139"/>
      <c r="CA106" s="138"/>
      <c r="CB106" s="138"/>
      <c r="CC106" s="24"/>
      <c r="CD106" s="24"/>
      <c r="CE106" s="24"/>
      <c r="CF106" s="24"/>
      <c r="CG106" s="24"/>
      <c r="CH106" s="140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</row>
    <row r="107" spans="1:98" s="8" customFormat="1" ht="48.75" customHeight="1" x14ac:dyDescent="0.2">
      <c r="A107" s="1703" t="s">
        <v>10</v>
      </c>
      <c r="B107" s="1706" t="s">
        <v>11</v>
      </c>
      <c r="C107" s="1706" t="s">
        <v>22</v>
      </c>
      <c r="D107" s="1721" t="s">
        <v>12</v>
      </c>
      <c r="E107" s="1721"/>
      <c r="F107" s="1721"/>
      <c r="G107" s="1721"/>
      <c r="H107" s="1721"/>
      <c r="I107" s="1721"/>
      <c r="J107" s="1721"/>
      <c r="K107" s="1721"/>
      <c r="L107" s="1721"/>
      <c r="M107" s="1721"/>
      <c r="N107" s="1721"/>
      <c r="O107" s="1721"/>
      <c r="P107" s="1721"/>
      <c r="Q107" s="1721"/>
      <c r="R107" s="1706" t="s">
        <v>20</v>
      </c>
      <c r="S107" s="1717" t="s">
        <v>17</v>
      </c>
      <c r="T107" s="1718"/>
      <c r="U107" s="1718"/>
      <c r="V107" s="1718"/>
      <c r="W107" s="1718"/>
      <c r="X107" s="1718"/>
      <c r="Y107" s="1718"/>
      <c r="Z107" s="1718"/>
      <c r="AA107" s="1718"/>
      <c r="AB107" s="1718"/>
      <c r="AC107" s="1718"/>
      <c r="AD107" s="1718"/>
      <c r="AE107" s="1719"/>
      <c r="AF107" s="1720" t="s">
        <v>6</v>
      </c>
      <c r="AG107" s="1720"/>
      <c r="AH107" s="1720"/>
      <c r="AI107" s="1720"/>
      <c r="AJ107" s="1720"/>
      <c r="AK107" s="1720"/>
      <c r="AL107" s="1720"/>
      <c r="AM107" s="1720"/>
      <c r="AN107" s="1720"/>
      <c r="AO107" s="1720"/>
      <c r="AP107" s="1720"/>
      <c r="AQ107" s="1720"/>
      <c r="AR107" s="1720"/>
      <c r="AS107" s="1720"/>
      <c r="AT107" s="1722" t="s">
        <v>41</v>
      </c>
      <c r="AU107" s="1723"/>
      <c r="AV107" s="1723"/>
      <c r="AW107" s="1723"/>
      <c r="AX107" s="1723"/>
      <c r="AY107" s="1723"/>
      <c r="AZ107" s="1723"/>
      <c r="BA107" s="1723"/>
      <c r="BB107" s="1723"/>
      <c r="BC107" s="1723"/>
      <c r="BD107" s="1723"/>
      <c r="BE107" s="1723"/>
      <c r="BF107" s="1724"/>
      <c r="BG107" s="1706" t="s">
        <v>38</v>
      </c>
      <c r="BH107" s="1706" t="s">
        <v>256</v>
      </c>
      <c r="BI107" s="1709" t="s">
        <v>39</v>
      </c>
      <c r="BJ107" s="135"/>
      <c r="BK107" s="135"/>
      <c r="BL107" s="135"/>
      <c r="BM107" s="135"/>
      <c r="BN107" s="135"/>
      <c r="BO107" s="1733" t="s">
        <v>41</v>
      </c>
      <c r="BP107" s="1734"/>
      <c r="BQ107" s="1734"/>
      <c r="BR107" s="1734"/>
      <c r="BS107" s="1734"/>
      <c r="BT107" s="1734"/>
      <c r="BU107" s="1734"/>
      <c r="BV107" s="1734"/>
      <c r="BW107" s="1734"/>
      <c r="BX107" s="1734"/>
      <c r="BY107" s="1734"/>
      <c r="BZ107" s="1734"/>
      <c r="CA107" s="1734"/>
      <c r="CB107" s="1734"/>
      <c r="CC107" s="1734"/>
      <c r="CD107" s="1734"/>
      <c r="CE107" s="1734"/>
      <c r="CF107" s="1734"/>
      <c r="CG107" s="1734"/>
      <c r="CH107" s="1734"/>
      <c r="CI107" s="1734"/>
      <c r="CJ107" s="1734"/>
      <c r="CK107" s="1734"/>
      <c r="CL107" s="1734"/>
      <c r="CM107" s="1734"/>
      <c r="CN107" s="1735"/>
    </row>
    <row r="108" spans="1:98" s="8" customFormat="1" ht="48.75" customHeight="1" x14ac:dyDescent="0.2">
      <c r="A108" s="1704"/>
      <c r="B108" s="1707"/>
      <c r="C108" s="1707"/>
      <c r="D108" s="1712" t="s">
        <v>18</v>
      </c>
      <c r="E108" s="1714" t="s">
        <v>19</v>
      </c>
      <c r="F108" s="1715"/>
      <c r="G108" s="1715"/>
      <c r="H108" s="1715"/>
      <c r="I108" s="1715"/>
      <c r="J108" s="1715"/>
      <c r="K108" s="1715"/>
      <c r="L108" s="1715"/>
      <c r="M108" s="1715"/>
      <c r="N108" s="1715"/>
      <c r="O108" s="1715"/>
      <c r="P108" s="1715"/>
      <c r="Q108" s="1715"/>
      <c r="R108" s="1707"/>
      <c r="S108" s="1712" t="s">
        <v>18</v>
      </c>
      <c r="T108" s="1714" t="s">
        <v>19</v>
      </c>
      <c r="U108" s="1715"/>
      <c r="V108" s="1715"/>
      <c r="W108" s="1715"/>
      <c r="X108" s="1715"/>
      <c r="Y108" s="1715"/>
      <c r="Z108" s="1715"/>
      <c r="AA108" s="1715"/>
      <c r="AB108" s="1715"/>
      <c r="AC108" s="1715"/>
      <c r="AD108" s="1715"/>
      <c r="AE108" s="1716"/>
      <c r="AF108" s="1712" t="s">
        <v>18</v>
      </c>
      <c r="AG108" s="1714" t="s">
        <v>19</v>
      </c>
      <c r="AH108" s="1715"/>
      <c r="AI108" s="1715"/>
      <c r="AJ108" s="1715"/>
      <c r="AK108" s="1715"/>
      <c r="AL108" s="1715"/>
      <c r="AM108" s="1715"/>
      <c r="AN108" s="1715"/>
      <c r="AO108" s="1715"/>
      <c r="AP108" s="1715"/>
      <c r="AQ108" s="1715"/>
      <c r="AR108" s="1715"/>
      <c r="AS108" s="1716"/>
      <c r="AT108" s="1725"/>
      <c r="AU108" s="1726"/>
      <c r="AV108" s="1726"/>
      <c r="AW108" s="1726"/>
      <c r="AX108" s="1726"/>
      <c r="AY108" s="1726"/>
      <c r="AZ108" s="1726"/>
      <c r="BA108" s="1726"/>
      <c r="BB108" s="1726"/>
      <c r="BC108" s="1726"/>
      <c r="BD108" s="1726"/>
      <c r="BE108" s="1726"/>
      <c r="BF108" s="1727"/>
      <c r="BG108" s="1707"/>
      <c r="BH108" s="1707"/>
      <c r="BI108" s="1710"/>
      <c r="BJ108" s="135"/>
      <c r="BK108" s="1736">
        <f>SUM(BK110/60)</f>
        <v>0</v>
      </c>
      <c r="BL108" s="1736"/>
      <c r="BM108" s="1736"/>
      <c r="BN108" s="23"/>
      <c r="BO108" s="1737" t="s">
        <v>686</v>
      </c>
      <c r="BP108" s="1738"/>
      <c r="BQ108" s="1738"/>
      <c r="BR108" s="1738"/>
      <c r="BS108" s="1738"/>
      <c r="BT108" s="1738"/>
      <c r="BU108" s="1738"/>
      <c r="BV108" s="1738"/>
      <c r="BW108" s="1738"/>
      <c r="BX108" s="1738"/>
      <c r="BY108" s="1738"/>
      <c r="BZ108" s="1738"/>
      <c r="CA108" s="1739"/>
      <c r="CB108" s="1740" t="s">
        <v>687</v>
      </c>
      <c r="CC108" s="1741"/>
      <c r="CD108" s="1741"/>
      <c r="CE108" s="1741"/>
      <c r="CF108" s="1741"/>
      <c r="CG108" s="1741"/>
      <c r="CH108" s="1741"/>
      <c r="CI108" s="1741"/>
      <c r="CJ108" s="1741"/>
      <c r="CK108" s="1741"/>
      <c r="CL108" s="1741"/>
      <c r="CM108" s="1741"/>
      <c r="CN108" s="1742"/>
    </row>
    <row r="109" spans="1:98" s="6" customFormat="1" ht="28.5" customHeight="1" x14ac:dyDescent="0.2">
      <c r="A109" s="1705"/>
      <c r="B109" s="1708"/>
      <c r="C109" s="1708"/>
      <c r="D109" s="1713"/>
      <c r="E109" s="26">
        <v>1</v>
      </c>
      <c r="F109" s="26">
        <v>2</v>
      </c>
      <c r="G109" s="26">
        <v>3</v>
      </c>
      <c r="H109" s="26">
        <v>4</v>
      </c>
      <c r="I109" s="26">
        <v>5</v>
      </c>
      <c r="J109" s="26">
        <v>6</v>
      </c>
      <c r="K109" s="26">
        <v>7</v>
      </c>
      <c r="L109" s="26">
        <v>8</v>
      </c>
      <c r="M109" s="26">
        <v>9</v>
      </c>
      <c r="N109" s="26">
        <v>10</v>
      </c>
      <c r="O109" s="26">
        <v>11</v>
      </c>
      <c r="P109" s="26">
        <v>12</v>
      </c>
      <c r="Q109" s="26" t="s">
        <v>21</v>
      </c>
      <c r="R109" s="1708"/>
      <c r="S109" s="1713"/>
      <c r="T109" s="26">
        <v>1</v>
      </c>
      <c r="U109" s="26">
        <v>2</v>
      </c>
      <c r="V109" s="26">
        <v>3</v>
      </c>
      <c r="W109" s="26">
        <v>4</v>
      </c>
      <c r="X109" s="26">
        <v>5</v>
      </c>
      <c r="Y109" s="26">
        <v>6</v>
      </c>
      <c r="Z109" s="26">
        <v>7</v>
      </c>
      <c r="AA109" s="26">
        <v>8</v>
      </c>
      <c r="AB109" s="26">
        <v>9</v>
      </c>
      <c r="AC109" s="26">
        <v>10</v>
      </c>
      <c r="AD109" s="26">
        <v>11</v>
      </c>
      <c r="AE109" s="26">
        <v>12</v>
      </c>
      <c r="AF109" s="1713"/>
      <c r="AG109" s="26">
        <v>1</v>
      </c>
      <c r="AH109" s="26">
        <v>2</v>
      </c>
      <c r="AI109" s="26">
        <v>3</v>
      </c>
      <c r="AJ109" s="26">
        <v>4</v>
      </c>
      <c r="AK109" s="26">
        <v>5</v>
      </c>
      <c r="AL109" s="26">
        <v>6</v>
      </c>
      <c r="AM109" s="26">
        <v>7</v>
      </c>
      <c r="AN109" s="26">
        <v>8</v>
      </c>
      <c r="AO109" s="26">
        <v>9</v>
      </c>
      <c r="AP109" s="26">
        <v>10</v>
      </c>
      <c r="AQ109" s="26">
        <v>11</v>
      </c>
      <c r="AR109" s="26">
        <v>12</v>
      </c>
      <c r="AS109" s="26" t="s">
        <v>13</v>
      </c>
      <c r="AT109" s="173">
        <v>1</v>
      </c>
      <c r="AU109" s="173">
        <v>2</v>
      </c>
      <c r="AV109" s="173">
        <v>3</v>
      </c>
      <c r="AW109" s="173">
        <v>4</v>
      </c>
      <c r="AX109" s="173">
        <v>5</v>
      </c>
      <c r="AY109" s="173">
        <v>6</v>
      </c>
      <c r="AZ109" s="173">
        <v>7</v>
      </c>
      <c r="BA109" s="173">
        <v>8</v>
      </c>
      <c r="BB109" s="173">
        <v>9</v>
      </c>
      <c r="BC109" s="173">
        <v>10</v>
      </c>
      <c r="BD109" s="173">
        <v>11</v>
      </c>
      <c r="BE109" s="173">
        <v>12</v>
      </c>
      <c r="BF109" s="26" t="s">
        <v>13</v>
      </c>
      <c r="BG109" s="1708"/>
      <c r="BH109" s="1708"/>
      <c r="BI109" s="1711"/>
      <c r="BJ109" s="7"/>
      <c r="BK109" s="1743" t="s">
        <v>19</v>
      </c>
      <c r="BL109" s="1744"/>
      <c r="BM109" s="1745"/>
      <c r="BN109" s="621"/>
      <c r="BO109" s="173">
        <v>1</v>
      </c>
      <c r="BP109" s="173">
        <v>2</v>
      </c>
      <c r="BQ109" s="173">
        <v>3</v>
      </c>
      <c r="BR109" s="173">
        <v>4</v>
      </c>
      <c r="BS109" s="173">
        <v>5</v>
      </c>
      <c r="BT109" s="173">
        <v>6</v>
      </c>
      <c r="BU109" s="173">
        <v>7</v>
      </c>
      <c r="BV109" s="173">
        <v>8</v>
      </c>
      <c r="BW109" s="173">
        <v>9</v>
      </c>
      <c r="BX109" s="173">
        <v>10</v>
      </c>
      <c r="BY109" s="173">
        <v>11</v>
      </c>
      <c r="BZ109" s="173">
        <v>12</v>
      </c>
      <c r="CA109" s="26" t="s">
        <v>13</v>
      </c>
      <c r="CB109" s="173">
        <v>1</v>
      </c>
      <c r="CC109" s="173">
        <v>2</v>
      </c>
      <c r="CD109" s="173">
        <v>3</v>
      </c>
      <c r="CE109" s="173">
        <v>4</v>
      </c>
      <c r="CF109" s="173">
        <v>5</v>
      </c>
      <c r="CG109" s="173">
        <v>6</v>
      </c>
      <c r="CH109" s="173">
        <v>7</v>
      </c>
      <c r="CI109" s="173">
        <v>8</v>
      </c>
      <c r="CJ109" s="173">
        <v>9</v>
      </c>
      <c r="CK109" s="173">
        <v>10</v>
      </c>
      <c r="CL109" s="173">
        <v>11</v>
      </c>
      <c r="CM109" s="173">
        <v>12</v>
      </c>
      <c r="CN109" s="26" t="s">
        <v>13</v>
      </c>
    </row>
    <row r="110" spans="1:98" s="7" customFormat="1" ht="24.75" customHeight="1" x14ac:dyDescent="0.2">
      <c r="A110" s="41"/>
      <c r="B110" s="199" t="s">
        <v>428</v>
      </c>
      <c r="C110" s="29"/>
      <c r="D110" s="189"/>
      <c r="E110" s="82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1"/>
      <c r="R110" s="197"/>
      <c r="S110" s="196"/>
      <c r="T110" s="84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69">
        <f>SUM(S110*E110)</f>
        <v>0</v>
      </c>
      <c r="AG110" s="70">
        <f t="shared" ref="AG110" si="448">T110*E110</f>
        <v>0</v>
      </c>
      <c r="AH110" s="70">
        <f t="shared" ref="AH110:AH119" si="449">U110*F110</f>
        <v>0</v>
      </c>
      <c r="AI110" s="70">
        <f t="shared" ref="AI110:AI119" si="450">V110*G110</f>
        <v>0</v>
      </c>
      <c r="AJ110" s="70">
        <f t="shared" ref="AJ110:AJ119" si="451">W110*H110</f>
        <v>0</v>
      </c>
      <c r="AK110" s="70">
        <f t="shared" ref="AK110:AK119" si="452">X110*I110</f>
        <v>0</v>
      </c>
      <c r="AL110" s="70">
        <f t="shared" ref="AL110:AL119" si="453">Y110*J110</f>
        <v>0</v>
      </c>
      <c r="AM110" s="70">
        <f t="shared" ref="AM110:AM119" si="454">Z110*K110</f>
        <v>0</v>
      </c>
      <c r="AN110" s="70">
        <f t="shared" ref="AN110:AN119" si="455">AA110*L110</f>
        <v>0</v>
      </c>
      <c r="AO110" s="70">
        <f t="shared" ref="AO110:AO119" si="456">AB110*M110</f>
        <v>0</v>
      </c>
      <c r="AP110" s="70">
        <f t="shared" ref="AP110:AP119" si="457">AC110*N110</f>
        <v>0</v>
      </c>
      <c r="AQ110" s="70">
        <f t="shared" ref="AQ110:AQ119" si="458">AD110*O110</f>
        <v>0</v>
      </c>
      <c r="AR110" s="70">
        <f t="shared" ref="AR110:AR119" si="459">AE110*P110</f>
        <v>0</v>
      </c>
      <c r="AS110" s="71">
        <f t="shared" ref="AS110:AS119" si="460">SUM(AG110:AR110)</f>
        <v>0</v>
      </c>
      <c r="AT110" s="70">
        <f>AG110*R110</f>
        <v>0</v>
      </c>
      <c r="AU110" s="70">
        <f>AH110*S110</f>
        <v>0</v>
      </c>
      <c r="AV110" s="70">
        <f>AI110*T110</f>
        <v>0</v>
      </c>
      <c r="AW110" s="70">
        <f t="shared" ref="AW110" si="461">AJ110*U110</f>
        <v>0</v>
      </c>
      <c r="AX110" s="70">
        <f t="shared" ref="AX110" si="462">AK110*V110</f>
        <v>0</v>
      </c>
      <c r="AY110" s="70">
        <f t="shared" ref="AY110" si="463">AL110*W110</f>
        <v>0</v>
      </c>
      <c r="AZ110" s="70">
        <f t="shared" ref="AZ110" si="464">AM110*X110</f>
        <v>0</v>
      </c>
      <c r="BA110" s="70">
        <f t="shared" ref="BA110" si="465">AN110*Y110</f>
        <v>0</v>
      </c>
      <c r="BB110" s="70">
        <f t="shared" ref="BB110" si="466">AO110*Z110</f>
        <v>0</v>
      </c>
      <c r="BC110" s="70">
        <f t="shared" ref="BC110" si="467">AP110*AA110</f>
        <v>0</v>
      </c>
      <c r="BD110" s="70">
        <f t="shared" ref="BD110" si="468">AQ110*AB110</f>
        <v>0</v>
      </c>
      <c r="BE110" s="70">
        <f t="shared" ref="BE110" si="469">AR110*AC110</f>
        <v>0</v>
      </c>
      <c r="BF110" s="72"/>
      <c r="BG110" s="73">
        <f>AF110-AS110-BF110</f>
        <v>0</v>
      </c>
      <c r="BH110" s="74">
        <f t="shared" ref="BH110:BH119" si="470">S110*D110</f>
        <v>0</v>
      </c>
      <c r="BI110" s="75">
        <f t="shared" ref="BI110" si="471">BH110-AS110-BF110</f>
        <v>0</v>
      </c>
      <c r="BJ110" s="166"/>
      <c r="BK110" s="1081"/>
      <c r="BL110" s="1081"/>
      <c r="BM110" s="1083"/>
      <c r="BN110" s="1084"/>
      <c r="BO110" s="862"/>
      <c r="BP110" s="862"/>
      <c r="BQ110" s="862"/>
      <c r="BR110" s="862"/>
      <c r="BS110" s="862"/>
      <c r="BT110" s="862"/>
      <c r="BU110" s="862"/>
      <c r="BV110" s="862"/>
      <c r="BW110" s="1081">
        <f t="shared" ref="BW110:BW113" si="472">SUM(AN110*12.5%)</f>
        <v>0</v>
      </c>
      <c r="BX110" s="862"/>
      <c r="BY110" s="862"/>
      <c r="BZ110" s="862"/>
      <c r="CA110" s="73">
        <f t="shared" ref="CA110" si="473">SUM(BO110:BZ110)</f>
        <v>0</v>
      </c>
      <c r="CB110" s="862"/>
      <c r="CC110" s="862"/>
      <c r="CD110" s="862"/>
      <c r="CE110" s="862"/>
      <c r="CF110" s="862"/>
      <c r="CG110" s="862"/>
      <c r="CH110" s="862"/>
      <c r="CI110" s="862"/>
      <c r="CJ110" s="1081"/>
      <c r="CK110" s="862"/>
      <c r="CL110" s="862"/>
      <c r="CM110" s="862"/>
      <c r="CN110" s="73">
        <f t="shared" ref="CN110:CN112" si="474">SUM(CB110:CM110)</f>
        <v>0</v>
      </c>
    </row>
    <row r="111" spans="1:98" s="7" customFormat="1" ht="24.75" customHeight="1" x14ac:dyDescent="0.2">
      <c r="A111" s="41">
        <v>3</v>
      </c>
      <c r="B111" s="653" t="s">
        <v>614</v>
      </c>
      <c r="C111" s="29" t="s">
        <v>290</v>
      </c>
      <c r="D111" s="147">
        <v>40</v>
      </c>
      <c r="E111" s="1568">
        <v>20</v>
      </c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1">
        <f t="shared" ref="Q111" si="475">SUM(E111:P111)</f>
        <v>20</v>
      </c>
      <c r="R111" s="594" t="s">
        <v>14</v>
      </c>
      <c r="S111" s="595">
        <v>10300</v>
      </c>
      <c r="T111" s="1530">
        <v>10300</v>
      </c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69">
        <f t="shared" ref="AF111" si="476">SUM(Q111*S111)</f>
        <v>206000</v>
      </c>
      <c r="AG111" s="70">
        <f t="shared" ref="AG111" si="477">T111*E111</f>
        <v>206000</v>
      </c>
      <c r="AH111" s="70">
        <f t="shared" ref="AH111" si="478">U111*F111</f>
        <v>0</v>
      </c>
      <c r="AI111" s="70">
        <f t="shared" ref="AI111" si="479">V111*G111</f>
        <v>0</v>
      </c>
      <c r="AJ111" s="70">
        <f t="shared" ref="AJ111" si="480">W111*H111</f>
        <v>0</v>
      </c>
      <c r="AK111" s="70">
        <f t="shared" ref="AK111" si="481">X111*I111</f>
        <v>0</v>
      </c>
      <c r="AL111" s="70">
        <f t="shared" ref="AL111" si="482">Y111*J111</f>
        <v>0</v>
      </c>
      <c r="AM111" s="70">
        <f t="shared" ref="AM111" si="483">Z111*K111</f>
        <v>0</v>
      </c>
      <c r="AN111" s="70">
        <f t="shared" ref="AN111" si="484">AA111*L111</f>
        <v>0</v>
      </c>
      <c r="AO111" s="70">
        <f t="shared" ref="AO111" si="485">AB111*M111</f>
        <v>0</v>
      </c>
      <c r="AP111" s="70">
        <f t="shared" ref="AP111" si="486">AC111*N111</f>
        <v>0</v>
      </c>
      <c r="AQ111" s="70">
        <f t="shared" ref="AQ111" si="487">AD111*O111</f>
        <v>0</v>
      </c>
      <c r="AR111" s="70">
        <f t="shared" ref="AR111" si="488">AE111*P111</f>
        <v>0</v>
      </c>
      <c r="AS111" s="71">
        <f t="shared" ref="AS111" si="489">SUM(AG111:AR111)</f>
        <v>206000</v>
      </c>
      <c r="AT111" s="70">
        <f>SUM(AG111*2%)</f>
        <v>4120</v>
      </c>
      <c r="AU111" s="70">
        <f t="shared" ref="AU111" si="490">SUM(AH111*14%)</f>
        <v>0</v>
      </c>
      <c r="AV111" s="70">
        <f>SUM(AI111*4%)</f>
        <v>0</v>
      </c>
      <c r="AW111" s="70">
        <f t="shared" ref="AW111" si="491">SUM(AJ111*14%)</f>
        <v>0</v>
      </c>
      <c r="AX111" s="70">
        <f t="shared" ref="AX111" si="492">SUM(AK111*14%)</f>
        <v>0</v>
      </c>
      <c r="AY111" s="70">
        <f t="shared" ref="AY111" si="493">SUM(AL111*14%)</f>
        <v>0</v>
      </c>
      <c r="AZ111" s="70">
        <f t="shared" ref="AZ111" si="494">SUM(AM111*14%)</f>
        <v>0</v>
      </c>
      <c r="BA111" s="70">
        <f t="shared" ref="BA111" si="495">SUM(AN111*14%)</f>
        <v>0</v>
      </c>
      <c r="BB111" s="70">
        <f t="shared" ref="BB111" si="496">SUM(AO111*14%)</f>
        <v>0</v>
      </c>
      <c r="BC111" s="70">
        <f t="shared" ref="BC111" si="497">SUM(AP111*14%)</f>
        <v>0</v>
      </c>
      <c r="BD111" s="70">
        <f t="shared" ref="BD111" si="498">SUM(AQ111*14%)</f>
        <v>0</v>
      </c>
      <c r="BE111" s="70">
        <f t="shared" ref="BE111" si="499">SUM(AR111*14%)</f>
        <v>0</v>
      </c>
      <c r="BF111" s="72">
        <f t="shared" ref="BF111" si="500">SUM(AT111:BE111)</f>
        <v>4120</v>
      </c>
      <c r="BG111" s="73">
        <f>AF111-AS111</f>
        <v>0</v>
      </c>
      <c r="BH111" s="74">
        <f t="shared" ref="BH111" si="501">S111*D111</f>
        <v>412000</v>
      </c>
      <c r="BI111" s="75">
        <f>BH111-AS111</f>
        <v>206000</v>
      </c>
      <c r="BJ111" s="163">
        <f t="shared" ref="BJ111:BJ119" si="502">SUM(Q111/D111)</f>
        <v>0.5</v>
      </c>
      <c r="BK111" s="1081"/>
      <c r="BL111" s="1081"/>
      <c r="BM111" s="1083"/>
      <c r="BN111" s="1084"/>
      <c r="BO111" s="862"/>
      <c r="BP111" s="862"/>
      <c r="BQ111" s="862"/>
      <c r="BR111" s="862"/>
      <c r="BS111" s="862"/>
      <c r="BT111" s="862"/>
      <c r="BU111" s="862"/>
      <c r="BV111" s="862"/>
      <c r="BW111" s="1081">
        <f t="shared" si="472"/>
        <v>0</v>
      </c>
      <c r="BX111" s="862"/>
      <c r="BY111" s="862"/>
      <c r="BZ111" s="862"/>
      <c r="CA111" s="73">
        <f t="shared" ref="CA111:CA113" si="503">SUM(BO111:BZ111)</f>
        <v>0</v>
      </c>
      <c r="CB111" s="862"/>
      <c r="CC111" s="862"/>
      <c r="CD111" s="862"/>
      <c r="CE111" s="862"/>
      <c r="CF111" s="862"/>
      <c r="CG111" s="862"/>
      <c r="CH111" s="862"/>
      <c r="CI111" s="862"/>
      <c r="CJ111" s="1081"/>
      <c r="CK111" s="862"/>
      <c r="CL111" s="862"/>
      <c r="CM111" s="862"/>
      <c r="CN111" s="73">
        <f t="shared" si="474"/>
        <v>0</v>
      </c>
    </row>
    <row r="112" spans="1:98" s="7" customFormat="1" ht="24.75" customHeight="1" x14ac:dyDescent="0.2">
      <c r="A112" s="41">
        <v>4</v>
      </c>
      <c r="B112" s="653" t="s">
        <v>396</v>
      </c>
      <c r="C112" s="29" t="s">
        <v>290</v>
      </c>
      <c r="D112" s="147">
        <v>20</v>
      </c>
      <c r="E112" s="1568">
        <v>10</v>
      </c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1">
        <f t="shared" ref="Q112:Q119" si="504">SUM(E112:P112)</f>
        <v>10</v>
      </c>
      <c r="R112" s="594" t="s">
        <v>31</v>
      </c>
      <c r="S112" s="595">
        <v>28500</v>
      </c>
      <c r="T112" s="1530">
        <v>28000</v>
      </c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69">
        <f t="shared" ref="AF112:AF119" si="505">SUM(Q112*S112)</f>
        <v>285000</v>
      </c>
      <c r="AG112" s="70">
        <f t="shared" ref="AG112:AG119" si="506">T112*E112</f>
        <v>280000</v>
      </c>
      <c r="AH112" s="70">
        <f t="shared" si="449"/>
        <v>0</v>
      </c>
      <c r="AI112" s="70">
        <f t="shared" si="450"/>
        <v>0</v>
      </c>
      <c r="AJ112" s="70">
        <f t="shared" si="451"/>
        <v>0</v>
      </c>
      <c r="AK112" s="70">
        <f t="shared" si="452"/>
        <v>0</v>
      </c>
      <c r="AL112" s="70">
        <f t="shared" si="453"/>
        <v>0</v>
      </c>
      <c r="AM112" s="70">
        <f t="shared" si="454"/>
        <v>0</v>
      </c>
      <c r="AN112" s="70">
        <f t="shared" si="455"/>
        <v>0</v>
      </c>
      <c r="AO112" s="70">
        <f t="shared" si="456"/>
        <v>0</v>
      </c>
      <c r="AP112" s="70">
        <f t="shared" si="457"/>
        <v>0</v>
      </c>
      <c r="AQ112" s="70">
        <f t="shared" si="458"/>
        <v>0</v>
      </c>
      <c r="AR112" s="70">
        <f t="shared" si="459"/>
        <v>0</v>
      </c>
      <c r="AS112" s="71">
        <f t="shared" si="460"/>
        <v>280000</v>
      </c>
      <c r="AT112" s="70">
        <f>SUM(AG112*12%)</f>
        <v>33600</v>
      </c>
      <c r="AU112" s="70">
        <f t="shared" ref="AU112" si="507">SUM(AH112*14%)</f>
        <v>0</v>
      </c>
      <c r="AV112" s="70">
        <f>SUM(AI112*4%)</f>
        <v>0</v>
      </c>
      <c r="AW112" s="70">
        <f t="shared" ref="AW112:AW118" si="508">SUM(AJ112*14%)</f>
        <v>0</v>
      </c>
      <c r="AX112" s="70">
        <f t="shared" ref="AX112:AX118" si="509">SUM(AK112*14%)</f>
        <v>0</v>
      </c>
      <c r="AY112" s="70">
        <f t="shared" ref="AY112:AY118" si="510">SUM(AL112*14%)</f>
        <v>0</v>
      </c>
      <c r="AZ112" s="70">
        <f t="shared" ref="AZ112:AZ118" si="511">SUM(AM112*14%)</f>
        <v>0</v>
      </c>
      <c r="BA112" s="70">
        <f t="shared" ref="BA112:BA118" si="512">SUM(AN112*14%)</f>
        <v>0</v>
      </c>
      <c r="BB112" s="70">
        <f t="shared" ref="BB112:BB118" si="513">SUM(AO112*14%)</f>
        <v>0</v>
      </c>
      <c r="BC112" s="70">
        <f t="shared" ref="BC112:BC118" si="514">SUM(AP112*14%)</f>
        <v>0</v>
      </c>
      <c r="BD112" s="70">
        <f t="shared" ref="BD112:BD118" si="515">SUM(AQ112*14%)</f>
        <v>0</v>
      </c>
      <c r="BE112" s="70">
        <f t="shared" ref="BE112:BE118" si="516">SUM(AR112*14%)</f>
        <v>0</v>
      </c>
      <c r="BF112" s="72">
        <f t="shared" ref="BF112:BF116" si="517">SUM(AT112:BE112)</f>
        <v>33600</v>
      </c>
      <c r="BG112" s="73">
        <f t="shared" ref="BG112:BG119" si="518">AF112-AS112</f>
        <v>5000</v>
      </c>
      <c r="BH112" s="74">
        <f t="shared" si="470"/>
        <v>570000</v>
      </c>
      <c r="BI112" s="75">
        <f t="shared" ref="BI112:BI116" si="519">BH112-AS112</f>
        <v>290000</v>
      </c>
      <c r="BJ112" s="163">
        <f t="shared" si="502"/>
        <v>0.5</v>
      </c>
      <c r="BK112" s="1081"/>
      <c r="BL112" s="1081"/>
      <c r="BM112" s="1083"/>
      <c r="BN112" s="1084"/>
      <c r="BO112" s="862"/>
      <c r="BP112" s="862"/>
      <c r="BQ112" s="862"/>
      <c r="BR112" s="862"/>
      <c r="BS112" s="862"/>
      <c r="BT112" s="862"/>
      <c r="BU112" s="862"/>
      <c r="BV112" s="862"/>
      <c r="BW112" s="1081">
        <f t="shared" si="472"/>
        <v>0</v>
      </c>
      <c r="BX112" s="862"/>
      <c r="BY112" s="862"/>
      <c r="BZ112" s="862"/>
      <c r="CA112" s="73">
        <f t="shared" si="503"/>
        <v>0</v>
      </c>
      <c r="CB112" s="862"/>
      <c r="CC112" s="862"/>
      <c r="CD112" s="862"/>
      <c r="CE112" s="862"/>
      <c r="CF112" s="862"/>
      <c r="CG112" s="862"/>
      <c r="CH112" s="862"/>
      <c r="CI112" s="862"/>
      <c r="CJ112" s="1081"/>
      <c r="CK112" s="862"/>
      <c r="CL112" s="862"/>
      <c r="CM112" s="862"/>
      <c r="CN112" s="73">
        <f t="shared" si="474"/>
        <v>0</v>
      </c>
    </row>
    <row r="113" spans="1:98" s="7" customFormat="1" ht="24.75" customHeight="1" x14ac:dyDescent="0.2">
      <c r="A113" s="41">
        <v>5</v>
      </c>
      <c r="B113" s="653" t="s">
        <v>430</v>
      </c>
      <c r="C113" s="29" t="s">
        <v>290</v>
      </c>
      <c r="D113" s="147">
        <v>1</v>
      </c>
      <c r="E113" s="1568">
        <v>1</v>
      </c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1">
        <f t="shared" si="504"/>
        <v>1</v>
      </c>
      <c r="R113" s="594" t="s">
        <v>31</v>
      </c>
      <c r="S113" s="595">
        <v>21500</v>
      </c>
      <c r="T113" s="1530">
        <v>15000</v>
      </c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69">
        <f t="shared" si="505"/>
        <v>21500</v>
      </c>
      <c r="AG113" s="70">
        <f t="shared" si="506"/>
        <v>15000</v>
      </c>
      <c r="AH113" s="70">
        <f t="shared" si="449"/>
        <v>0</v>
      </c>
      <c r="AI113" s="70">
        <f t="shared" si="450"/>
        <v>0</v>
      </c>
      <c r="AJ113" s="70">
        <f t="shared" si="451"/>
        <v>0</v>
      </c>
      <c r="AK113" s="70">
        <f t="shared" si="452"/>
        <v>0</v>
      </c>
      <c r="AL113" s="70">
        <f t="shared" si="453"/>
        <v>0</v>
      </c>
      <c r="AM113" s="70">
        <f t="shared" si="454"/>
        <v>0</v>
      </c>
      <c r="AN113" s="70">
        <f t="shared" si="455"/>
        <v>0</v>
      </c>
      <c r="AO113" s="70">
        <f t="shared" si="456"/>
        <v>0</v>
      </c>
      <c r="AP113" s="70">
        <f t="shared" si="457"/>
        <v>0</v>
      </c>
      <c r="AQ113" s="70">
        <f t="shared" si="458"/>
        <v>0</v>
      </c>
      <c r="AR113" s="70">
        <f t="shared" si="459"/>
        <v>0</v>
      </c>
      <c r="AS113" s="71">
        <f t="shared" si="460"/>
        <v>15000</v>
      </c>
      <c r="AT113" s="70"/>
      <c r="AU113" s="70">
        <f t="shared" ref="AU113" si="520">SUM(AH113*15%)</f>
        <v>0</v>
      </c>
      <c r="AV113" s="70">
        <f t="shared" ref="AV113" si="521">SUM(AI113*15%)</f>
        <v>0</v>
      </c>
      <c r="AW113" s="70">
        <f t="shared" si="508"/>
        <v>0</v>
      </c>
      <c r="AX113" s="70">
        <f t="shared" si="509"/>
        <v>0</v>
      </c>
      <c r="AY113" s="70">
        <f t="shared" si="510"/>
        <v>0</v>
      </c>
      <c r="AZ113" s="70">
        <f t="shared" si="511"/>
        <v>0</v>
      </c>
      <c r="BA113" s="70">
        <f t="shared" si="512"/>
        <v>0</v>
      </c>
      <c r="BB113" s="70">
        <f t="shared" si="513"/>
        <v>0</v>
      </c>
      <c r="BC113" s="70">
        <f t="shared" si="514"/>
        <v>0</v>
      </c>
      <c r="BD113" s="70">
        <f t="shared" si="515"/>
        <v>0</v>
      </c>
      <c r="BE113" s="70">
        <f t="shared" si="516"/>
        <v>0</v>
      </c>
      <c r="BF113" s="72">
        <f t="shared" si="517"/>
        <v>0</v>
      </c>
      <c r="BG113" s="73">
        <f t="shared" si="518"/>
        <v>6500</v>
      </c>
      <c r="BH113" s="74">
        <f t="shared" si="470"/>
        <v>21500</v>
      </c>
      <c r="BI113" s="75">
        <f t="shared" si="519"/>
        <v>6500</v>
      </c>
      <c r="BJ113" s="163">
        <f t="shared" si="502"/>
        <v>1</v>
      </c>
      <c r="BK113" s="1081"/>
      <c r="BL113" s="1081"/>
      <c r="BM113" s="1083"/>
      <c r="BN113" s="1084"/>
      <c r="BO113" s="862"/>
      <c r="BP113" s="862"/>
      <c r="BQ113" s="862"/>
      <c r="BR113" s="862"/>
      <c r="BS113" s="862"/>
      <c r="BT113" s="862"/>
      <c r="BU113" s="862"/>
      <c r="BV113" s="862"/>
      <c r="BW113" s="1081">
        <f t="shared" si="472"/>
        <v>0</v>
      </c>
      <c r="BX113" s="862"/>
      <c r="BY113" s="862"/>
      <c r="BZ113" s="862"/>
      <c r="CA113" s="73">
        <f t="shared" si="503"/>
        <v>0</v>
      </c>
      <c r="CB113" s="862"/>
      <c r="CC113" s="862"/>
      <c r="CD113" s="862"/>
      <c r="CE113" s="862"/>
      <c r="CF113" s="862"/>
      <c r="CG113" s="862"/>
      <c r="CH113" s="862"/>
      <c r="CI113" s="862"/>
      <c r="CJ113" s="1081"/>
      <c r="CK113" s="862"/>
      <c r="CL113" s="862"/>
      <c r="CM113" s="862"/>
      <c r="CN113" s="1081">
        <f t="shared" ref="CN113" si="522">SUM(BR113-CI113)</f>
        <v>0</v>
      </c>
    </row>
    <row r="114" spans="1:98" s="7" customFormat="1" ht="24.75" customHeight="1" x14ac:dyDescent="0.2">
      <c r="A114" s="41">
        <v>6</v>
      </c>
      <c r="B114" s="653" t="s">
        <v>498</v>
      </c>
      <c r="C114" s="29" t="s">
        <v>290</v>
      </c>
      <c r="D114" s="147">
        <v>2</v>
      </c>
      <c r="E114" s="1587">
        <v>2</v>
      </c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1">
        <f t="shared" si="504"/>
        <v>2</v>
      </c>
      <c r="R114" s="594" t="s">
        <v>2</v>
      </c>
      <c r="S114" s="595">
        <v>18000</v>
      </c>
      <c r="T114" s="1530">
        <v>17000</v>
      </c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69">
        <f t="shared" si="505"/>
        <v>36000</v>
      </c>
      <c r="AG114" s="70">
        <f t="shared" si="506"/>
        <v>34000</v>
      </c>
      <c r="AH114" s="70">
        <f t="shared" si="449"/>
        <v>0</v>
      </c>
      <c r="AI114" s="70">
        <f t="shared" si="450"/>
        <v>0</v>
      </c>
      <c r="AJ114" s="70">
        <f t="shared" si="451"/>
        <v>0</v>
      </c>
      <c r="AK114" s="70">
        <f t="shared" si="452"/>
        <v>0</v>
      </c>
      <c r="AL114" s="70">
        <f t="shared" si="453"/>
        <v>0</v>
      </c>
      <c r="AM114" s="70">
        <f t="shared" si="454"/>
        <v>0</v>
      </c>
      <c r="AN114" s="70">
        <f t="shared" si="455"/>
        <v>0</v>
      </c>
      <c r="AO114" s="70">
        <f t="shared" si="456"/>
        <v>0</v>
      </c>
      <c r="AP114" s="70">
        <f t="shared" si="457"/>
        <v>0</v>
      </c>
      <c r="AQ114" s="70">
        <f t="shared" si="458"/>
        <v>0</v>
      </c>
      <c r="AR114" s="70">
        <f t="shared" si="459"/>
        <v>0</v>
      </c>
      <c r="AS114" s="71">
        <f t="shared" si="460"/>
        <v>34000</v>
      </c>
      <c r="AT114" s="70"/>
      <c r="AU114" s="70">
        <f t="shared" ref="AU114:AU116" si="523">SUM(AH114*14%)</f>
        <v>0</v>
      </c>
      <c r="AV114" s="70">
        <f>SUM(AI114*4%)</f>
        <v>0</v>
      </c>
      <c r="AW114" s="70">
        <f t="shared" si="508"/>
        <v>0</v>
      </c>
      <c r="AX114" s="70">
        <f t="shared" si="509"/>
        <v>0</v>
      </c>
      <c r="AY114" s="70">
        <f t="shared" si="510"/>
        <v>0</v>
      </c>
      <c r="AZ114" s="70">
        <f t="shared" si="511"/>
        <v>0</v>
      </c>
      <c r="BA114" s="70">
        <f t="shared" si="512"/>
        <v>0</v>
      </c>
      <c r="BB114" s="70">
        <f t="shared" si="513"/>
        <v>0</v>
      </c>
      <c r="BC114" s="70">
        <f t="shared" si="514"/>
        <v>0</v>
      </c>
      <c r="BD114" s="70">
        <f t="shared" si="515"/>
        <v>0</v>
      </c>
      <c r="BE114" s="70">
        <f t="shared" si="516"/>
        <v>0</v>
      </c>
      <c r="BF114" s="72">
        <f t="shared" si="517"/>
        <v>0</v>
      </c>
      <c r="BG114" s="73">
        <f t="shared" si="518"/>
        <v>2000</v>
      </c>
      <c r="BH114" s="74">
        <f t="shared" si="470"/>
        <v>36000</v>
      </c>
      <c r="BI114" s="75">
        <f t="shared" si="519"/>
        <v>2000</v>
      </c>
      <c r="BJ114" s="163">
        <f t="shared" si="502"/>
        <v>1</v>
      </c>
      <c r="BK114" s="1081"/>
      <c r="BL114" s="1081"/>
      <c r="BM114" s="1083"/>
      <c r="BN114" s="1084"/>
      <c r="BO114" s="862"/>
      <c r="BP114" s="862"/>
      <c r="BQ114" s="862"/>
      <c r="BR114" s="862"/>
      <c r="BS114" s="862"/>
      <c r="BT114" s="862"/>
      <c r="BU114" s="862"/>
      <c r="BV114" s="862"/>
      <c r="BW114" s="1081">
        <f t="shared" ref="BW114:BW120" si="524">SUM(AN114*12.5%)</f>
        <v>0</v>
      </c>
      <c r="BX114" s="862"/>
      <c r="BY114" s="862"/>
      <c r="BZ114" s="862"/>
      <c r="CA114" s="73">
        <f t="shared" ref="CA114:CA120" si="525">SUM(BO114:BZ114)</f>
        <v>0</v>
      </c>
      <c r="CB114" s="862"/>
      <c r="CC114" s="862"/>
      <c r="CD114" s="862"/>
      <c r="CE114" s="862"/>
      <c r="CF114" s="862"/>
      <c r="CG114" s="862"/>
      <c r="CH114" s="862"/>
      <c r="CI114" s="862"/>
      <c r="CJ114" s="1081"/>
      <c r="CK114" s="862"/>
      <c r="CL114" s="862"/>
      <c r="CM114" s="862"/>
      <c r="CN114" s="1081">
        <f t="shared" ref="CN114:CN120" si="526">SUM(BR114-CI114)</f>
        <v>0</v>
      </c>
    </row>
    <row r="115" spans="1:98" s="7" customFormat="1" ht="24.75" customHeight="1" x14ac:dyDescent="0.2">
      <c r="A115" s="41">
        <v>7</v>
      </c>
      <c r="B115" s="653" t="s">
        <v>109</v>
      </c>
      <c r="C115" s="29" t="s">
        <v>290</v>
      </c>
      <c r="D115" s="147">
        <v>6</v>
      </c>
      <c r="E115" s="1587">
        <v>3</v>
      </c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1">
        <f t="shared" si="504"/>
        <v>3</v>
      </c>
      <c r="R115" s="594" t="s">
        <v>16</v>
      </c>
      <c r="S115" s="595">
        <v>50000</v>
      </c>
      <c r="T115" s="1530">
        <v>50000</v>
      </c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69">
        <f t="shared" si="505"/>
        <v>150000</v>
      </c>
      <c r="AG115" s="70">
        <f t="shared" si="506"/>
        <v>150000</v>
      </c>
      <c r="AH115" s="70">
        <f t="shared" si="449"/>
        <v>0</v>
      </c>
      <c r="AI115" s="70">
        <f t="shared" si="450"/>
        <v>0</v>
      </c>
      <c r="AJ115" s="70">
        <f t="shared" si="451"/>
        <v>0</v>
      </c>
      <c r="AK115" s="70">
        <f t="shared" si="452"/>
        <v>0</v>
      </c>
      <c r="AL115" s="70">
        <f t="shared" si="453"/>
        <v>0</v>
      </c>
      <c r="AM115" s="70">
        <f t="shared" si="454"/>
        <v>0</v>
      </c>
      <c r="AN115" s="70">
        <f t="shared" si="455"/>
        <v>0</v>
      </c>
      <c r="AO115" s="70">
        <f t="shared" si="456"/>
        <v>0</v>
      </c>
      <c r="AP115" s="70">
        <f t="shared" si="457"/>
        <v>0</v>
      </c>
      <c r="AQ115" s="70">
        <f t="shared" si="458"/>
        <v>0</v>
      </c>
      <c r="AR115" s="70">
        <f t="shared" si="459"/>
        <v>0</v>
      </c>
      <c r="AS115" s="71">
        <f t="shared" si="460"/>
        <v>150000</v>
      </c>
      <c r="AT115" s="70"/>
      <c r="AU115" s="70">
        <f t="shared" si="523"/>
        <v>0</v>
      </c>
      <c r="AV115" s="70">
        <f>SUM(AI115*4%)</f>
        <v>0</v>
      </c>
      <c r="AW115" s="70">
        <f t="shared" si="508"/>
        <v>0</v>
      </c>
      <c r="AX115" s="70">
        <f t="shared" si="509"/>
        <v>0</v>
      </c>
      <c r="AY115" s="70">
        <f t="shared" si="510"/>
        <v>0</v>
      </c>
      <c r="AZ115" s="70">
        <f t="shared" si="511"/>
        <v>0</v>
      </c>
      <c r="BA115" s="70">
        <f t="shared" si="512"/>
        <v>0</v>
      </c>
      <c r="BB115" s="70">
        <f t="shared" si="513"/>
        <v>0</v>
      </c>
      <c r="BC115" s="70">
        <f t="shared" si="514"/>
        <v>0</v>
      </c>
      <c r="BD115" s="70">
        <f t="shared" si="515"/>
        <v>0</v>
      </c>
      <c r="BE115" s="70">
        <f t="shared" si="516"/>
        <v>0</v>
      </c>
      <c r="BF115" s="72">
        <f t="shared" si="517"/>
        <v>0</v>
      </c>
      <c r="BG115" s="73">
        <f t="shared" si="518"/>
        <v>0</v>
      </c>
      <c r="BH115" s="74">
        <f t="shared" si="470"/>
        <v>300000</v>
      </c>
      <c r="BI115" s="75">
        <f t="shared" si="519"/>
        <v>150000</v>
      </c>
      <c r="BJ115" s="163">
        <f t="shared" si="502"/>
        <v>0.5</v>
      </c>
      <c r="BK115" s="1081"/>
      <c r="BL115" s="1081"/>
      <c r="BM115" s="1083"/>
      <c r="BN115" s="1084"/>
      <c r="BO115" s="862"/>
      <c r="BP115" s="862"/>
      <c r="BQ115" s="862"/>
      <c r="BR115" s="862"/>
      <c r="BS115" s="862"/>
      <c r="BT115" s="862"/>
      <c r="BU115" s="862"/>
      <c r="BV115" s="862"/>
      <c r="BW115" s="1081">
        <f t="shared" si="524"/>
        <v>0</v>
      </c>
      <c r="BX115" s="862"/>
      <c r="BY115" s="862"/>
      <c r="BZ115" s="862"/>
      <c r="CA115" s="73">
        <f t="shared" si="525"/>
        <v>0</v>
      </c>
      <c r="CB115" s="862"/>
      <c r="CC115" s="862"/>
      <c r="CD115" s="862"/>
      <c r="CE115" s="862"/>
      <c r="CF115" s="862"/>
      <c r="CG115" s="862"/>
      <c r="CH115" s="862"/>
      <c r="CI115" s="862"/>
      <c r="CJ115" s="1081"/>
      <c r="CK115" s="862"/>
      <c r="CL115" s="862"/>
      <c r="CM115" s="862"/>
      <c r="CN115" s="1081">
        <f t="shared" si="526"/>
        <v>0</v>
      </c>
    </row>
    <row r="116" spans="1:98" s="7" customFormat="1" ht="24.75" customHeight="1" x14ac:dyDescent="0.2">
      <c r="A116" s="41">
        <v>8</v>
      </c>
      <c r="B116" s="653" t="s">
        <v>32</v>
      </c>
      <c r="C116" s="29" t="s">
        <v>290</v>
      </c>
      <c r="D116" s="147">
        <v>2</v>
      </c>
      <c r="E116" s="1587">
        <v>2</v>
      </c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1">
        <f t="shared" si="504"/>
        <v>2</v>
      </c>
      <c r="R116" s="594" t="s">
        <v>35</v>
      </c>
      <c r="S116" s="595">
        <v>35000</v>
      </c>
      <c r="T116" s="1530">
        <v>35000</v>
      </c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69">
        <f t="shared" si="505"/>
        <v>70000</v>
      </c>
      <c r="AG116" s="70">
        <f t="shared" si="506"/>
        <v>70000</v>
      </c>
      <c r="AH116" s="70">
        <f t="shared" si="449"/>
        <v>0</v>
      </c>
      <c r="AI116" s="70">
        <f t="shared" si="450"/>
        <v>0</v>
      </c>
      <c r="AJ116" s="70">
        <f t="shared" si="451"/>
        <v>0</v>
      </c>
      <c r="AK116" s="70">
        <f t="shared" si="452"/>
        <v>0</v>
      </c>
      <c r="AL116" s="70">
        <f t="shared" si="453"/>
        <v>0</v>
      </c>
      <c r="AM116" s="70">
        <f t="shared" si="454"/>
        <v>0</v>
      </c>
      <c r="AN116" s="70">
        <f t="shared" si="455"/>
        <v>0</v>
      </c>
      <c r="AO116" s="70">
        <f t="shared" si="456"/>
        <v>0</v>
      </c>
      <c r="AP116" s="70">
        <f t="shared" si="457"/>
        <v>0</v>
      </c>
      <c r="AQ116" s="70">
        <f t="shared" si="458"/>
        <v>0</v>
      </c>
      <c r="AR116" s="70">
        <f t="shared" si="459"/>
        <v>0</v>
      </c>
      <c r="AS116" s="71">
        <f t="shared" si="460"/>
        <v>70000</v>
      </c>
      <c r="AT116" s="70">
        <f>SUM(AG116*2%)</f>
        <v>1400</v>
      </c>
      <c r="AU116" s="70">
        <f t="shared" si="523"/>
        <v>0</v>
      </c>
      <c r="AV116" s="70">
        <f>SUM(AI116*4%)</f>
        <v>0</v>
      </c>
      <c r="AW116" s="70">
        <f t="shared" si="508"/>
        <v>0</v>
      </c>
      <c r="AX116" s="70">
        <f t="shared" si="509"/>
        <v>0</v>
      </c>
      <c r="AY116" s="70">
        <f t="shared" si="510"/>
        <v>0</v>
      </c>
      <c r="AZ116" s="70">
        <f t="shared" si="511"/>
        <v>0</v>
      </c>
      <c r="BA116" s="70">
        <f t="shared" si="512"/>
        <v>0</v>
      </c>
      <c r="BB116" s="70">
        <f t="shared" si="513"/>
        <v>0</v>
      </c>
      <c r="BC116" s="70">
        <f t="shared" si="514"/>
        <v>0</v>
      </c>
      <c r="BD116" s="70">
        <f t="shared" si="515"/>
        <v>0</v>
      </c>
      <c r="BE116" s="70">
        <f t="shared" si="516"/>
        <v>0</v>
      </c>
      <c r="BF116" s="72">
        <f t="shared" si="517"/>
        <v>1400</v>
      </c>
      <c r="BG116" s="73">
        <f t="shared" si="518"/>
        <v>0</v>
      </c>
      <c r="BH116" s="74">
        <f t="shared" si="470"/>
        <v>70000</v>
      </c>
      <c r="BI116" s="75">
        <f t="shared" si="519"/>
        <v>0</v>
      </c>
      <c r="BJ116" s="163">
        <f t="shared" si="502"/>
        <v>1</v>
      </c>
      <c r="BK116" s="1081"/>
      <c r="BL116" s="1081"/>
      <c r="BM116" s="1083"/>
      <c r="BN116" s="1084"/>
      <c r="BO116" s="862"/>
      <c r="BP116" s="862"/>
      <c r="BQ116" s="862"/>
      <c r="BR116" s="862"/>
      <c r="BS116" s="862"/>
      <c r="BT116" s="862"/>
      <c r="BU116" s="862"/>
      <c r="BV116" s="862"/>
      <c r="BW116" s="1081">
        <f t="shared" si="524"/>
        <v>0</v>
      </c>
      <c r="BX116" s="862"/>
      <c r="BY116" s="862"/>
      <c r="BZ116" s="862"/>
      <c r="CA116" s="73">
        <f t="shared" si="525"/>
        <v>0</v>
      </c>
      <c r="CB116" s="862"/>
      <c r="CC116" s="862"/>
      <c r="CD116" s="862"/>
      <c r="CE116" s="862"/>
      <c r="CF116" s="862"/>
      <c r="CG116" s="862"/>
      <c r="CH116" s="862"/>
      <c r="CI116" s="862"/>
      <c r="CJ116" s="1081"/>
      <c r="CK116" s="862"/>
      <c r="CL116" s="862"/>
      <c r="CM116" s="862"/>
      <c r="CN116" s="1081">
        <f t="shared" si="526"/>
        <v>0</v>
      </c>
    </row>
    <row r="117" spans="1:98" s="7" customFormat="1" ht="24.75" customHeight="1" x14ac:dyDescent="0.2">
      <c r="A117" s="41">
        <v>9</v>
      </c>
      <c r="B117" s="653" t="s">
        <v>734</v>
      </c>
      <c r="C117" s="29" t="s">
        <v>290</v>
      </c>
      <c r="D117" s="147">
        <v>12</v>
      </c>
      <c r="E117" s="156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1">
        <f t="shared" ref="Q117:Q118" si="527">SUM(E117:P117)</f>
        <v>0</v>
      </c>
      <c r="R117" s="594" t="s">
        <v>35</v>
      </c>
      <c r="S117" s="595">
        <v>400000</v>
      </c>
      <c r="T117" s="1530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69">
        <f t="shared" ref="AF117:AF118" si="528">SUM(Q117*S117)</f>
        <v>0</v>
      </c>
      <c r="AG117" s="70">
        <f t="shared" ref="AG117:AG118" si="529">T117*E117</f>
        <v>0</v>
      </c>
      <c r="AH117" s="70">
        <f t="shared" ref="AH117:AH118" si="530">U117*F117</f>
        <v>0</v>
      </c>
      <c r="AI117" s="70">
        <f t="shared" ref="AI117:AI118" si="531">V117*G117</f>
        <v>0</v>
      </c>
      <c r="AJ117" s="70">
        <f t="shared" ref="AJ117:AJ118" si="532">W117*H117</f>
        <v>0</v>
      </c>
      <c r="AK117" s="70">
        <f t="shared" ref="AK117:AK118" si="533">X117*I117</f>
        <v>0</v>
      </c>
      <c r="AL117" s="70">
        <f t="shared" ref="AL117:AL118" si="534">Y117*J117</f>
        <v>0</v>
      </c>
      <c r="AM117" s="70">
        <f t="shared" ref="AM117:AM118" si="535">Z117*K117</f>
        <v>0</v>
      </c>
      <c r="AN117" s="70">
        <f t="shared" ref="AN117:AN118" si="536">AA117*L117</f>
        <v>0</v>
      </c>
      <c r="AO117" s="70">
        <f t="shared" ref="AO117:AO118" si="537">AB117*M117</f>
        <v>0</v>
      </c>
      <c r="AP117" s="70">
        <f t="shared" ref="AP117:AP118" si="538">AC117*N117</f>
        <v>0</v>
      </c>
      <c r="AQ117" s="70">
        <f t="shared" ref="AQ117:AQ118" si="539">AD117*O117</f>
        <v>0</v>
      </c>
      <c r="AR117" s="70">
        <f t="shared" ref="AR117:AR118" si="540">AE117*P117</f>
        <v>0</v>
      </c>
      <c r="AS117" s="71">
        <f t="shared" ref="AS117:AS118" si="541">SUM(AG117:AR117)</f>
        <v>0</v>
      </c>
      <c r="AT117" s="70">
        <f>SUM(AG117*5%)</f>
        <v>0</v>
      </c>
      <c r="AU117" s="70">
        <f t="shared" ref="AU117:AU118" si="542">SUM(AH117*14%)</f>
        <v>0</v>
      </c>
      <c r="AV117" s="70">
        <f t="shared" ref="AV117:AV118" si="543">SUM(AI117*14%)</f>
        <v>0</v>
      </c>
      <c r="AW117" s="70">
        <f t="shared" si="508"/>
        <v>0</v>
      </c>
      <c r="AX117" s="70">
        <f t="shared" si="509"/>
        <v>0</v>
      </c>
      <c r="AY117" s="70">
        <f t="shared" si="510"/>
        <v>0</v>
      </c>
      <c r="AZ117" s="70">
        <f t="shared" si="511"/>
        <v>0</v>
      </c>
      <c r="BA117" s="70">
        <f t="shared" si="512"/>
        <v>0</v>
      </c>
      <c r="BB117" s="70">
        <f t="shared" si="513"/>
        <v>0</v>
      </c>
      <c r="BC117" s="70">
        <f t="shared" si="514"/>
        <v>0</v>
      </c>
      <c r="BD117" s="70">
        <f t="shared" si="515"/>
        <v>0</v>
      </c>
      <c r="BE117" s="70">
        <f t="shared" si="516"/>
        <v>0</v>
      </c>
      <c r="BF117" s="72">
        <f t="shared" ref="BF117:BF118" si="544">SUM(AT117:BE117)</f>
        <v>0</v>
      </c>
      <c r="BG117" s="73">
        <f t="shared" ref="BG117:BG118" si="545">AF117-AS117</f>
        <v>0</v>
      </c>
      <c r="BH117" s="74">
        <f t="shared" ref="BH117:BH118" si="546">S117*D117</f>
        <v>4800000</v>
      </c>
      <c r="BI117" s="75">
        <f>BH117-AG122</f>
        <v>3600000</v>
      </c>
      <c r="BJ117" s="163">
        <f t="shared" ref="BJ117:BJ118" si="547">SUM(Q117/D117)</f>
        <v>0</v>
      </c>
      <c r="BK117" s="1081"/>
      <c r="BL117" s="1081"/>
      <c r="BM117" s="1083"/>
      <c r="BN117" s="1084"/>
      <c r="BO117" s="862"/>
      <c r="BP117" s="862"/>
      <c r="BQ117" s="862"/>
      <c r="BR117" s="862"/>
      <c r="BS117" s="862"/>
      <c r="BT117" s="862"/>
      <c r="BU117" s="862"/>
      <c r="BV117" s="862"/>
      <c r="BW117" s="1081">
        <f t="shared" ref="BW117:BW118" si="548">SUM(AN117*12.5%)</f>
        <v>0</v>
      </c>
      <c r="BX117" s="862"/>
      <c r="BY117" s="862"/>
      <c r="BZ117" s="862"/>
      <c r="CA117" s="73">
        <f t="shared" ref="CA117:CA118" si="549">SUM(BO117:BZ117)</f>
        <v>0</v>
      </c>
      <c r="CB117" s="862"/>
      <c r="CC117" s="862"/>
      <c r="CD117" s="862"/>
      <c r="CE117" s="862"/>
      <c r="CF117" s="862"/>
      <c r="CG117" s="862"/>
      <c r="CH117" s="862"/>
      <c r="CI117" s="862"/>
      <c r="CJ117" s="1081"/>
      <c r="CK117" s="862"/>
      <c r="CL117" s="862"/>
      <c r="CM117" s="862"/>
      <c r="CN117" s="1081">
        <f t="shared" ref="CN117:CN118" si="550">SUM(BR117-CI117)</f>
        <v>0</v>
      </c>
    </row>
    <row r="118" spans="1:98" s="7" customFormat="1" ht="24.75" customHeight="1" x14ac:dyDescent="0.2">
      <c r="A118" s="41">
        <v>10</v>
      </c>
      <c r="B118" s="653" t="s">
        <v>136</v>
      </c>
      <c r="C118" s="29" t="s">
        <v>290</v>
      </c>
      <c r="D118" s="147"/>
      <c r="E118" s="1568">
        <v>2</v>
      </c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1">
        <f t="shared" si="527"/>
        <v>2</v>
      </c>
      <c r="R118" s="594" t="s">
        <v>35</v>
      </c>
      <c r="S118" s="595">
        <v>350000</v>
      </c>
      <c r="T118" s="1530">
        <v>350000</v>
      </c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69">
        <f t="shared" si="528"/>
        <v>700000</v>
      </c>
      <c r="AG118" s="70">
        <f t="shared" si="529"/>
        <v>700000</v>
      </c>
      <c r="AH118" s="70">
        <f t="shared" si="530"/>
        <v>0</v>
      </c>
      <c r="AI118" s="70">
        <f t="shared" si="531"/>
        <v>0</v>
      </c>
      <c r="AJ118" s="70">
        <f t="shared" si="532"/>
        <v>0</v>
      </c>
      <c r="AK118" s="70">
        <f t="shared" si="533"/>
        <v>0</v>
      </c>
      <c r="AL118" s="70">
        <f t="shared" si="534"/>
        <v>0</v>
      </c>
      <c r="AM118" s="70">
        <f t="shared" si="535"/>
        <v>0</v>
      </c>
      <c r="AN118" s="70">
        <f t="shared" si="536"/>
        <v>0</v>
      </c>
      <c r="AO118" s="70">
        <f t="shared" si="537"/>
        <v>0</v>
      </c>
      <c r="AP118" s="70">
        <f t="shared" si="538"/>
        <v>0</v>
      </c>
      <c r="AQ118" s="70">
        <f t="shared" si="539"/>
        <v>0</v>
      </c>
      <c r="AR118" s="70">
        <f t="shared" si="540"/>
        <v>0</v>
      </c>
      <c r="AS118" s="71">
        <f t="shared" si="541"/>
        <v>700000</v>
      </c>
      <c r="AT118" s="70">
        <f>SUM(AG118*15%)</f>
        <v>105000</v>
      </c>
      <c r="AU118" s="70">
        <f t="shared" si="542"/>
        <v>0</v>
      </c>
      <c r="AV118" s="70">
        <f t="shared" si="543"/>
        <v>0</v>
      </c>
      <c r="AW118" s="70">
        <f t="shared" si="508"/>
        <v>0</v>
      </c>
      <c r="AX118" s="70">
        <f t="shared" si="509"/>
        <v>0</v>
      </c>
      <c r="AY118" s="70">
        <f t="shared" si="510"/>
        <v>0</v>
      </c>
      <c r="AZ118" s="70">
        <f t="shared" si="511"/>
        <v>0</v>
      </c>
      <c r="BA118" s="70">
        <f t="shared" si="512"/>
        <v>0</v>
      </c>
      <c r="BB118" s="70">
        <f t="shared" si="513"/>
        <v>0</v>
      </c>
      <c r="BC118" s="70">
        <f t="shared" si="514"/>
        <v>0</v>
      </c>
      <c r="BD118" s="70">
        <f t="shared" si="515"/>
        <v>0</v>
      </c>
      <c r="BE118" s="70">
        <f t="shared" si="516"/>
        <v>0</v>
      </c>
      <c r="BF118" s="72">
        <f t="shared" si="544"/>
        <v>105000</v>
      </c>
      <c r="BG118" s="73">
        <f t="shared" si="545"/>
        <v>0</v>
      </c>
      <c r="BH118" s="74">
        <f t="shared" si="546"/>
        <v>0</v>
      </c>
      <c r="BI118" s="75"/>
      <c r="BJ118" s="163" t="e">
        <f t="shared" si="547"/>
        <v>#DIV/0!</v>
      </c>
      <c r="BK118" s="1081"/>
      <c r="BL118" s="1081"/>
      <c r="BM118" s="1083"/>
      <c r="BN118" s="1084"/>
      <c r="BO118" s="862"/>
      <c r="BP118" s="862"/>
      <c r="BQ118" s="862"/>
      <c r="BR118" s="862"/>
      <c r="BS118" s="862"/>
      <c r="BT118" s="862"/>
      <c r="BU118" s="862"/>
      <c r="BV118" s="862"/>
      <c r="BW118" s="1081">
        <f t="shared" si="548"/>
        <v>0</v>
      </c>
      <c r="BX118" s="862"/>
      <c r="BY118" s="862"/>
      <c r="BZ118" s="862"/>
      <c r="CA118" s="73">
        <f t="shared" si="549"/>
        <v>0</v>
      </c>
      <c r="CB118" s="862"/>
      <c r="CC118" s="862"/>
      <c r="CD118" s="862"/>
      <c r="CE118" s="862"/>
      <c r="CF118" s="862"/>
      <c r="CG118" s="862"/>
      <c r="CH118" s="862"/>
      <c r="CI118" s="862"/>
      <c r="CJ118" s="1081"/>
      <c r="CK118" s="862"/>
      <c r="CL118" s="862"/>
      <c r="CM118" s="862"/>
      <c r="CN118" s="1081">
        <f t="shared" si="550"/>
        <v>0</v>
      </c>
    </row>
    <row r="119" spans="1:98" s="7" customFormat="1" ht="24.75" customHeight="1" thickBot="1" x14ac:dyDescent="0.25">
      <c r="A119" s="41">
        <v>11</v>
      </c>
      <c r="B119" s="653" t="s">
        <v>737</v>
      </c>
      <c r="C119" s="29" t="s">
        <v>290</v>
      </c>
      <c r="D119" s="147"/>
      <c r="E119" s="1568">
        <v>2</v>
      </c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1">
        <f t="shared" si="504"/>
        <v>2</v>
      </c>
      <c r="R119" s="594" t="s">
        <v>35</v>
      </c>
      <c r="S119" s="595">
        <v>250000</v>
      </c>
      <c r="T119" s="1530">
        <v>250000</v>
      </c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69">
        <f t="shared" si="505"/>
        <v>500000</v>
      </c>
      <c r="AG119" s="70">
        <f t="shared" si="506"/>
        <v>500000</v>
      </c>
      <c r="AH119" s="70">
        <f t="shared" si="449"/>
        <v>0</v>
      </c>
      <c r="AI119" s="70">
        <f t="shared" si="450"/>
        <v>0</v>
      </c>
      <c r="AJ119" s="70">
        <f t="shared" si="451"/>
        <v>0</v>
      </c>
      <c r="AK119" s="70">
        <f t="shared" si="452"/>
        <v>0</v>
      </c>
      <c r="AL119" s="70">
        <f t="shared" si="453"/>
        <v>0</v>
      </c>
      <c r="AM119" s="70">
        <f t="shared" si="454"/>
        <v>0</v>
      </c>
      <c r="AN119" s="70">
        <f t="shared" si="455"/>
        <v>0</v>
      </c>
      <c r="AO119" s="70">
        <f t="shared" si="456"/>
        <v>0</v>
      </c>
      <c r="AP119" s="70">
        <f t="shared" si="457"/>
        <v>0</v>
      </c>
      <c r="AQ119" s="70">
        <f t="shared" si="458"/>
        <v>0</v>
      </c>
      <c r="AR119" s="70">
        <f t="shared" si="459"/>
        <v>0</v>
      </c>
      <c r="AS119" s="71">
        <f t="shared" si="460"/>
        <v>500000</v>
      </c>
      <c r="AT119" s="70">
        <f>SUM(AG119*5%)</f>
        <v>25000</v>
      </c>
      <c r="AU119" s="70">
        <f t="shared" ref="AU119" si="551">SUM(AH119*14%)</f>
        <v>0</v>
      </c>
      <c r="AV119" s="70">
        <f t="shared" ref="AV119" si="552">SUM(AI119*14%)</f>
        <v>0</v>
      </c>
      <c r="AW119" s="70">
        <f t="shared" ref="AW119" si="553">SUM(AJ119*14%)</f>
        <v>0</v>
      </c>
      <c r="AX119" s="70">
        <f t="shared" ref="AX119" si="554">SUM(AK119*14%)</f>
        <v>0</v>
      </c>
      <c r="AY119" s="70">
        <f t="shared" ref="AY119" si="555">SUM(AL119*14%)</f>
        <v>0</v>
      </c>
      <c r="AZ119" s="70">
        <f t="shared" ref="AZ119" si="556">SUM(AM119*14%)</f>
        <v>0</v>
      </c>
      <c r="BA119" s="70">
        <f t="shared" ref="BA119" si="557">SUM(AN119*14%)</f>
        <v>0</v>
      </c>
      <c r="BB119" s="70">
        <f t="shared" ref="BB119" si="558">SUM(AO119*14%)</f>
        <v>0</v>
      </c>
      <c r="BC119" s="70">
        <f t="shared" ref="BC119" si="559">SUM(AP119*14%)</f>
        <v>0</v>
      </c>
      <c r="BD119" s="70">
        <f t="shared" ref="BD119" si="560">SUM(AQ119*14%)</f>
        <v>0</v>
      </c>
      <c r="BE119" s="70">
        <f t="shared" ref="BE119" si="561">SUM(AR119*14%)</f>
        <v>0</v>
      </c>
      <c r="BF119" s="72">
        <f t="shared" ref="BF119" si="562">SUM(AT119:BE119)</f>
        <v>25000</v>
      </c>
      <c r="BG119" s="73">
        <f t="shared" si="518"/>
        <v>0</v>
      </c>
      <c r="BH119" s="74">
        <f t="shared" si="470"/>
        <v>0</v>
      </c>
      <c r="BI119" s="75"/>
      <c r="BJ119" s="163" t="e">
        <f t="shared" si="502"/>
        <v>#DIV/0!</v>
      </c>
      <c r="BK119" s="1081"/>
      <c r="BL119" s="1081"/>
      <c r="BM119" s="1083"/>
      <c r="BN119" s="1084"/>
      <c r="BO119" s="862"/>
      <c r="BP119" s="862"/>
      <c r="BQ119" s="862"/>
      <c r="BR119" s="862"/>
      <c r="BS119" s="862"/>
      <c r="BT119" s="862"/>
      <c r="BU119" s="862"/>
      <c r="BV119" s="862"/>
      <c r="BW119" s="1081">
        <f t="shared" si="524"/>
        <v>0</v>
      </c>
      <c r="BX119" s="862"/>
      <c r="BY119" s="862"/>
      <c r="BZ119" s="862"/>
      <c r="CA119" s="73">
        <f t="shared" si="525"/>
        <v>0</v>
      </c>
      <c r="CB119" s="862"/>
      <c r="CC119" s="862"/>
      <c r="CD119" s="862"/>
      <c r="CE119" s="862"/>
      <c r="CF119" s="862"/>
      <c r="CG119" s="862"/>
      <c r="CH119" s="862"/>
      <c r="CI119" s="862"/>
      <c r="CJ119" s="1081"/>
      <c r="CK119" s="862"/>
      <c r="CL119" s="862"/>
      <c r="CM119" s="862"/>
      <c r="CN119" s="1081">
        <f t="shared" si="526"/>
        <v>0</v>
      </c>
    </row>
    <row r="120" spans="1:98" s="38" customFormat="1" ht="24.75" customHeight="1" thickBot="1" x14ac:dyDescent="0.25">
      <c r="A120" s="577">
        <v>10</v>
      </c>
      <c r="B120" s="44" t="s">
        <v>4</v>
      </c>
      <c r="C120" s="44"/>
      <c r="D120" s="45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7"/>
      <c r="R120" s="77"/>
      <c r="S120" s="45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78">
        <f>SUM(AF110:AF119)</f>
        <v>1968500</v>
      </c>
      <c r="AG120" s="78">
        <f>SUM(AG110:AG119)-600000</f>
        <v>1355000</v>
      </c>
      <c r="AH120" s="78">
        <f>SUM(AH110:AH119)</f>
        <v>0</v>
      </c>
      <c r="AI120" s="78">
        <f>SUM(AI110:AI119)</f>
        <v>0</v>
      </c>
      <c r="AJ120" s="78"/>
      <c r="AK120" s="78"/>
      <c r="AL120" s="78"/>
      <c r="AM120" s="78"/>
      <c r="AN120" s="78"/>
      <c r="AO120" s="78"/>
      <c r="AP120" s="78"/>
      <c r="AQ120" s="78"/>
      <c r="AR120" s="78"/>
      <c r="AS120" s="78">
        <f>SUM(AS110:AS119)-600000</f>
        <v>1355000</v>
      </c>
      <c r="AT120" s="78">
        <f t="shared" ref="AS120:BH120" si="563">SUM(AT110:AT119)</f>
        <v>169120</v>
      </c>
      <c r="AU120" s="78">
        <f t="shared" si="563"/>
        <v>0</v>
      </c>
      <c r="AV120" s="78">
        <f t="shared" si="563"/>
        <v>0</v>
      </c>
      <c r="AW120" s="78">
        <f t="shared" si="563"/>
        <v>0</v>
      </c>
      <c r="AX120" s="78">
        <f t="shared" si="563"/>
        <v>0</v>
      </c>
      <c r="AY120" s="78">
        <f t="shared" si="563"/>
        <v>0</v>
      </c>
      <c r="AZ120" s="78">
        <f t="shared" si="563"/>
        <v>0</v>
      </c>
      <c r="BA120" s="78">
        <f t="shared" si="563"/>
        <v>0</v>
      </c>
      <c r="BB120" s="78">
        <f t="shared" si="563"/>
        <v>0</v>
      </c>
      <c r="BC120" s="78">
        <f t="shared" si="563"/>
        <v>0</v>
      </c>
      <c r="BD120" s="78">
        <f t="shared" si="563"/>
        <v>0</v>
      </c>
      <c r="BE120" s="78">
        <f t="shared" si="563"/>
        <v>0</v>
      </c>
      <c r="BF120" s="78">
        <f t="shared" si="563"/>
        <v>169120</v>
      </c>
      <c r="BG120" s="79">
        <f t="shared" si="563"/>
        <v>13500</v>
      </c>
      <c r="BH120" s="78">
        <f t="shared" si="563"/>
        <v>6209500</v>
      </c>
      <c r="BI120" s="78">
        <f>SUM(BI110:BI119)</f>
        <v>4254500</v>
      </c>
      <c r="BJ120" s="164">
        <v>1</v>
      </c>
      <c r="BK120" s="1083"/>
      <c r="BL120" s="1083"/>
      <c r="BM120" s="1083"/>
      <c r="BN120" s="1084"/>
      <c r="BO120" s="862"/>
      <c r="BP120" s="862"/>
      <c r="BQ120" s="862"/>
      <c r="BR120" s="862"/>
      <c r="BS120" s="862"/>
      <c r="BT120" s="862"/>
      <c r="BU120" s="862"/>
      <c r="BV120" s="862"/>
      <c r="BW120" s="1081">
        <f t="shared" si="524"/>
        <v>0</v>
      </c>
      <c r="BX120" s="862"/>
      <c r="BY120" s="862"/>
      <c r="BZ120" s="862"/>
      <c r="CA120" s="73">
        <f t="shared" si="525"/>
        <v>0</v>
      </c>
      <c r="CB120" s="862"/>
      <c r="CC120" s="862"/>
      <c r="CD120" s="862"/>
      <c r="CE120" s="862"/>
      <c r="CF120" s="862"/>
      <c r="CG120" s="862"/>
      <c r="CH120" s="862"/>
      <c r="CI120" s="862"/>
      <c r="CJ120" s="1081"/>
      <c r="CK120" s="862"/>
      <c r="CL120" s="862"/>
      <c r="CM120" s="862"/>
      <c r="CN120" s="1081">
        <f t="shared" si="526"/>
        <v>0</v>
      </c>
    </row>
    <row r="121" spans="1:98" s="20" customFormat="1" ht="24.75" customHeight="1" x14ac:dyDescent="0.2">
      <c r="A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AE121" s="40"/>
      <c r="AS121" s="51"/>
      <c r="AT121" s="404"/>
      <c r="AU121" s="404"/>
      <c r="BF121" s="52">
        <f>SUM(AS120+BF120)</f>
        <v>1524120</v>
      </c>
      <c r="BG121" s="53">
        <f>AF120-AS120</f>
        <v>613500</v>
      </c>
      <c r="BH121" s="54">
        <f>SUM(BI120+AS120)</f>
        <v>5609500</v>
      </c>
      <c r="BI121" s="55">
        <f>SUM(BG120)</f>
        <v>13500</v>
      </c>
      <c r="BJ121" s="165" t="s">
        <v>38</v>
      </c>
      <c r="BK121" s="171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</row>
    <row r="122" spans="1:98" s="20" customFormat="1" ht="24.75" customHeight="1" x14ac:dyDescent="0.2">
      <c r="A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AE122" s="40"/>
      <c r="AG122" s="404">
        <f>AG118+AG119</f>
        <v>1200000</v>
      </c>
      <c r="AS122" s="40"/>
      <c r="AT122" s="388"/>
      <c r="AU122" s="388">
        <f t="shared" ref="AU122" si="564">SUM(AH120+AU120)</f>
        <v>0</v>
      </c>
      <c r="AV122" s="388">
        <f>SUM(AI120+AV120)</f>
        <v>0</v>
      </c>
      <c r="AW122" s="388">
        <f t="shared" ref="AW122" si="565">SUM(AJ120+AW120)</f>
        <v>0</v>
      </c>
      <c r="AX122" s="388">
        <f t="shared" ref="AX122" si="566">SUM(AK120+AX120)</f>
        <v>0</v>
      </c>
      <c r="AY122" s="388">
        <f t="shared" ref="AY122" si="567">SUM(AL120+AY120)</f>
        <v>0</v>
      </c>
      <c r="AZ122" s="388">
        <f t="shared" ref="AZ122" si="568">SUM(AM120+AZ120)</f>
        <v>0</v>
      </c>
      <c r="BA122" s="388">
        <f t="shared" ref="BA122" si="569">SUM(AN120+BA120)</f>
        <v>0</v>
      </c>
      <c r="BB122" s="388">
        <f t="shared" ref="BB122" si="570">SUM(AO120+BB120)</f>
        <v>0</v>
      </c>
      <c r="BC122" s="388">
        <f t="shared" ref="BC122" si="571">SUM(AP120+BC120)</f>
        <v>0</v>
      </c>
      <c r="BD122" s="388">
        <f t="shared" ref="BD122" si="572">SUM(AQ120+BD120)</f>
        <v>0</v>
      </c>
      <c r="BE122" s="388">
        <f t="shared" ref="BE122" si="573">SUM(AR120+BE120)</f>
        <v>0</v>
      </c>
      <c r="BF122" s="388">
        <f>SUM(AT122:BE122)</f>
        <v>0</v>
      </c>
      <c r="BG122" s="40"/>
      <c r="BH122" s="56"/>
      <c r="BI122" s="57">
        <f>SUM(BI120-BI121)</f>
        <v>4241000</v>
      </c>
      <c r="BJ122" s="165" t="s">
        <v>37</v>
      </c>
      <c r="BK122" s="171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</row>
    <row r="123" spans="1:98" s="20" customFormat="1" ht="16.5" customHeight="1" x14ac:dyDescent="0.2">
      <c r="A123" s="1730" t="s">
        <v>8</v>
      </c>
      <c r="B123" s="1731"/>
      <c r="C123" s="124" t="s">
        <v>221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7"/>
      <c r="AF123" s="23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8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8"/>
      <c r="BG123" s="138"/>
      <c r="BH123" s="135"/>
      <c r="BI123" s="139"/>
      <c r="BJ123" s="23"/>
      <c r="BK123" s="169"/>
      <c r="BL123" s="136"/>
      <c r="BM123" s="136"/>
      <c r="BN123" s="136"/>
      <c r="BO123" s="136"/>
      <c r="BP123" s="137"/>
      <c r="BQ123" s="136"/>
      <c r="BR123" s="136"/>
      <c r="BS123" s="136"/>
      <c r="BT123" s="136"/>
      <c r="BU123" s="136"/>
      <c r="BV123" s="138"/>
      <c r="BW123" s="138"/>
      <c r="BX123" s="138"/>
      <c r="BY123" s="135"/>
      <c r="BZ123" s="139"/>
      <c r="CA123" s="138"/>
      <c r="CB123" s="138"/>
      <c r="CC123" s="389"/>
      <c r="CD123" s="389"/>
      <c r="CE123" s="389"/>
      <c r="CF123" s="389"/>
      <c r="CG123" s="389"/>
      <c r="CH123" s="390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</row>
    <row r="124" spans="1:98" s="8" customFormat="1" ht="48.75" customHeight="1" x14ac:dyDescent="0.2">
      <c r="A124" s="1703" t="s">
        <v>10</v>
      </c>
      <c r="B124" s="1706" t="s">
        <v>11</v>
      </c>
      <c r="C124" s="1706" t="s">
        <v>22</v>
      </c>
      <c r="D124" s="1721" t="s">
        <v>12</v>
      </c>
      <c r="E124" s="1721"/>
      <c r="F124" s="1721"/>
      <c r="G124" s="1721"/>
      <c r="H124" s="1721"/>
      <c r="I124" s="1721"/>
      <c r="J124" s="1721"/>
      <c r="K124" s="1721"/>
      <c r="L124" s="1721"/>
      <c r="M124" s="1721"/>
      <c r="N124" s="1721"/>
      <c r="O124" s="1721"/>
      <c r="P124" s="1721"/>
      <c r="Q124" s="1721"/>
      <c r="R124" s="1706" t="s">
        <v>20</v>
      </c>
      <c r="S124" s="1717" t="s">
        <v>17</v>
      </c>
      <c r="T124" s="1718"/>
      <c r="U124" s="1718"/>
      <c r="V124" s="1718"/>
      <c r="W124" s="1718"/>
      <c r="X124" s="1718"/>
      <c r="Y124" s="1718"/>
      <c r="Z124" s="1718"/>
      <c r="AA124" s="1718"/>
      <c r="AB124" s="1718"/>
      <c r="AC124" s="1718"/>
      <c r="AD124" s="1718"/>
      <c r="AE124" s="1719"/>
      <c r="AF124" s="1720" t="s">
        <v>6</v>
      </c>
      <c r="AG124" s="1720"/>
      <c r="AH124" s="1720"/>
      <c r="AI124" s="1720"/>
      <c r="AJ124" s="1720"/>
      <c r="AK124" s="1720"/>
      <c r="AL124" s="1720"/>
      <c r="AM124" s="1720"/>
      <c r="AN124" s="1720"/>
      <c r="AO124" s="1720"/>
      <c r="AP124" s="1720"/>
      <c r="AQ124" s="1720"/>
      <c r="AR124" s="1720"/>
      <c r="AS124" s="1720"/>
      <c r="AT124" s="1722" t="s">
        <v>41</v>
      </c>
      <c r="AU124" s="1723"/>
      <c r="AV124" s="1723"/>
      <c r="AW124" s="1723"/>
      <c r="AX124" s="1723"/>
      <c r="AY124" s="1723"/>
      <c r="AZ124" s="1723"/>
      <c r="BA124" s="1723"/>
      <c r="BB124" s="1723"/>
      <c r="BC124" s="1723"/>
      <c r="BD124" s="1723"/>
      <c r="BE124" s="1723"/>
      <c r="BF124" s="1724"/>
      <c r="BG124" s="1706" t="s">
        <v>38</v>
      </c>
      <c r="BH124" s="1706" t="s">
        <v>256</v>
      </c>
      <c r="BI124" s="1709" t="s">
        <v>39</v>
      </c>
      <c r="BJ124" s="135"/>
      <c r="BK124" s="1283"/>
      <c r="BL124" s="135"/>
      <c r="BM124" s="135"/>
      <c r="BN124" s="135"/>
      <c r="BO124" s="1733" t="s">
        <v>41</v>
      </c>
      <c r="BP124" s="1734"/>
      <c r="BQ124" s="1734"/>
      <c r="BR124" s="1734"/>
      <c r="BS124" s="1734"/>
      <c r="BT124" s="1734"/>
      <c r="BU124" s="1734"/>
      <c r="BV124" s="1734"/>
      <c r="BW124" s="1734"/>
      <c r="BX124" s="1734"/>
      <c r="BY124" s="1734"/>
      <c r="BZ124" s="1734"/>
      <c r="CA124" s="1734"/>
      <c r="CB124" s="1734"/>
      <c r="CC124" s="1734"/>
      <c r="CD124" s="1734"/>
      <c r="CE124" s="1734"/>
      <c r="CF124" s="1734"/>
      <c r="CG124" s="1734"/>
      <c r="CH124" s="1734"/>
      <c r="CI124" s="1734"/>
      <c r="CJ124" s="1734"/>
      <c r="CK124" s="1734"/>
      <c r="CL124" s="1734"/>
      <c r="CM124" s="1734"/>
      <c r="CN124" s="1735"/>
    </row>
    <row r="125" spans="1:98" s="8" customFormat="1" ht="48.75" customHeight="1" x14ac:dyDescent="0.2">
      <c r="A125" s="1704"/>
      <c r="B125" s="1707"/>
      <c r="C125" s="1707"/>
      <c r="D125" s="1712" t="s">
        <v>18</v>
      </c>
      <c r="E125" s="1714" t="s">
        <v>19</v>
      </c>
      <c r="F125" s="1715"/>
      <c r="G125" s="1715"/>
      <c r="H125" s="1715"/>
      <c r="I125" s="1715"/>
      <c r="J125" s="1715"/>
      <c r="K125" s="1715"/>
      <c r="L125" s="1715"/>
      <c r="M125" s="1715"/>
      <c r="N125" s="1715"/>
      <c r="O125" s="1715"/>
      <c r="P125" s="1715"/>
      <c r="Q125" s="1715"/>
      <c r="R125" s="1707"/>
      <c r="S125" s="1712" t="s">
        <v>18</v>
      </c>
      <c r="T125" s="1714" t="s">
        <v>19</v>
      </c>
      <c r="U125" s="1715"/>
      <c r="V125" s="1715"/>
      <c r="W125" s="1715"/>
      <c r="X125" s="1715"/>
      <c r="Y125" s="1715"/>
      <c r="Z125" s="1715"/>
      <c r="AA125" s="1715"/>
      <c r="AB125" s="1715"/>
      <c r="AC125" s="1715"/>
      <c r="AD125" s="1715"/>
      <c r="AE125" s="1716"/>
      <c r="AF125" s="1712" t="s">
        <v>18</v>
      </c>
      <c r="AG125" s="1714" t="s">
        <v>19</v>
      </c>
      <c r="AH125" s="1715"/>
      <c r="AI125" s="1715"/>
      <c r="AJ125" s="1715"/>
      <c r="AK125" s="1715"/>
      <c r="AL125" s="1715"/>
      <c r="AM125" s="1715"/>
      <c r="AN125" s="1715"/>
      <c r="AO125" s="1715"/>
      <c r="AP125" s="1715"/>
      <c r="AQ125" s="1715"/>
      <c r="AR125" s="1715"/>
      <c r="AS125" s="1716"/>
      <c r="AT125" s="1725"/>
      <c r="AU125" s="1726"/>
      <c r="AV125" s="1726"/>
      <c r="AW125" s="1726"/>
      <c r="AX125" s="1726"/>
      <c r="AY125" s="1726"/>
      <c r="AZ125" s="1726"/>
      <c r="BA125" s="1726"/>
      <c r="BB125" s="1726"/>
      <c r="BC125" s="1726"/>
      <c r="BD125" s="1726"/>
      <c r="BE125" s="1726"/>
      <c r="BF125" s="1727"/>
      <c r="BG125" s="1707"/>
      <c r="BH125" s="1707"/>
      <c r="BI125" s="1710"/>
      <c r="BJ125" s="135"/>
      <c r="BK125" s="1736">
        <f>SUM(BK127/60)</f>
        <v>0</v>
      </c>
      <c r="BL125" s="1736"/>
      <c r="BM125" s="1736"/>
      <c r="BN125" s="23"/>
      <c r="BO125" s="1737" t="s">
        <v>686</v>
      </c>
      <c r="BP125" s="1738"/>
      <c r="BQ125" s="1738"/>
      <c r="BR125" s="1738"/>
      <c r="BS125" s="1738"/>
      <c r="BT125" s="1738"/>
      <c r="BU125" s="1738"/>
      <c r="BV125" s="1738"/>
      <c r="BW125" s="1738"/>
      <c r="BX125" s="1738"/>
      <c r="BY125" s="1738"/>
      <c r="BZ125" s="1738"/>
      <c r="CA125" s="1739"/>
      <c r="CB125" s="1740" t="s">
        <v>687</v>
      </c>
      <c r="CC125" s="1741"/>
      <c r="CD125" s="1741"/>
      <c r="CE125" s="1741"/>
      <c r="CF125" s="1741"/>
      <c r="CG125" s="1741"/>
      <c r="CH125" s="1741"/>
      <c r="CI125" s="1741"/>
      <c r="CJ125" s="1741"/>
      <c r="CK125" s="1741"/>
      <c r="CL125" s="1741"/>
      <c r="CM125" s="1741"/>
      <c r="CN125" s="1742"/>
    </row>
    <row r="126" spans="1:98" s="6" customFormat="1" ht="28.5" customHeight="1" x14ac:dyDescent="0.2">
      <c r="A126" s="1792"/>
      <c r="B126" s="1793"/>
      <c r="C126" s="1793"/>
      <c r="D126" s="1791"/>
      <c r="E126" s="378">
        <v>1</v>
      </c>
      <c r="F126" s="378">
        <v>2</v>
      </c>
      <c r="G126" s="378">
        <v>3</v>
      </c>
      <c r="H126" s="378">
        <v>4</v>
      </c>
      <c r="I126" s="378">
        <v>5</v>
      </c>
      <c r="J126" s="378">
        <v>6</v>
      </c>
      <c r="K126" s="378">
        <v>7</v>
      </c>
      <c r="L126" s="378">
        <v>8</v>
      </c>
      <c r="M126" s="378">
        <v>9</v>
      </c>
      <c r="N126" s="378">
        <v>10</v>
      </c>
      <c r="O126" s="378">
        <v>11</v>
      </c>
      <c r="P126" s="378">
        <v>12</v>
      </c>
      <c r="Q126" s="378" t="s">
        <v>21</v>
      </c>
      <c r="R126" s="1793"/>
      <c r="S126" s="1791"/>
      <c r="T126" s="378">
        <v>1</v>
      </c>
      <c r="U126" s="378">
        <v>2</v>
      </c>
      <c r="V126" s="378">
        <v>3</v>
      </c>
      <c r="W126" s="378">
        <v>4</v>
      </c>
      <c r="X126" s="378">
        <v>5</v>
      </c>
      <c r="Y126" s="378">
        <v>6</v>
      </c>
      <c r="Z126" s="378">
        <v>7</v>
      </c>
      <c r="AA126" s="378">
        <v>8</v>
      </c>
      <c r="AB126" s="378">
        <v>9</v>
      </c>
      <c r="AC126" s="378">
        <v>10</v>
      </c>
      <c r="AD126" s="378">
        <v>11</v>
      </c>
      <c r="AE126" s="378">
        <v>12</v>
      </c>
      <c r="AF126" s="1791"/>
      <c r="AG126" s="378">
        <v>1</v>
      </c>
      <c r="AH126" s="378">
        <v>2</v>
      </c>
      <c r="AI126" s="378">
        <v>3</v>
      </c>
      <c r="AJ126" s="378">
        <v>4</v>
      </c>
      <c r="AK126" s="378">
        <v>5</v>
      </c>
      <c r="AL126" s="378">
        <v>6</v>
      </c>
      <c r="AM126" s="378">
        <v>7</v>
      </c>
      <c r="AN126" s="378">
        <v>8</v>
      </c>
      <c r="AO126" s="378">
        <v>9</v>
      </c>
      <c r="AP126" s="378">
        <v>10</v>
      </c>
      <c r="AQ126" s="378">
        <v>11</v>
      </c>
      <c r="AR126" s="378">
        <v>12</v>
      </c>
      <c r="AS126" s="378" t="s">
        <v>13</v>
      </c>
      <c r="AT126" s="654">
        <v>1</v>
      </c>
      <c r="AU126" s="654">
        <v>2</v>
      </c>
      <c r="AV126" s="654">
        <v>3</v>
      </c>
      <c r="AW126" s="654">
        <v>4</v>
      </c>
      <c r="AX126" s="654">
        <v>5</v>
      </c>
      <c r="AY126" s="654">
        <v>6</v>
      </c>
      <c r="AZ126" s="654">
        <v>7</v>
      </c>
      <c r="BA126" s="654">
        <v>8</v>
      </c>
      <c r="BB126" s="654">
        <v>9</v>
      </c>
      <c r="BC126" s="654">
        <v>10</v>
      </c>
      <c r="BD126" s="654">
        <v>11</v>
      </c>
      <c r="BE126" s="654">
        <v>12</v>
      </c>
      <c r="BF126" s="378" t="s">
        <v>13</v>
      </c>
      <c r="BG126" s="1793"/>
      <c r="BH126" s="1793"/>
      <c r="BI126" s="1790"/>
      <c r="BJ126" s="7"/>
      <c r="BK126" s="1743" t="s">
        <v>19</v>
      </c>
      <c r="BL126" s="1744"/>
      <c r="BM126" s="1745"/>
      <c r="BN126" s="621"/>
      <c r="BO126" s="173">
        <v>1</v>
      </c>
      <c r="BP126" s="173">
        <v>2</v>
      </c>
      <c r="BQ126" s="173">
        <v>3</v>
      </c>
      <c r="BR126" s="173">
        <v>4</v>
      </c>
      <c r="BS126" s="173">
        <v>5</v>
      </c>
      <c r="BT126" s="173">
        <v>6</v>
      </c>
      <c r="BU126" s="173">
        <v>7</v>
      </c>
      <c r="BV126" s="173">
        <v>8</v>
      </c>
      <c r="BW126" s="173">
        <v>9</v>
      </c>
      <c r="BX126" s="173">
        <v>10</v>
      </c>
      <c r="BY126" s="173">
        <v>11</v>
      </c>
      <c r="BZ126" s="173">
        <v>12</v>
      </c>
      <c r="CA126" s="26" t="s">
        <v>13</v>
      </c>
      <c r="CB126" s="173">
        <v>1</v>
      </c>
      <c r="CC126" s="173">
        <v>2</v>
      </c>
      <c r="CD126" s="173">
        <v>3</v>
      </c>
      <c r="CE126" s="173">
        <v>4</v>
      </c>
      <c r="CF126" s="173">
        <v>5</v>
      </c>
      <c r="CG126" s="173">
        <v>6</v>
      </c>
      <c r="CH126" s="173">
        <v>7</v>
      </c>
      <c r="CI126" s="173">
        <v>8</v>
      </c>
      <c r="CJ126" s="173">
        <v>9</v>
      </c>
      <c r="CK126" s="173">
        <v>10</v>
      </c>
      <c r="CL126" s="173">
        <v>11</v>
      </c>
      <c r="CM126" s="173">
        <v>12</v>
      </c>
      <c r="CN126" s="26" t="s">
        <v>13</v>
      </c>
    </row>
    <row r="127" spans="1:98" s="7" customFormat="1" ht="24.75" customHeight="1" x14ac:dyDescent="0.2">
      <c r="A127" s="204"/>
      <c r="B127" s="832" t="s">
        <v>284</v>
      </c>
      <c r="C127" s="205" t="s">
        <v>128</v>
      </c>
      <c r="D127" s="195">
        <v>1</v>
      </c>
      <c r="E127" s="206"/>
      <c r="F127" s="207"/>
      <c r="G127" s="1508"/>
      <c r="H127" s="1592"/>
      <c r="I127" s="207"/>
      <c r="J127" s="207"/>
      <c r="K127" s="207"/>
      <c r="L127" s="207"/>
      <c r="M127" s="207"/>
      <c r="N127" s="207"/>
      <c r="O127" s="207"/>
      <c r="P127" s="207"/>
      <c r="Q127" s="208">
        <f t="shared" ref="Q127:Q135" si="574">SUM(E127:P127)</f>
        <v>0</v>
      </c>
      <c r="R127" s="209" t="s">
        <v>14</v>
      </c>
      <c r="S127" s="595">
        <v>52355940</v>
      </c>
      <c r="T127" s="210"/>
      <c r="U127" s="211"/>
      <c r="V127" s="1516"/>
      <c r="W127" s="1593"/>
      <c r="X127" s="211"/>
      <c r="Y127" s="211"/>
      <c r="Z127" s="211"/>
      <c r="AA127" s="211"/>
      <c r="AB127" s="211"/>
      <c r="AC127" s="211"/>
      <c r="AD127" s="211"/>
      <c r="AE127" s="211"/>
      <c r="AF127" s="212">
        <f t="shared" ref="AF127" si="575">SUM(Q127*S127)</f>
        <v>0</v>
      </c>
      <c r="AG127" s="213">
        <f t="shared" ref="AG127:AH129" si="576">T127*E127</f>
        <v>0</v>
      </c>
      <c r="AH127" s="213">
        <f t="shared" si="576"/>
        <v>0</v>
      </c>
      <c r="AI127" s="1517">
        <f t="shared" ref="AI127:AR129" si="577">V127*G127</f>
        <v>0</v>
      </c>
      <c r="AJ127" s="1594">
        <f t="shared" si="577"/>
        <v>0</v>
      </c>
      <c r="AK127" s="213">
        <f t="shared" si="577"/>
        <v>0</v>
      </c>
      <c r="AL127" s="213">
        <f t="shared" si="577"/>
        <v>0</v>
      </c>
      <c r="AM127" s="213">
        <f t="shared" si="577"/>
        <v>0</v>
      </c>
      <c r="AN127" s="213">
        <f t="shared" si="577"/>
        <v>0</v>
      </c>
      <c r="AO127" s="213">
        <f t="shared" si="577"/>
        <v>0</v>
      </c>
      <c r="AP127" s="213">
        <f t="shared" si="577"/>
        <v>0</v>
      </c>
      <c r="AQ127" s="213">
        <f t="shared" si="577"/>
        <v>0</v>
      </c>
      <c r="AR127" s="213">
        <f t="shared" si="577"/>
        <v>0</v>
      </c>
      <c r="AS127" s="214">
        <f t="shared" ref="AS127" si="578">SUM(AG127:AR127)</f>
        <v>0</v>
      </c>
      <c r="AT127" s="213">
        <f t="shared" ref="AT127" si="579">SUM(AG127*14%)</f>
        <v>0</v>
      </c>
      <c r="AU127" s="213">
        <f>SUM(AH127*14%)</f>
        <v>0</v>
      </c>
      <c r="AV127" s="213">
        <f t="shared" ref="AV127:BE127" si="580">SUM(AI127*14%)</f>
        <v>0</v>
      </c>
      <c r="AW127" s="213">
        <f t="shared" si="580"/>
        <v>0</v>
      </c>
      <c r="AX127" s="213">
        <f t="shared" si="580"/>
        <v>0</v>
      </c>
      <c r="AY127" s="213">
        <f t="shared" si="580"/>
        <v>0</v>
      </c>
      <c r="AZ127" s="213">
        <f t="shared" si="580"/>
        <v>0</v>
      </c>
      <c r="BA127" s="213">
        <f t="shared" si="580"/>
        <v>0</v>
      </c>
      <c r="BB127" s="213">
        <f t="shared" si="580"/>
        <v>0</v>
      </c>
      <c r="BC127" s="213">
        <f t="shared" si="580"/>
        <v>0</v>
      </c>
      <c r="BD127" s="213">
        <f t="shared" si="580"/>
        <v>0</v>
      </c>
      <c r="BE127" s="213">
        <f t="shared" si="580"/>
        <v>0</v>
      </c>
      <c r="BF127" s="215">
        <f t="shared" ref="BF127" si="581">SUM(AT127:BE127)</f>
        <v>0</v>
      </c>
      <c r="BG127" s="216">
        <f t="shared" ref="BG127:BG128" si="582">AF127-AS127-BF127</f>
        <v>0</v>
      </c>
      <c r="BH127" s="217">
        <f t="shared" ref="BH127" si="583">S127*D127</f>
        <v>52355940</v>
      </c>
      <c r="BI127" s="218">
        <f>BH127-AS127</f>
        <v>52355940</v>
      </c>
      <c r="BJ127" s="163"/>
      <c r="BK127" s="1081"/>
      <c r="BL127" s="1081"/>
      <c r="BM127" s="1083"/>
      <c r="BN127" s="1084"/>
      <c r="BO127" s="862"/>
      <c r="BP127" s="862"/>
      <c r="BQ127" s="862"/>
      <c r="BR127" s="862"/>
      <c r="BS127" s="862"/>
      <c r="BT127" s="862"/>
      <c r="BU127" s="862"/>
      <c r="BV127" s="862"/>
      <c r="BW127" s="1081">
        <f t="shared" ref="BW127:BW136" si="584">SUM(AN127*12.5%)</f>
        <v>0</v>
      </c>
      <c r="BX127" s="862"/>
      <c r="BY127" s="862"/>
      <c r="BZ127" s="862"/>
      <c r="CA127" s="73">
        <f t="shared" ref="CA127" si="585">SUM(BO127:BZ127)</f>
        <v>0</v>
      </c>
      <c r="CB127" s="862"/>
      <c r="CC127" s="862"/>
      <c r="CD127" s="862"/>
      <c r="CE127" s="862"/>
      <c r="CF127" s="862"/>
      <c r="CG127" s="862"/>
      <c r="CH127" s="862"/>
      <c r="CI127" s="862"/>
      <c r="CJ127" s="1081"/>
      <c r="CK127" s="862"/>
      <c r="CL127" s="862"/>
      <c r="CM127" s="862"/>
      <c r="CN127" s="73">
        <f t="shared" ref="CN127:CN136" si="586">SUM(CB127:CM127)</f>
        <v>0</v>
      </c>
    </row>
    <row r="128" spans="1:98" s="7" customFormat="1" ht="24.75" customHeight="1" x14ac:dyDescent="0.2">
      <c r="A128" s="204" t="s">
        <v>720</v>
      </c>
      <c r="B128" s="200" t="s">
        <v>596</v>
      </c>
      <c r="C128" s="205"/>
      <c r="D128" s="195">
        <v>38</v>
      </c>
      <c r="E128" s="206">
        <v>38</v>
      </c>
      <c r="F128" s="1406"/>
      <c r="G128" s="1508"/>
      <c r="H128" s="1592"/>
      <c r="I128" s="207"/>
      <c r="J128" s="207"/>
      <c r="K128" s="207"/>
      <c r="L128" s="207"/>
      <c r="M128" s="207"/>
      <c r="N128" s="207"/>
      <c r="O128" s="207"/>
      <c r="P128" s="207"/>
      <c r="Q128" s="208">
        <f t="shared" si="574"/>
        <v>38</v>
      </c>
      <c r="R128" s="209" t="s">
        <v>35</v>
      </c>
      <c r="S128" s="595">
        <v>400000</v>
      </c>
      <c r="T128" s="210">
        <v>400000</v>
      </c>
      <c r="U128" s="1488"/>
      <c r="V128" s="1516"/>
      <c r="W128" s="1593"/>
      <c r="X128" s="211"/>
      <c r="Y128" s="211"/>
      <c r="Z128" s="211"/>
      <c r="AA128" s="211"/>
      <c r="AB128" s="211"/>
      <c r="AC128" s="211"/>
      <c r="AD128" s="211"/>
      <c r="AE128" s="211"/>
      <c r="AF128" s="212">
        <v>15808000</v>
      </c>
      <c r="AG128" s="213">
        <f t="shared" si="576"/>
        <v>15200000</v>
      </c>
      <c r="AH128" s="213">
        <f t="shared" si="576"/>
        <v>0</v>
      </c>
      <c r="AI128" s="1517">
        <f t="shared" si="577"/>
        <v>0</v>
      </c>
      <c r="AJ128" s="1594">
        <f t="shared" si="577"/>
        <v>0</v>
      </c>
      <c r="AK128" s="213">
        <f t="shared" si="577"/>
        <v>0</v>
      </c>
      <c r="AL128" s="213">
        <f t="shared" si="577"/>
        <v>0</v>
      </c>
      <c r="AM128" s="213">
        <f t="shared" si="577"/>
        <v>0</v>
      </c>
      <c r="AN128" s="213">
        <f t="shared" si="577"/>
        <v>0</v>
      </c>
      <c r="AO128" s="213">
        <f t="shared" si="577"/>
        <v>0</v>
      </c>
      <c r="AP128" s="213">
        <f t="shared" si="577"/>
        <v>0</v>
      </c>
      <c r="AQ128" s="213">
        <f t="shared" si="577"/>
        <v>0</v>
      </c>
      <c r="AR128" s="213">
        <f t="shared" si="577"/>
        <v>0</v>
      </c>
      <c r="AS128" s="214">
        <f t="shared" ref="AS128:AS129" si="587">SUM(AG128:AR128)</f>
        <v>15200000</v>
      </c>
      <c r="AT128" s="213">
        <f t="shared" ref="AT128:AT135" si="588">SUM(AG128*4%)</f>
        <v>608000</v>
      </c>
      <c r="AU128" s="213">
        <f>SUM(AH128*14%)</f>
        <v>0</v>
      </c>
      <c r="AV128" s="213">
        <f t="shared" ref="AV128:AV129" si="589">SUM(AI128*14%)</f>
        <v>0</v>
      </c>
      <c r="AW128" s="213">
        <f t="shared" ref="AW128:AW129" si="590">SUM(AJ128*14%)</f>
        <v>0</v>
      </c>
      <c r="AX128" s="213">
        <f t="shared" ref="AX128:AX129" si="591">SUM(AK128*14%)</f>
        <v>0</v>
      </c>
      <c r="AY128" s="213">
        <f t="shared" ref="AY128:AY129" si="592">SUM(AL128*14%)</f>
        <v>0</v>
      </c>
      <c r="AZ128" s="213">
        <f t="shared" ref="AZ128:AZ129" si="593">SUM(AM128*14%)</f>
        <v>0</v>
      </c>
      <c r="BA128" s="213">
        <f t="shared" ref="BA128:BA129" si="594">SUM(AN128*14%)</f>
        <v>0</v>
      </c>
      <c r="BB128" s="213">
        <f t="shared" ref="BB128:BB129" si="595">SUM(AO128*14%)</f>
        <v>0</v>
      </c>
      <c r="BC128" s="213">
        <f t="shared" ref="BC128:BC129" si="596">SUM(AP128*14%)</f>
        <v>0</v>
      </c>
      <c r="BD128" s="213">
        <f t="shared" ref="BD128:BD129" si="597">SUM(AQ128*14%)</f>
        <v>0</v>
      </c>
      <c r="BE128" s="213">
        <f t="shared" ref="BE128:BE129" si="598">SUM(AR128*14%)</f>
        <v>0</v>
      </c>
      <c r="BF128" s="215">
        <f t="shared" ref="BF128:BF129" si="599">SUM(AT128:BE128)</f>
        <v>608000</v>
      </c>
      <c r="BG128" s="216">
        <f t="shared" si="582"/>
        <v>0</v>
      </c>
      <c r="BH128" s="217">
        <f t="shared" ref="BH128:BH135" si="600">S128*D128</f>
        <v>15200000</v>
      </c>
      <c r="BI128" s="218">
        <f>BI127-BH128-BF128</f>
        <v>36547940</v>
      </c>
      <c r="BJ128" s="163">
        <f t="shared" ref="BJ128" si="601">SUM(Q128/D128)</f>
        <v>1</v>
      </c>
      <c r="BK128" s="1081"/>
      <c r="BL128" s="1081"/>
      <c r="BM128" s="1083"/>
      <c r="BN128" s="1084"/>
      <c r="BO128" s="862"/>
      <c r="BP128" s="862"/>
      <c r="BQ128" s="862"/>
      <c r="BR128" s="862"/>
      <c r="BS128" s="862"/>
      <c r="BT128" s="862"/>
      <c r="BU128" s="862"/>
      <c r="BV128" s="862"/>
      <c r="BW128" s="1081">
        <f t="shared" ref="BW128" si="602">SUM(AN128*12.5%)</f>
        <v>0</v>
      </c>
      <c r="BX128" s="862"/>
      <c r="BY128" s="862"/>
      <c r="BZ128" s="862"/>
      <c r="CA128" s="73">
        <f t="shared" ref="CA128" si="603">SUM(BO128:BZ128)</f>
        <v>0</v>
      </c>
      <c r="CB128" s="862"/>
      <c r="CC128" s="862"/>
      <c r="CD128" s="862"/>
      <c r="CE128" s="862"/>
      <c r="CF128" s="862"/>
      <c r="CG128" s="862"/>
      <c r="CH128" s="862"/>
      <c r="CI128" s="862"/>
      <c r="CJ128" s="1081"/>
      <c r="CK128" s="862"/>
      <c r="CL128" s="862"/>
      <c r="CM128" s="862"/>
      <c r="CN128" s="73">
        <f t="shared" ref="CN128:CN129" si="604">SUM(CB128:CM128)</f>
        <v>0</v>
      </c>
    </row>
    <row r="129" spans="1:98" s="7" customFormat="1" ht="24.75" customHeight="1" x14ac:dyDescent="0.2">
      <c r="A129" s="204"/>
      <c r="B129" s="200" t="s">
        <v>721</v>
      </c>
      <c r="C129" s="205"/>
      <c r="D129" s="195">
        <v>1</v>
      </c>
      <c r="E129" s="206"/>
      <c r="F129" s="1406">
        <v>1</v>
      </c>
      <c r="G129" s="1508"/>
      <c r="H129" s="1592"/>
      <c r="I129" s="207"/>
      <c r="J129" s="207"/>
      <c r="K129" s="207"/>
      <c r="L129" s="207"/>
      <c r="M129" s="207"/>
      <c r="N129" s="207"/>
      <c r="O129" s="207"/>
      <c r="P129" s="207"/>
      <c r="Q129" s="208">
        <f t="shared" si="574"/>
        <v>1</v>
      </c>
      <c r="R129" s="209" t="s">
        <v>35</v>
      </c>
      <c r="S129" s="595">
        <v>750000</v>
      </c>
      <c r="T129" s="210"/>
      <c r="U129" s="1488">
        <f>S129</f>
        <v>750000</v>
      </c>
      <c r="V129" s="1516"/>
      <c r="W129" s="1593"/>
      <c r="X129" s="211"/>
      <c r="Y129" s="211"/>
      <c r="Z129" s="211"/>
      <c r="AA129" s="211"/>
      <c r="AB129" s="211"/>
      <c r="AC129" s="211"/>
      <c r="AD129" s="211"/>
      <c r="AE129" s="211"/>
      <c r="AF129" s="212">
        <v>765000</v>
      </c>
      <c r="AG129" s="213">
        <f t="shared" si="576"/>
        <v>0</v>
      </c>
      <c r="AH129" s="1487">
        <f t="shared" si="576"/>
        <v>750000</v>
      </c>
      <c r="AI129" s="1517">
        <f t="shared" si="577"/>
        <v>0</v>
      </c>
      <c r="AJ129" s="1594">
        <f t="shared" si="577"/>
        <v>0</v>
      </c>
      <c r="AK129" s="213">
        <f t="shared" si="577"/>
        <v>0</v>
      </c>
      <c r="AL129" s="213">
        <f t="shared" si="577"/>
        <v>0</v>
      </c>
      <c r="AM129" s="213">
        <f t="shared" si="577"/>
        <v>0</v>
      </c>
      <c r="AN129" s="213">
        <f t="shared" si="577"/>
        <v>0</v>
      </c>
      <c r="AO129" s="213">
        <f t="shared" si="577"/>
        <v>0</v>
      </c>
      <c r="AP129" s="213">
        <f t="shared" si="577"/>
        <v>0</v>
      </c>
      <c r="AQ129" s="213">
        <f t="shared" si="577"/>
        <v>0</v>
      </c>
      <c r="AR129" s="213">
        <f t="shared" si="577"/>
        <v>0</v>
      </c>
      <c r="AS129" s="214">
        <f t="shared" si="587"/>
        <v>750000</v>
      </c>
      <c r="AT129" s="213">
        <f t="shared" si="588"/>
        <v>0</v>
      </c>
      <c r="AU129" s="213">
        <f t="shared" ref="AU129:AU135" si="605">SUM(AH129*2%)</f>
        <v>15000</v>
      </c>
      <c r="AV129" s="213">
        <f t="shared" si="589"/>
        <v>0</v>
      </c>
      <c r="AW129" s="213">
        <f t="shared" si="590"/>
        <v>0</v>
      </c>
      <c r="AX129" s="213">
        <f t="shared" si="591"/>
        <v>0</v>
      </c>
      <c r="AY129" s="213">
        <f t="shared" si="592"/>
        <v>0</v>
      </c>
      <c r="AZ129" s="213">
        <f t="shared" si="593"/>
        <v>0</v>
      </c>
      <c r="BA129" s="213">
        <f t="shared" si="594"/>
        <v>0</v>
      </c>
      <c r="BB129" s="213">
        <f t="shared" si="595"/>
        <v>0</v>
      </c>
      <c r="BC129" s="213">
        <f t="shared" si="596"/>
        <v>0</v>
      </c>
      <c r="BD129" s="213">
        <f t="shared" si="597"/>
        <v>0</v>
      </c>
      <c r="BE129" s="213">
        <f t="shared" si="598"/>
        <v>0</v>
      </c>
      <c r="BF129" s="215">
        <f t="shared" si="599"/>
        <v>15000</v>
      </c>
      <c r="BG129" s="216">
        <f>AF129-AS129</f>
        <v>15000</v>
      </c>
      <c r="BH129" s="217">
        <f t="shared" si="600"/>
        <v>750000</v>
      </c>
      <c r="BI129" s="218">
        <f>BI128-BH129-BF129</f>
        <v>35782940</v>
      </c>
      <c r="BJ129" s="163">
        <f t="shared" ref="BJ129" si="606">SUM(Q129/D129)</f>
        <v>1</v>
      </c>
      <c r="BK129" s="1081">
        <f>AH129-AU129</f>
        <v>735000</v>
      </c>
      <c r="BL129" s="1081">
        <v>700000</v>
      </c>
      <c r="BM129" s="1083">
        <f>BK129-BL129</f>
        <v>35000</v>
      </c>
      <c r="BN129" s="1084"/>
      <c r="BO129" s="862"/>
      <c r="BP129" s="862"/>
      <c r="BQ129" s="862"/>
      <c r="BR129" s="862"/>
      <c r="BS129" s="862"/>
      <c r="BT129" s="862"/>
      <c r="BU129" s="862"/>
      <c r="BV129" s="862"/>
      <c r="BW129" s="1081">
        <f t="shared" ref="BW129" si="607">SUM(AN129*12.5%)</f>
        <v>0</v>
      </c>
      <c r="BX129" s="862"/>
      <c r="BY129" s="862"/>
      <c r="BZ129" s="862"/>
      <c r="CA129" s="73">
        <f t="shared" ref="CA129" si="608">SUM(BO129:BZ129)</f>
        <v>0</v>
      </c>
      <c r="CB129" s="862"/>
      <c r="CC129" s="862"/>
      <c r="CD129" s="862"/>
      <c r="CE129" s="862"/>
      <c r="CF129" s="862"/>
      <c r="CG129" s="862"/>
      <c r="CH129" s="862"/>
      <c r="CI129" s="862"/>
      <c r="CJ129" s="1081"/>
      <c r="CK129" s="862"/>
      <c r="CL129" s="862"/>
      <c r="CM129" s="862"/>
      <c r="CN129" s="73">
        <f t="shared" si="604"/>
        <v>0</v>
      </c>
    </row>
    <row r="130" spans="1:98" s="7" customFormat="1" ht="24.75" customHeight="1" x14ac:dyDescent="0.2">
      <c r="A130" s="204"/>
      <c r="B130" s="200" t="s">
        <v>728</v>
      </c>
      <c r="C130" s="205"/>
      <c r="D130" s="195">
        <v>100</v>
      </c>
      <c r="E130" s="206"/>
      <c r="F130" s="1406"/>
      <c r="G130" s="1508">
        <v>100</v>
      </c>
      <c r="H130" s="1592"/>
      <c r="I130" s="207"/>
      <c r="J130" s="207"/>
      <c r="K130" s="207"/>
      <c r="L130" s="207"/>
      <c r="M130" s="207"/>
      <c r="N130" s="207"/>
      <c r="O130" s="207"/>
      <c r="P130" s="207"/>
      <c r="Q130" s="208">
        <f t="shared" si="574"/>
        <v>100</v>
      </c>
      <c r="R130" s="209" t="s">
        <v>35</v>
      </c>
      <c r="S130" s="595">
        <v>2500</v>
      </c>
      <c r="T130" s="210"/>
      <c r="U130" s="1488"/>
      <c r="V130" s="1516">
        <v>2500</v>
      </c>
      <c r="W130" s="1593"/>
      <c r="X130" s="211"/>
      <c r="Y130" s="211"/>
      <c r="Z130" s="211"/>
      <c r="AA130" s="211"/>
      <c r="AB130" s="211"/>
      <c r="AC130" s="211"/>
      <c r="AD130" s="211"/>
      <c r="AE130" s="211"/>
      <c r="AF130" s="212">
        <f t="shared" ref="AF130:AF135" si="609">SUM(Q130*S130)</f>
        <v>250000</v>
      </c>
      <c r="AG130" s="213">
        <f t="shared" ref="AG130:AG134" si="610">T130*E130</f>
        <v>0</v>
      </c>
      <c r="AH130" s="1487">
        <f t="shared" ref="AH130:AH134" si="611">U130*F130</f>
        <v>0</v>
      </c>
      <c r="AI130" s="1517">
        <f>G130*V130</f>
        <v>250000</v>
      </c>
      <c r="AJ130" s="1594">
        <f t="shared" ref="AJ130:AJ134" si="612">W130*H130</f>
        <v>0</v>
      </c>
      <c r="AK130" s="213">
        <f t="shared" ref="AK130:AK134" si="613">X130*I130</f>
        <v>0</v>
      </c>
      <c r="AL130" s="213">
        <f t="shared" ref="AL130:AL134" si="614">Y130*J130</f>
        <v>0</v>
      </c>
      <c r="AM130" s="213">
        <f t="shared" ref="AM130:AM134" si="615">Z130*K130</f>
        <v>0</v>
      </c>
      <c r="AN130" s="213">
        <f t="shared" ref="AN130:AN134" si="616">AA130*L130</f>
        <v>0</v>
      </c>
      <c r="AO130" s="213">
        <f t="shared" ref="AO130:AO134" si="617">AB130*M130</f>
        <v>0</v>
      </c>
      <c r="AP130" s="213">
        <f t="shared" ref="AP130:AP134" si="618">AC130*N130</f>
        <v>0</v>
      </c>
      <c r="AQ130" s="213">
        <f t="shared" ref="AQ130:AQ134" si="619">AD130*O130</f>
        <v>0</v>
      </c>
      <c r="AR130" s="213">
        <f t="shared" ref="AR130:AR134" si="620">AE130*P130</f>
        <v>0</v>
      </c>
      <c r="AS130" s="214">
        <f t="shared" ref="AS130:AS134" si="621">SUM(AG130:AR130)</f>
        <v>250000</v>
      </c>
      <c r="AT130" s="213">
        <f t="shared" si="588"/>
        <v>0</v>
      </c>
      <c r="AU130" s="213">
        <f t="shared" si="605"/>
        <v>0</v>
      </c>
      <c r="AV130" s="213"/>
      <c r="AW130" s="213">
        <f t="shared" ref="AW130" si="622">SUM(AJ130*14%)</f>
        <v>0</v>
      </c>
      <c r="AX130" s="213">
        <f t="shared" ref="AX130:AX133" si="623">SUM(AK130*14%)</f>
        <v>0</v>
      </c>
      <c r="AY130" s="213">
        <f t="shared" ref="AY130:AY134" si="624">SUM(AL130*14%)</f>
        <v>0</v>
      </c>
      <c r="AZ130" s="213">
        <f t="shared" ref="AZ130:AZ134" si="625">SUM(AM130*14%)</f>
        <v>0</v>
      </c>
      <c r="BA130" s="213">
        <f t="shared" ref="BA130:BA134" si="626">SUM(AN130*14%)</f>
        <v>0</v>
      </c>
      <c r="BB130" s="213">
        <f t="shared" ref="BB130:BB134" si="627">SUM(AO130*14%)</f>
        <v>0</v>
      </c>
      <c r="BC130" s="213">
        <f t="shared" ref="BC130:BC134" si="628">SUM(AP130*14%)</f>
        <v>0</v>
      </c>
      <c r="BD130" s="213">
        <f t="shared" ref="BD130:BD134" si="629">SUM(AQ130*14%)</f>
        <v>0</v>
      </c>
      <c r="BE130" s="213">
        <f t="shared" ref="BE130:BE134" si="630">SUM(AR130*14%)</f>
        <v>0</v>
      </c>
      <c r="BF130" s="215">
        <f t="shared" ref="BF130:BF134" si="631">SUM(AT130:BE130)</f>
        <v>0</v>
      </c>
      <c r="BG130" s="216">
        <f>AF130-AS130</f>
        <v>0</v>
      </c>
      <c r="BH130" s="217">
        <f t="shared" si="600"/>
        <v>250000</v>
      </c>
      <c r="BI130" s="218">
        <f t="shared" ref="BI130:BI135" si="632">BI129-BH130</f>
        <v>35532940</v>
      </c>
      <c r="BJ130" s="163">
        <f t="shared" ref="BJ130:BJ134" si="633">SUM(Q130/D130)</f>
        <v>1</v>
      </c>
      <c r="BK130" s="1081">
        <f t="shared" ref="BK130:BK131" si="634">AH130-AU130</f>
        <v>0</v>
      </c>
      <c r="BL130" s="1081"/>
      <c r="BM130" s="1083">
        <f>BK130-BL130</f>
        <v>0</v>
      </c>
      <c r="BN130" s="1084"/>
      <c r="BO130" s="862"/>
      <c r="BP130" s="862"/>
      <c r="BQ130" s="862"/>
      <c r="BR130" s="862"/>
      <c r="BS130" s="862"/>
      <c r="BT130" s="862"/>
      <c r="BU130" s="862"/>
      <c r="BV130" s="862"/>
      <c r="BW130" s="1081">
        <f t="shared" si="584"/>
        <v>0</v>
      </c>
      <c r="BX130" s="862"/>
      <c r="BY130" s="862"/>
      <c r="BZ130" s="862"/>
      <c r="CA130" s="73">
        <f t="shared" ref="CA130:CA136" si="635">SUM(BO130:BZ130)</f>
        <v>0</v>
      </c>
      <c r="CB130" s="862"/>
      <c r="CC130" s="862"/>
      <c r="CD130" s="862"/>
      <c r="CE130" s="862"/>
      <c r="CF130" s="862"/>
      <c r="CG130" s="862"/>
      <c r="CH130" s="862"/>
      <c r="CI130" s="862"/>
      <c r="CJ130" s="1081"/>
      <c r="CK130" s="862"/>
      <c r="CL130" s="862"/>
      <c r="CM130" s="862"/>
      <c r="CN130" s="73">
        <f t="shared" si="586"/>
        <v>0</v>
      </c>
    </row>
    <row r="131" spans="1:98" s="7" customFormat="1" ht="24.75" customHeight="1" x14ac:dyDescent="0.2">
      <c r="A131" s="204"/>
      <c r="B131" s="200" t="s">
        <v>739</v>
      </c>
      <c r="C131" s="205"/>
      <c r="D131" s="195">
        <v>1</v>
      </c>
      <c r="E131" s="206"/>
      <c r="F131" s="1406"/>
      <c r="G131" s="1508"/>
      <c r="H131" s="1592">
        <v>1</v>
      </c>
      <c r="I131" s="207"/>
      <c r="J131" s="207"/>
      <c r="K131" s="207"/>
      <c r="L131" s="207"/>
      <c r="M131" s="207"/>
      <c r="N131" s="207"/>
      <c r="O131" s="207"/>
      <c r="P131" s="207"/>
      <c r="Q131" s="208">
        <f t="shared" si="574"/>
        <v>1</v>
      </c>
      <c r="R131" s="209" t="s">
        <v>741</v>
      </c>
      <c r="S131" s="595">
        <v>727000</v>
      </c>
      <c r="T131" s="210"/>
      <c r="U131" s="1488"/>
      <c r="V131" s="1516"/>
      <c r="W131" s="1593">
        <f>S131</f>
        <v>727000</v>
      </c>
      <c r="X131" s="211"/>
      <c r="Y131" s="211"/>
      <c r="Z131" s="211"/>
      <c r="AA131" s="211"/>
      <c r="AB131" s="211"/>
      <c r="AC131" s="211"/>
      <c r="AD131" s="211"/>
      <c r="AE131" s="211"/>
      <c r="AF131" s="212">
        <f t="shared" si="609"/>
        <v>727000</v>
      </c>
      <c r="AG131" s="213">
        <f t="shared" si="610"/>
        <v>0</v>
      </c>
      <c r="AH131" s="1487">
        <f t="shared" si="611"/>
        <v>0</v>
      </c>
      <c r="AI131" s="1517">
        <f t="shared" ref="AI131" si="636">V131*G131</f>
        <v>0</v>
      </c>
      <c r="AJ131" s="1594">
        <f t="shared" si="612"/>
        <v>727000</v>
      </c>
      <c r="AK131" s="213">
        <f t="shared" si="613"/>
        <v>0</v>
      </c>
      <c r="AL131" s="213">
        <f t="shared" si="614"/>
        <v>0</v>
      </c>
      <c r="AM131" s="213">
        <f t="shared" si="615"/>
        <v>0</v>
      </c>
      <c r="AN131" s="213">
        <f t="shared" si="616"/>
        <v>0</v>
      </c>
      <c r="AO131" s="213">
        <f t="shared" si="617"/>
        <v>0</v>
      </c>
      <c r="AP131" s="213">
        <f t="shared" si="618"/>
        <v>0</v>
      </c>
      <c r="AQ131" s="213">
        <f t="shared" si="619"/>
        <v>0</v>
      </c>
      <c r="AR131" s="213">
        <f t="shared" si="620"/>
        <v>0</v>
      </c>
      <c r="AS131" s="214">
        <f t="shared" si="621"/>
        <v>727000</v>
      </c>
      <c r="AT131" s="213">
        <f t="shared" si="588"/>
        <v>0</v>
      </c>
      <c r="AU131" s="213">
        <f t="shared" si="605"/>
        <v>0</v>
      </c>
      <c r="AV131" s="213">
        <f t="shared" ref="AV131" si="637">SUM(AI131*14%)</f>
        <v>0</v>
      </c>
      <c r="AW131" s="213"/>
      <c r="AX131" s="213">
        <f t="shared" si="623"/>
        <v>0</v>
      </c>
      <c r="AY131" s="213">
        <f t="shared" si="624"/>
        <v>0</v>
      </c>
      <c r="AZ131" s="213">
        <f t="shared" si="625"/>
        <v>0</v>
      </c>
      <c r="BA131" s="213">
        <f t="shared" si="626"/>
        <v>0</v>
      </c>
      <c r="BB131" s="213">
        <f t="shared" si="627"/>
        <v>0</v>
      </c>
      <c r="BC131" s="213">
        <f t="shared" si="628"/>
        <v>0</v>
      </c>
      <c r="BD131" s="213">
        <f t="shared" si="629"/>
        <v>0</v>
      </c>
      <c r="BE131" s="213">
        <f t="shared" si="630"/>
        <v>0</v>
      </c>
      <c r="BF131" s="215">
        <f t="shared" si="631"/>
        <v>0</v>
      </c>
      <c r="BG131" s="216">
        <f>AF131-AS131</f>
        <v>0</v>
      </c>
      <c r="BH131" s="217">
        <f t="shared" si="600"/>
        <v>727000</v>
      </c>
      <c r="BI131" s="218">
        <f t="shared" si="632"/>
        <v>34805940</v>
      </c>
      <c r="BJ131" s="163">
        <f t="shared" si="633"/>
        <v>1</v>
      </c>
      <c r="BK131" s="1081">
        <f t="shared" si="634"/>
        <v>0</v>
      </c>
      <c r="BL131" s="1081"/>
      <c r="BM131" s="1083"/>
      <c r="BN131" s="1084"/>
      <c r="BO131" s="862"/>
      <c r="BP131" s="862"/>
      <c r="BQ131" s="862"/>
      <c r="BR131" s="862"/>
      <c r="BS131" s="862"/>
      <c r="BT131" s="862"/>
      <c r="BU131" s="862"/>
      <c r="BV131" s="862"/>
      <c r="BW131" s="1081">
        <f t="shared" ref="BW131" si="638">SUM(AN131*12.5%)</f>
        <v>0</v>
      </c>
      <c r="BX131" s="862"/>
      <c r="BY131" s="862"/>
      <c r="BZ131" s="862"/>
      <c r="CA131" s="73">
        <f t="shared" ref="CA131" si="639">SUM(BO131:BZ131)</f>
        <v>0</v>
      </c>
      <c r="CB131" s="862"/>
      <c r="CC131" s="862"/>
      <c r="CD131" s="862"/>
      <c r="CE131" s="862"/>
      <c r="CF131" s="862"/>
      <c r="CG131" s="862"/>
      <c r="CH131" s="862"/>
      <c r="CI131" s="862"/>
      <c r="CJ131" s="1081"/>
      <c r="CK131" s="862"/>
      <c r="CL131" s="862"/>
      <c r="CM131" s="862"/>
      <c r="CN131" s="73">
        <f t="shared" si="586"/>
        <v>0</v>
      </c>
    </row>
    <row r="132" spans="1:98" s="7" customFormat="1" ht="24.75" customHeight="1" x14ac:dyDescent="0.2">
      <c r="A132" s="204"/>
      <c r="B132" s="200" t="s">
        <v>738</v>
      </c>
      <c r="C132" s="205"/>
      <c r="D132" s="195">
        <v>1</v>
      </c>
      <c r="E132" s="206"/>
      <c r="F132" s="1406"/>
      <c r="G132" s="1508"/>
      <c r="H132" s="1592">
        <v>1</v>
      </c>
      <c r="I132" s="207"/>
      <c r="J132" s="207"/>
      <c r="K132" s="207"/>
      <c r="L132" s="207"/>
      <c r="M132" s="207"/>
      <c r="N132" s="207"/>
      <c r="O132" s="207"/>
      <c r="P132" s="207"/>
      <c r="Q132" s="208">
        <f t="shared" si="574"/>
        <v>1</v>
      </c>
      <c r="R132" s="209" t="s">
        <v>741</v>
      </c>
      <c r="S132" s="595">
        <v>750000</v>
      </c>
      <c r="T132" s="210"/>
      <c r="U132" s="1488"/>
      <c r="V132" s="1516"/>
      <c r="W132" s="1593">
        <f>S132</f>
        <v>750000</v>
      </c>
      <c r="X132" s="211"/>
      <c r="Y132" s="211"/>
      <c r="Z132" s="211"/>
      <c r="AA132" s="211"/>
      <c r="AB132" s="211"/>
      <c r="AC132" s="211"/>
      <c r="AD132" s="211"/>
      <c r="AE132" s="211"/>
      <c r="AF132" s="212">
        <f t="shared" si="609"/>
        <v>750000</v>
      </c>
      <c r="AG132" s="213">
        <f t="shared" si="610"/>
        <v>0</v>
      </c>
      <c r="AH132" s="1487">
        <f t="shared" si="611"/>
        <v>0</v>
      </c>
      <c r="AI132" s="1517">
        <f>G132*V132</f>
        <v>0</v>
      </c>
      <c r="AJ132" s="1594">
        <f t="shared" si="612"/>
        <v>750000</v>
      </c>
      <c r="AK132" s="213">
        <f t="shared" si="613"/>
        <v>0</v>
      </c>
      <c r="AL132" s="213">
        <f t="shared" si="614"/>
        <v>0</v>
      </c>
      <c r="AM132" s="213">
        <f t="shared" si="615"/>
        <v>0</v>
      </c>
      <c r="AN132" s="213">
        <f t="shared" si="616"/>
        <v>0</v>
      </c>
      <c r="AO132" s="213">
        <f t="shared" si="617"/>
        <v>0</v>
      </c>
      <c r="AP132" s="213">
        <f t="shared" si="618"/>
        <v>0</v>
      </c>
      <c r="AQ132" s="213">
        <f t="shared" si="619"/>
        <v>0</v>
      </c>
      <c r="AR132" s="213">
        <f t="shared" si="620"/>
        <v>0</v>
      </c>
      <c r="AS132" s="214">
        <f t="shared" si="621"/>
        <v>750000</v>
      </c>
      <c r="AT132" s="213">
        <f t="shared" si="588"/>
        <v>0</v>
      </c>
      <c r="AU132" s="213">
        <f t="shared" si="605"/>
        <v>0</v>
      </c>
      <c r="AV132" s="213"/>
      <c r="AW132" s="213">
        <f>AJ132*12%</f>
        <v>90000</v>
      </c>
      <c r="AX132" s="213">
        <f t="shared" si="623"/>
        <v>0</v>
      </c>
      <c r="AY132" s="213">
        <f t="shared" si="624"/>
        <v>0</v>
      </c>
      <c r="AZ132" s="213">
        <f t="shared" si="625"/>
        <v>0</v>
      </c>
      <c r="BA132" s="213">
        <f t="shared" si="626"/>
        <v>0</v>
      </c>
      <c r="BB132" s="213">
        <f t="shared" si="627"/>
        <v>0</v>
      </c>
      <c r="BC132" s="213">
        <f t="shared" si="628"/>
        <v>0</v>
      </c>
      <c r="BD132" s="213">
        <f t="shared" si="629"/>
        <v>0</v>
      </c>
      <c r="BE132" s="213">
        <f t="shared" si="630"/>
        <v>0</v>
      </c>
      <c r="BF132" s="215">
        <f t="shared" si="631"/>
        <v>90000</v>
      </c>
      <c r="BG132" s="216">
        <f>AF132-AS132</f>
        <v>0</v>
      </c>
      <c r="BH132" s="217">
        <f t="shared" si="600"/>
        <v>750000</v>
      </c>
      <c r="BI132" s="218">
        <f>BI131-BH132-618207</f>
        <v>33437733</v>
      </c>
      <c r="BJ132" s="163">
        <f t="shared" si="633"/>
        <v>1</v>
      </c>
      <c r="BK132" s="1081"/>
      <c r="BL132" s="1081"/>
      <c r="BM132" s="1083"/>
      <c r="BN132" s="1084"/>
      <c r="BO132" s="862"/>
      <c r="BP132" s="862"/>
      <c r="BQ132" s="862"/>
      <c r="BR132" s="862"/>
      <c r="BS132" s="862"/>
      <c r="BT132" s="862"/>
      <c r="BU132" s="862"/>
      <c r="BV132" s="862"/>
      <c r="BW132" s="1081">
        <f t="shared" ref="BW132:BW134" si="640">SUM(AN132*12.5%)</f>
        <v>0</v>
      </c>
      <c r="BX132" s="862"/>
      <c r="BY132" s="862"/>
      <c r="BZ132" s="862"/>
      <c r="CA132" s="73">
        <f t="shared" ref="CA132:CA134" si="641">SUM(BO132:BZ132)</f>
        <v>0</v>
      </c>
      <c r="CB132" s="862"/>
      <c r="CC132" s="862"/>
      <c r="CD132" s="862"/>
      <c r="CE132" s="862"/>
      <c r="CF132" s="862"/>
      <c r="CG132" s="862"/>
      <c r="CH132" s="862"/>
      <c r="CI132" s="862"/>
      <c r="CJ132" s="1081"/>
      <c r="CK132" s="862"/>
      <c r="CL132" s="862"/>
      <c r="CM132" s="862"/>
      <c r="CN132" s="73">
        <f t="shared" si="586"/>
        <v>0</v>
      </c>
    </row>
    <row r="133" spans="1:98" s="7" customFormat="1" ht="24.75" customHeight="1" x14ac:dyDescent="0.2">
      <c r="A133" s="204"/>
      <c r="B133" s="200" t="s">
        <v>740</v>
      </c>
      <c r="C133" s="205"/>
      <c r="D133" s="195">
        <v>1</v>
      </c>
      <c r="E133" s="206"/>
      <c r="F133" s="1406"/>
      <c r="G133" s="1508"/>
      <c r="H133" s="1592">
        <v>1</v>
      </c>
      <c r="I133" s="207"/>
      <c r="J133" s="207"/>
      <c r="K133" s="207"/>
      <c r="L133" s="207"/>
      <c r="M133" s="207"/>
      <c r="N133" s="207"/>
      <c r="O133" s="207"/>
      <c r="P133" s="207"/>
      <c r="Q133" s="208">
        <f t="shared" ref="Q133:Q134" si="642">SUM(E133:P133)</f>
        <v>1</v>
      </c>
      <c r="R133" s="209" t="s">
        <v>741</v>
      </c>
      <c r="S133" s="595">
        <v>849500</v>
      </c>
      <c r="T133" s="210"/>
      <c r="U133" s="1488"/>
      <c r="V133" s="1516"/>
      <c r="W133" s="1593">
        <f>S133</f>
        <v>849500</v>
      </c>
      <c r="X133" s="211"/>
      <c r="Y133" s="211"/>
      <c r="Z133" s="211"/>
      <c r="AA133" s="211"/>
      <c r="AB133" s="211"/>
      <c r="AC133" s="211"/>
      <c r="AD133" s="211"/>
      <c r="AE133" s="211"/>
      <c r="AF133" s="212">
        <f t="shared" si="609"/>
        <v>849500</v>
      </c>
      <c r="AG133" s="213">
        <f t="shared" si="610"/>
        <v>0</v>
      </c>
      <c r="AH133" s="1487">
        <f t="shared" si="611"/>
        <v>0</v>
      </c>
      <c r="AI133" s="1517">
        <f>G133*V133</f>
        <v>0</v>
      </c>
      <c r="AJ133" s="1594">
        <f t="shared" si="612"/>
        <v>849500</v>
      </c>
      <c r="AK133" s="213">
        <f t="shared" si="613"/>
        <v>0</v>
      </c>
      <c r="AL133" s="213">
        <f t="shared" si="614"/>
        <v>0</v>
      </c>
      <c r="AM133" s="213">
        <f t="shared" si="615"/>
        <v>0</v>
      </c>
      <c r="AN133" s="213">
        <f t="shared" si="616"/>
        <v>0</v>
      </c>
      <c r="AO133" s="213">
        <f t="shared" si="617"/>
        <v>0</v>
      </c>
      <c r="AP133" s="213">
        <f t="shared" si="618"/>
        <v>0</v>
      </c>
      <c r="AQ133" s="213">
        <f t="shared" si="619"/>
        <v>0</v>
      </c>
      <c r="AR133" s="213">
        <f t="shared" si="620"/>
        <v>0</v>
      </c>
      <c r="AS133" s="214">
        <f t="shared" si="621"/>
        <v>849500</v>
      </c>
      <c r="AT133" s="213">
        <f t="shared" ref="AT133:AT134" si="643">SUM(AG133*4%)</f>
        <v>0</v>
      </c>
      <c r="AU133" s="213">
        <f t="shared" si="605"/>
        <v>0</v>
      </c>
      <c r="AV133" s="213"/>
      <c r="AW133" s="213"/>
      <c r="AX133" s="213">
        <f t="shared" si="623"/>
        <v>0</v>
      </c>
      <c r="AY133" s="213">
        <f t="shared" si="624"/>
        <v>0</v>
      </c>
      <c r="AZ133" s="213">
        <f t="shared" si="625"/>
        <v>0</v>
      </c>
      <c r="BA133" s="213">
        <f t="shared" si="626"/>
        <v>0</v>
      </c>
      <c r="BB133" s="213">
        <f t="shared" si="627"/>
        <v>0</v>
      </c>
      <c r="BC133" s="213">
        <f t="shared" si="628"/>
        <v>0</v>
      </c>
      <c r="BD133" s="213">
        <f t="shared" si="629"/>
        <v>0</v>
      </c>
      <c r="BE133" s="213">
        <f t="shared" si="630"/>
        <v>0</v>
      </c>
      <c r="BF133" s="215">
        <f t="shared" si="631"/>
        <v>0</v>
      </c>
      <c r="BG133" s="216">
        <f>AF133-AS133</f>
        <v>0</v>
      </c>
      <c r="BH133" s="217">
        <f t="shared" ref="BH133:BH134" si="644">S133*D133</f>
        <v>849500</v>
      </c>
      <c r="BI133" s="218">
        <f t="shared" si="632"/>
        <v>32588233</v>
      </c>
      <c r="BJ133" s="163">
        <f t="shared" si="633"/>
        <v>1</v>
      </c>
      <c r="BK133" s="1081"/>
      <c r="BL133" s="1081"/>
      <c r="BM133" s="1083"/>
      <c r="BN133" s="1084"/>
      <c r="BO133" s="862"/>
      <c r="BP133" s="862"/>
      <c r="BQ133" s="862"/>
      <c r="BR133" s="862"/>
      <c r="BS133" s="862"/>
      <c r="BT133" s="862"/>
      <c r="BU133" s="862"/>
      <c r="BV133" s="862"/>
      <c r="BW133" s="1081">
        <f t="shared" si="640"/>
        <v>0</v>
      </c>
      <c r="BX133" s="862"/>
      <c r="BY133" s="862"/>
      <c r="BZ133" s="862"/>
      <c r="CA133" s="73">
        <f t="shared" si="641"/>
        <v>0</v>
      </c>
      <c r="CB133" s="862"/>
      <c r="CC133" s="862"/>
      <c r="CD133" s="862"/>
      <c r="CE133" s="862"/>
      <c r="CF133" s="862"/>
      <c r="CG133" s="862"/>
      <c r="CH133" s="862"/>
      <c r="CI133" s="862"/>
      <c r="CJ133" s="1081"/>
      <c r="CK133" s="862"/>
      <c r="CL133" s="862"/>
      <c r="CM133" s="862"/>
      <c r="CN133" s="73">
        <f t="shared" si="586"/>
        <v>0</v>
      </c>
    </row>
    <row r="134" spans="1:98" s="7" customFormat="1" ht="24.75" customHeight="1" x14ac:dyDescent="0.2">
      <c r="A134" s="204"/>
      <c r="B134" s="200" t="s">
        <v>743</v>
      </c>
      <c r="C134" s="205"/>
      <c r="D134" s="195">
        <v>1</v>
      </c>
      <c r="E134" s="206"/>
      <c r="F134" s="1406"/>
      <c r="G134" s="1508"/>
      <c r="H134" s="1592"/>
      <c r="I134" s="207">
        <v>1</v>
      </c>
      <c r="J134" s="207"/>
      <c r="K134" s="207"/>
      <c r="L134" s="207"/>
      <c r="M134" s="207"/>
      <c r="N134" s="207"/>
      <c r="O134" s="207"/>
      <c r="P134" s="207"/>
      <c r="Q134" s="208">
        <f t="shared" si="642"/>
        <v>1</v>
      </c>
      <c r="R134" s="209" t="s">
        <v>741</v>
      </c>
      <c r="S134" s="595">
        <v>1957206</v>
      </c>
      <c r="T134" s="210"/>
      <c r="U134" s="1488"/>
      <c r="V134" s="1516"/>
      <c r="W134" s="1593"/>
      <c r="X134" s="211">
        <f>S134</f>
        <v>1957206</v>
      </c>
      <c r="Y134" s="211"/>
      <c r="Z134" s="211"/>
      <c r="AA134" s="211"/>
      <c r="AB134" s="211"/>
      <c r="AC134" s="211"/>
      <c r="AD134" s="211"/>
      <c r="AE134" s="211"/>
      <c r="AF134" s="212">
        <f t="shared" si="609"/>
        <v>1957206</v>
      </c>
      <c r="AG134" s="213">
        <f t="shared" si="610"/>
        <v>0</v>
      </c>
      <c r="AH134" s="1487">
        <f t="shared" si="611"/>
        <v>0</v>
      </c>
      <c r="AI134" s="1517">
        <f>G134*V134</f>
        <v>0</v>
      </c>
      <c r="AJ134" s="1594">
        <f t="shared" si="612"/>
        <v>0</v>
      </c>
      <c r="AK134" s="213">
        <f t="shared" si="613"/>
        <v>1957206</v>
      </c>
      <c r="AL134" s="213">
        <f t="shared" si="614"/>
        <v>0</v>
      </c>
      <c r="AM134" s="213">
        <f t="shared" si="615"/>
        <v>0</v>
      </c>
      <c r="AN134" s="213">
        <f t="shared" si="616"/>
        <v>0</v>
      </c>
      <c r="AO134" s="213">
        <f t="shared" si="617"/>
        <v>0</v>
      </c>
      <c r="AP134" s="213">
        <f t="shared" si="618"/>
        <v>0</v>
      </c>
      <c r="AQ134" s="213">
        <f t="shared" si="619"/>
        <v>0</v>
      </c>
      <c r="AR134" s="213">
        <f t="shared" si="620"/>
        <v>0</v>
      </c>
      <c r="AS134" s="214">
        <f t="shared" si="621"/>
        <v>1957206</v>
      </c>
      <c r="AT134" s="213">
        <f t="shared" si="643"/>
        <v>0</v>
      </c>
      <c r="AU134" s="213">
        <f t="shared" si="605"/>
        <v>0</v>
      </c>
      <c r="AV134" s="213"/>
      <c r="AW134" s="213"/>
      <c r="AX134" s="213">
        <f>SUM(AK134*12.5%)</f>
        <v>244650.75</v>
      </c>
      <c r="AY134" s="213">
        <f t="shared" si="624"/>
        <v>0</v>
      </c>
      <c r="AZ134" s="213">
        <f t="shared" si="625"/>
        <v>0</v>
      </c>
      <c r="BA134" s="213">
        <f t="shared" si="626"/>
        <v>0</v>
      </c>
      <c r="BB134" s="213">
        <f t="shared" si="627"/>
        <v>0</v>
      </c>
      <c r="BC134" s="213">
        <f t="shared" si="628"/>
        <v>0</v>
      </c>
      <c r="BD134" s="213">
        <f t="shared" si="629"/>
        <v>0</v>
      </c>
      <c r="BE134" s="213">
        <f t="shared" si="630"/>
        <v>0</v>
      </c>
      <c r="BF134" s="215">
        <f t="shared" si="631"/>
        <v>244650.75</v>
      </c>
      <c r="BG134" s="216">
        <v>0</v>
      </c>
      <c r="BH134" s="217">
        <f t="shared" si="644"/>
        <v>1957206</v>
      </c>
      <c r="BI134" s="218">
        <f t="shared" si="632"/>
        <v>30631027</v>
      </c>
      <c r="BJ134" s="163">
        <f t="shared" si="633"/>
        <v>1</v>
      </c>
      <c r="BK134" s="1081"/>
      <c r="BL134" s="1081"/>
      <c r="BM134" s="1083"/>
      <c r="BN134" s="1084"/>
      <c r="BO134" s="862"/>
      <c r="BP134" s="862"/>
      <c r="BQ134" s="862"/>
      <c r="BR134" s="862"/>
      <c r="BS134" s="862"/>
      <c r="BT134" s="862"/>
      <c r="BU134" s="862"/>
      <c r="BV134" s="862"/>
      <c r="BW134" s="1081">
        <f t="shared" si="640"/>
        <v>0</v>
      </c>
      <c r="BX134" s="862"/>
      <c r="BY134" s="862"/>
      <c r="BZ134" s="862"/>
      <c r="CA134" s="73">
        <f t="shared" si="641"/>
        <v>0</v>
      </c>
      <c r="CB134" s="862"/>
      <c r="CC134" s="862"/>
      <c r="CD134" s="862"/>
      <c r="CE134" s="862"/>
      <c r="CF134" s="862"/>
      <c r="CG134" s="862"/>
      <c r="CH134" s="862"/>
      <c r="CI134" s="862"/>
      <c r="CJ134" s="1081"/>
      <c r="CK134" s="862"/>
      <c r="CL134" s="862"/>
      <c r="CM134" s="862"/>
      <c r="CN134" s="73">
        <f t="shared" si="586"/>
        <v>0</v>
      </c>
    </row>
    <row r="135" spans="1:98" s="7" customFormat="1" ht="24.75" customHeight="1" thickBot="1" x14ac:dyDescent="0.25">
      <c r="A135" s="204"/>
      <c r="B135" s="200" t="s">
        <v>744</v>
      </c>
      <c r="C135" s="205"/>
      <c r="D135" s="195">
        <v>1</v>
      </c>
      <c r="E135" s="206"/>
      <c r="F135" s="1406"/>
      <c r="G135" s="1508"/>
      <c r="H135" s="1592"/>
      <c r="I135" s="207">
        <v>1</v>
      </c>
      <c r="J135" s="207"/>
      <c r="K135" s="207"/>
      <c r="L135" s="207"/>
      <c r="M135" s="207"/>
      <c r="N135" s="207"/>
      <c r="O135" s="207"/>
      <c r="P135" s="207"/>
      <c r="Q135" s="208">
        <f t="shared" si="574"/>
        <v>1</v>
      </c>
      <c r="R135" s="209" t="s">
        <v>741</v>
      </c>
      <c r="S135" s="595">
        <v>5540000</v>
      </c>
      <c r="T135" s="210"/>
      <c r="U135" s="1488"/>
      <c r="V135" s="1516"/>
      <c r="W135" s="1593"/>
      <c r="X135" s="211">
        <f>S135</f>
        <v>5540000</v>
      </c>
      <c r="Y135" s="211"/>
      <c r="Z135" s="211"/>
      <c r="AA135" s="211"/>
      <c r="AB135" s="211"/>
      <c r="AC135" s="211"/>
      <c r="AD135" s="211"/>
      <c r="AE135" s="211"/>
      <c r="AF135" s="212">
        <f t="shared" si="609"/>
        <v>5540000</v>
      </c>
      <c r="AG135" s="213">
        <f t="shared" ref="AG135" si="645">T135*E135</f>
        <v>0</v>
      </c>
      <c r="AH135" s="1487">
        <f t="shared" ref="AH135" si="646">U135*F135</f>
        <v>0</v>
      </c>
      <c r="AI135" s="1517">
        <f>G135*V135</f>
        <v>0</v>
      </c>
      <c r="AJ135" s="1594">
        <f t="shared" ref="AJ135" si="647">W135*H135</f>
        <v>0</v>
      </c>
      <c r="AK135" s="213">
        <f t="shared" ref="AK135" si="648">X135*I135</f>
        <v>5540000</v>
      </c>
      <c r="AL135" s="213">
        <f t="shared" ref="AL135" si="649">Y135*J135</f>
        <v>0</v>
      </c>
      <c r="AM135" s="213">
        <f t="shared" ref="AM135" si="650">Z135*K135</f>
        <v>0</v>
      </c>
      <c r="AN135" s="213">
        <f t="shared" ref="AN135" si="651">AA135*L135</f>
        <v>0</v>
      </c>
      <c r="AO135" s="213">
        <f t="shared" ref="AO135" si="652">AB135*M135</f>
        <v>0</v>
      </c>
      <c r="AP135" s="213">
        <f t="shared" ref="AP135" si="653">AC135*N135</f>
        <v>0</v>
      </c>
      <c r="AQ135" s="213">
        <f t="shared" ref="AQ135" si="654">AD135*O135</f>
        <v>0</v>
      </c>
      <c r="AR135" s="213">
        <f t="shared" ref="AR135" si="655">AE135*P135</f>
        <v>0</v>
      </c>
      <c r="AS135" s="214">
        <f t="shared" ref="AS135" si="656">SUM(AG135:AR135)</f>
        <v>5540000</v>
      </c>
      <c r="AT135" s="213">
        <f t="shared" si="588"/>
        <v>0</v>
      </c>
      <c r="AU135" s="213">
        <f t="shared" si="605"/>
        <v>0</v>
      </c>
      <c r="AV135" s="213"/>
      <c r="AW135" s="213"/>
      <c r="AX135" s="213">
        <f>SUM(AK135*12.5%)</f>
        <v>692500</v>
      </c>
      <c r="AY135" s="213">
        <f t="shared" ref="AY135" si="657">SUM(AL135*14%)</f>
        <v>0</v>
      </c>
      <c r="AZ135" s="213">
        <f t="shared" ref="AZ135" si="658">SUM(AM135*14%)</f>
        <v>0</v>
      </c>
      <c r="BA135" s="213">
        <f t="shared" ref="BA135" si="659">SUM(AN135*14%)</f>
        <v>0</v>
      </c>
      <c r="BB135" s="213">
        <f t="shared" ref="BB135" si="660">SUM(AO135*14%)</f>
        <v>0</v>
      </c>
      <c r="BC135" s="213">
        <f t="shared" ref="BC135" si="661">SUM(AP135*14%)</f>
        <v>0</v>
      </c>
      <c r="BD135" s="213">
        <f t="shared" ref="BD135" si="662">SUM(AQ135*14%)</f>
        <v>0</v>
      </c>
      <c r="BE135" s="213">
        <f t="shared" ref="BE135" si="663">SUM(AR135*14%)</f>
        <v>0</v>
      </c>
      <c r="BF135" s="215">
        <f t="shared" ref="BF135" si="664">SUM(AT135:BE135)</f>
        <v>692500</v>
      </c>
      <c r="BG135" s="216">
        <v>0</v>
      </c>
      <c r="BH135" s="217">
        <f t="shared" si="600"/>
        <v>5540000</v>
      </c>
      <c r="BI135" s="218">
        <f t="shared" si="632"/>
        <v>25091027</v>
      </c>
      <c r="BJ135" s="163">
        <f t="shared" ref="BJ135" si="665">SUM(Q135/D135)</f>
        <v>1</v>
      </c>
      <c r="BK135" s="1081"/>
      <c r="BL135" s="1081"/>
      <c r="BM135" s="1083"/>
      <c r="BN135" s="1084"/>
      <c r="BO135" s="862"/>
      <c r="BP135" s="862"/>
      <c r="BQ135" s="862"/>
      <c r="BR135" s="862"/>
      <c r="BS135" s="862"/>
      <c r="BT135" s="862"/>
      <c r="BU135" s="862"/>
      <c r="BV135" s="862"/>
      <c r="BW135" s="1081">
        <f t="shared" ref="BW135" si="666">SUM(AN135*12.5%)</f>
        <v>0</v>
      </c>
      <c r="BX135" s="862"/>
      <c r="BY135" s="862"/>
      <c r="BZ135" s="862"/>
      <c r="CA135" s="73">
        <f t="shared" ref="CA135" si="667">SUM(BO135:BZ135)</f>
        <v>0</v>
      </c>
      <c r="CB135" s="862"/>
      <c r="CC135" s="862"/>
      <c r="CD135" s="862"/>
      <c r="CE135" s="862"/>
      <c r="CF135" s="862"/>
      <c r="CG135" s="862"/>
      <c r="CH135" s="862"/>
      <c r="CI135" s="862"/>
      <c r="CJ135" s="1081"/>
      <c r="CK135" s="862"/>
      <c r="CL135" s="862"/>
      <c r="CM135" s="862"/>
      <c r="CN135" s="73">
        <f t="shared" ref="CN135" si="668">SUM(CB135:CM135)</f>
        <v>0</v>
      </c>
    </row>
    <row r="136" spans="1:98" s="38" customFormat="1" ht="24.75" customHeight="1" thickBot="1" x14ac:dyDescent="0.25">
      <c r="A136" s="577">
        <v>11</v>
      </c>
      <c r="B136" s="44" t="s">
        <v>4</v>
      </c>
      <c r="C136" s="44"/>
      <c r="D136" s="45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7"/>
      <c r="R136" s="77"/>
      <c r="S136" s="201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3">
        <f>SUM(AF127:AF135)</f>
        <v>26646706</v>
      </c>
      <c r="AG136" s="203">
        <f>SUM(AG127:AG130)</f>
        <v>15200000</v>
      </c>
      <c r="AH136" s="203">
        <f>SUM(AH127:AH130)</f>
        <v>750000</v>
      </c>
      <c r="AI136" s="203">
        <f>SUM(AI127:AI130)</f>
        <v>250000</v>
      </c>
      <c r="AJ136" s="203">
        <f>SUM(AJ127:AJ135)</f>
        <v>2326500</v>
      </c>
      <c r="AK136" s="203">
        <f>SUM(AK127:AK135)</f>
        <v>7497206</v>
      </c>
      <c r="AL136" s="203">
        <f t="shared" ref="AL136:AR136" si="669">SUM(AL127:AL130)</f>
        <v>0</v>
      </c>
      <c r="AM136" s="203">
        <f t="shared" si="669"/>
        <v>0</v>
      </c>
      <c r="AN136" s="203">
        <f t="shared" si="669"/>
        <v>0</v>
      </c>
      <c r="AO136" s="203">
        <f t="shared" si="669"/>
        <v>0</v>
      </c>
      <c r="AP136" s="203">
        <f t="shared" si="669"/>
        <v>0</v>
      </c>
      <c r="AQ136" s="203">
        <f t="shared" si="669"/>
        <v>0</v>
      </c>
      <c r="AR136" s="203">
        <f t="shared" si="669"/>
        <v>0</v>
      </c>
      <c r="AS136" s="203">
        <f>SUM(AS127:AS135)</f>
        <v>26023706</v>
      </c>
      <c r="AT136" s="203">
        <f t="shared" ref="AT136:BG136" si="670">SUM(AT127:AT130)</f>
        <v>608000</v>
      </c>
      <c r="AU136" s="203">
        <f t="shared" si="670"/>
        <v>15000</v>
      </c>
      <c r="AV136" s="203">
        <f t="shared" si="670"/>
        <v>0</v>
      </c>
      <c r="AW136" s="203">
        <f t="shared" si="670"/>
        <v>0</v>
      </c>
      <c r="AX136" s="203">
        <f t="shared" si="670"/>
        <v>0</v>
      </c>
      <c r="AY136" s="203">
        <f t="shared" si="670"/>
        <v>0</v>
      </c>
      <c r="AZ136" s="203">
        <f t="shared" si="670"/>
        <v>0</v>
      </c>
      <c r="BA136" s="203">
        <f t="shared" si="670"/>
        <v>0</v>
      </c>
      <c r="BB136" s="203">
        <f t="shared" si="670"/>
        <v>0</v>
      </c>
      <c r="BC136" s="203">
        <f t="shared" si="670"/>
        <v>0</v>
      </c>
      <c r="BD136" s="203">
        <f t="shared" si="670"/>
        <v>0</v>
      </c>
      <c r="BE136" s="203">
        <f t="shared" si="670"/>
        <v>0</v>
      </c>
      <c r="BF136" s="203">
        <f>SUM(BF127:BF135)</f>
        <v>1650150.75</v>
      </c>
      <c r="BG136" s="203">
        <f t="shared" si="670"/>
        <v>15000</v>
      </c>
      <c r="BH136" s="203">
        <f>SUM(BH127)</f>
        <v>52355940</v>
      </c>
      <c r="BI136" s="203">
        <f>BI135</f>
        <v>25091027</v>
      </c>
      <c r="BJ136" s="164">
        <v>1</v>
      </c>
      <c r="BK136" s="1081">
        <f>SUM(BK129:BK130)</f>
        <v>735000</v>
      </c>
      <c r="BL136" s="1081">
        <f>SUM(BL129:BL130)</f>
        <v>700000</v>
      </c>
      <c r="BM136" s="1083">
        <f>SUM(BM129:BM130)</f>
        <v>35000</v>
      </c>
      <c r="BN136" s="1084"/>
      <c r="BO136" s="862"/>
      <c r="BP136" s="862"/>
      <c r="BQ136" s="862"/>
      <c r="BR136" s="862"/>
      <c r="BS136" s="862"/>
      <c r="BT136" s="862"/>
      <c r="BU136" s="862"/>
      <c r="BV136" s="862"/>
      <c r="BW136" s="1081">
        <f t="shared" si="584"/>
        <v>0</v>
      </c>
      <c r="BX136" s="862"/>
      <c r="BY136" s="862"/>
      <c r="BZ136" s="862"/>
      <c r="CA136" s="73">
        <f t="shared" si="635"/>
        <v>0</v>
      </c>
      <c r="CB136" s="862"/>
      <c r="CC136" s="862"/>
      <c r="CD136" s="862"/>
      <c r="CE136" s="862"/>
      <c r="CF136" s="862"/>
      <c r="CG136" s="862"/>
      <c r="CH136" s="862"/>
      <c r="CI136" s="862"/>
      <c r="CJ136" s="1081"/>
      <c r="CK136" s="862"/>
      <c r="CL136" s="862"/>
      <c r="CM136" s="862"/>
      <c r="CN136" s="73">
        <f t="shared" si="586"/>
        <v>0</v>
      </c>
    </row>
    <row r="137" spans="1:98" s="20" customFormat="1" ht="24.75" customHeight="1" x14ac:dyDescent="0.2">
      <c r="A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404"/>
      <c r="AE137" s="40"/>
      <c r="AS137" s="51"/>
      <c r="BF137" s="52">
        <f>SUM(AS136+BF136)</f>
        <v>27673856.75</v>
      </c>
      <c r="BG137" s="53"/>
      <c r="BH137" s="54"/>
      <c r="BI137" s="55">
        <f>SUM(BG136)</f>
        <v>15000</v>
      </c>
      <c r="BJ137" s="40" t="s">
        <v>38</v>
      </c>
      <c r="BK137" s="171"/>
      <c r="BL137" s="236">
        <v>1</v>
      </c>
      <c r="BM137" s="236">
        <v>35000</v>
      </c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</row>
    <row r="138" spans="1:98" s="20" customFormat="1" ht="24.75" customHeight="1" x14ac:dyDescent="0.2">
      <c r="A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T138" s="219"/>
      <c r="AE138" s="40"/>
      <c r="AS138" s="40"/>
      <c r="AT138" s="388">
        <f>SUM(AG136+AT136)</f>
        <v>15808000</v>
      </c>
      <c r="AU138" s="388">
        <f t="shared" ref="AU138" si="671">SUM(AH136+AU136)</f>
        <v>765000</v>
      </c>
      <c r="AV138" s="388">
        <f t="shared" ref="AV138" si="672">SUM(AI136+AV136)</f>
        <v>250000</v>
      </c>
      <c r="AW138" s="388">
        <f t="shared" ref="AW138" si="673">SUM(AJ136+AW136)</f>
        <v>2326500</v>
      </c>
      <c r="AX138" s="388">
        <f>SUM(AK136+AX136)</f>
        <v>7497206</v>
      </c>
      <c r="AY138" s="388">
        <f t="shared" ref="AY138" si="674">SUM(AL136+AY136)</f>
        <v>0</v>
      </c>
      <c r="AZ138" s="388">
        <f t="shared" ref="AZ138" si="675">SUM(AM136+AZ136)</f>
        <v>0</v>
      </c>
      <c r="BA138" s="388">
        <f t="shared" ref="BA138" si="676">SUM(AN136+BA136)</f>
        <v>0</v>
      </c>
      <c r="BB138" s="388">
        <f t="shared" ref="BB138" si="677">SUM(AO136+BB136)</f>
        <v>0</v>
      </c>
      <c r="BC138" s="388">
        <f t="shared" ref="BC138" si="678">SUM(AP136+BC136)</f>
        <v>0</v>
      </c>
      <c r="BD138" s="388">
        <f t="shared" ref="BD138" si="679">SUM(AQ136+BD136)</f>
        <v>0</v>
      </c>
      <c r="BE138" s="388">
        <f t="shared" ref="BE138" si="680">SUM(AR136+BE136)</f>
        <v>0</v>
      </c>
      <c r="BF138" s="388">
        <f>SUM(AT138:BE138)</f>
        <v>26646706</v>
      </c>
      <c r="BG138" s="57"/>
      <c r="BH138" s="57"/>
      <c r="BI138" s="57">
        <f>SUM(BI136+BI137)</f>
        <v>25106027</v>
      </c>
      <c r="BJ138" s="40" t="s">
        <v>37</v>
      </c>
      <c r="BK138" s="171"/>
      <c r="BL138" s="24">
        <v>25091027</v>
      </c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</row>
    <row r="139" spans="1:98" s="20" customFormat="1" ht="29.25" customHeight="1" x14ac:dyDescent="0.2">
      <c r="A139" s="1730" t="s">
        <v>8</v>
      </c>
      <c r="B139" s="1731"/>
      <c r="C139" s="124" t="s">
        <v>433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7"/>
      <c r="AF139" s="23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8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  <c r="BF139" s="1282">
        <f>BF138-BF137</f>
        <v>-1027150.75</v>
      </c>
      <c r="BG139" s="138"/>
      <c r="BH139" s="135"/>
      <c r="BI139" s="139"/>
      <c r="BJ139" s="23"/>
      <c r="BK139" s="169"/>
      <c r="BL139" s="1372">
        <f>SUM(BI136-BL138)</f>
        <v>0</v>
      </c>
      <c r="BM139" s="136"/>
      <c r="BN139" s="136"/>
      <c r="BO139" s="136"/>
      <c r="BP139" s="137"/>
      <c r="BQ139" s="136"/>
      <c r="BR139" s="136"/>
      <c r="BS139" s="136"/>
      <c r="BT139" s="136"/>
      <c r="BU139" s="136"/>
      <c r="BV139" s="138"/>
      <c r="BW139" s="138"/>
      <c r="BX139" s="138"/>
      <c r="BY139" s="135"/>
      <c r="BZ139" s="139"/>
      <c r="CA139" s="138"/>
      <c r="CB139" s="138"/>
      <c r="CC139" s="24"/>
      <c r="CD139" s="24"/>
      <c r="CE139" s="24"/>
      <c r="CF139" s="24"/>
      <c r="CG139" s="24"/>
      <c r="CH139" s="140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</row>
    <row r="140" spans="1:98" s="8" customFormat="1" ht="48.75" customHeight="1" x14ac:dyDescent="0.2">
      <c r="A140" s="1703" t="s">
        <v>10</v>
      </c>
      <c r="B140" s="1706" t="s">
        <v>11</v>
      </c>
      <c r="C140" s="1706" t="s">
        <v>22</v>
      </c>
      <c r="D140" s="1721" t="s">
        <v>12</v>
      </c>
      <c r="E140" s="1721"/>
      <c r="F140" s="1721"/>
      <c r="G140" s="1721"/>
      <c r="H140" s="1721"/>
      <c r="I140" s="1721"/>
      <c r="J140" s="1721"/>
      <c r="K140" s="1721"/>
      <c r="L140" s="1721"/>
      <c r="M140" s="1721"/>
      <c r="N140" s="1721"/>
      <c r="O140" s="1721"/>
      <c r="P140" s="1721"/>
      <c r="Q140" s="1721"/>
      <c r="R140" s="1706" t="s">
        <v>20</v>
      </c>
      <c r="S140" s="1717" t="s">
        <v>17</v>
      </c>
      <c r="T140" s="1718"/>
      <c r="U140" s="1718"/>
      <c r="V140" s="1718"/>
      <c r="W140" s="1718"/>
      <c r="X140" s="1718"/>
      <c r="Y140" s="1718"/>
      <c r="Z140" s="1718"/>
      <c r="AA140" s="1718"/>
      <c r="AB140" s="1718"/>
      <c r="AC140" s="1718"/>
      <c r="AD140" s="1718"/>
      <c r="AE140" s="1719"/>
      <c r="AF140" s="1720" t="s">
        <v>6</v>
      </c>
      <c r="AG140" s="1720"/>
      <c r="AH140" s="1720"/>
      <c r="AI140" s="1720"/>
      <c r="AJ140" s="1720"/>
      <c r="AK140" s="1720"/>
      <c r="AL140" s="1720"/>
      <c r="AM140" s="1720"/>
      <c r="AN140" s="1720"/>
      <c r="AO140" s="1720"/>
      <c r="AP140" s="1720"/>
      <c r="AQ140" s="1720"/>
      <c r="AR140" s="1720"/>
      <c r="AS140" s="1720"/>
      <c r="AT140" s="1722" t="s">
        <v>41</v>
      </c>
      <c r="AU140" s="1723"/>
      <c r="AV140" s="1723"/>
      <c r="AW140" s="1723"/>
      <c r="AX140" s="1723"/>
      <c r="AY140" s="1723"/>
      <c r="AZ140" s="1723"/>
      <c r="BA140" s="1723"/>
      <c r="BB140" s="1723"/>
      <c r="BC140" s="1723"/>
      <c r="BD140" s="1723"/>
      <c r="BE140" s="1723"/>
      <c r="BF140" s="1724"/>
      <c r="BG140" s="1706" t="s">
        <v>38</v>
      </c>
      <c r="BH140" s="1706" t="s">
        <v>256</v>
      </c>
      <c r="BI140" s="1709" t="s">
        <v>39</v>
      </c>
      <c r="BJ140" s="135"/>
      <c r="BK140" s="1655">
        <v>25254234</v>
      </c>
      <c r="BL140" s="135"/>
      <c r="BM140" s="135"/>
      <c r="BN140" s="135"/>
      <c r="BO140" s="1733" t="s">
        <v>41</v>
      </c>
      <c r="BP140" s="1734"/>
      <c r="BQ140" s="1734"/>
      <c r="BR140" s="1734"/>
      <c r="BS140" s="1734"/>
      <c r="BT140" s="1734"/>
      <c r="BU140" s="1734"/>
      <c r="BV140" s="1734"/>
      <c r="BW140" s="1734"/>
      <c r="BX140" s="1734"/>
      <c r="BY140" s="1734"/>
      <c r="BZ140" s="1734"/>
      <c r="CA140" s="1734"/>
      <c r="CB140" s="1734"/>
      <c r="CC140" s="1734"/>
      <c r="CD140" s="1734"/>
      <c r="CE140" s="1734"/>
      <c r="CF140" s="1734"/>
      <c r="CG140" s="1734"/>
      <c r="CH140" s="1734"/>
      <c r="CI140" s="1734"/>
      <c r="CJ140" s="1734"/>
      <c r="CK140" s="1734"/>
      <c r="CL140" s="1734"/>
      <c r="CM140" s="1734"/>
      <c r="CN140" s="1735"/>
    </row>
    <row r="141" spans="1:98" s="8" customFormat="1" ht="48.75" customHeight="1" x14ac:dyDescent="0.2">
      <c r="A141" s="1704"/>
      <c r="B141" s="1707"/>
      <c r="C141" s="1707"/>
      <c r="D141" s="1712" t="s">
        <v>18</v>
      </c>
      <c r="E141" s="1714" t="s">
        <v>19</v>
      </c>
      <c r="F141" s="1715"/>
      <c r="G141" s="1715"/>
      <c r="H141" s="1715"/>
      <c r="I141" s="1715"/>
      <c r="J141" s="1715"/>
      <c r="K141" s="1715"/>
      <c r="L141" s="1715"/>
      <c r="M141" s="1715"/>
      <c r="N141" s="1715"/>
      <c r="O141" s="1715"/>
      <c r="P141" s="1715"/>
      <c r="Q141" s="1715"/>
      <c r="R141" s="1707"/>
      <c r="S141" s="1712" t="s">
        <v>18</v>
      </c>
      <c r="T141" s="1714" t="s">
        <v>19</v>
      </c>
      <c r="U141" s="1715"/>
      <c r="V141" s="1715"/>
      <c r="W141" s="1715"/>
      <c r="X141" s="1715"/>
      <c r="Y141" s="1715"/>
      <c r="Z141" s="1715"/>
      <c r="AA141" s="1715"/>
      <c r="AB141" s="1715"/>
      <c r="AC141" s="1715"/>
      <c r="AD141" s="1715"/>
      <c r="AE141" s="1716"/>
      <c r="AF141" s="1712" t="s">
        <v>18</v>
      </c>
      <c r="AG141" s="1714" t="s">
        <v>19</v>
      </c>
      <c r="AH141" s="1715"/>
      <c r="AI141" s="1715"/>
      <c r="AJ141" s="1715"/>
      <c r="AK141" s="1715"/>
      <c r="AL141" s="1715"/>
      <c r="AM141" s="1715"/>
      <c r="AN141" s="1715"/>
      <c r="AO141" s="1715"/>
      <c r="AP141" s="1715"/>
      <c r="AQ141" s="1715"/>
      <c r="AR141" s="1715"/>
      <c r="AS141" s="1716"/>
      <c r="AT141" s="1725"/>
      <c r="AU141" s="1726"/>
      <c r="AV141" s="1726"/>
      <c r="AW141" s="1726"/>
      <c r="AX141" s="1726"/>
      <c r="AY141" s="1726"/>
      <c r="AZ141" s="1726"/>
      <c r="BA141" s="1726"/>
      <c r="BB141" s="1726"/>
      <c r="BC141" s="1726"/>
      <c r="BD141" s="1726"/>
      <c r="BE141" s="1726"/>
      <c r="BF141" s="1727"/>
      <c r="BG141" s="1707"/>
      <c r="BH141" s="1707"/>
      <c r="BI141" s="1710"/>
      <c r="BJ141" s="135"/>
      <c r="BK141" s="1736">
        <f>BI136-BK140</f>
        <v>-163207</v>
      </c>
      <c r="BL141" s="1736"/>
      <c r="BM141" s="1736"/>
      <c r="BN141" s="23"/>
      <c r="BO141" s="1737" t="s">
        <v>686</v>
      </c>
      <c r="BP141" s="1738"/>
      <c r="BQ141" s="1738"/>
      <c r="BR141" s="1738"/>
      <c r="BS141" s="1738"/>
      <c r="BT141" s="1738"/>
      <c r="BU141" s="1738"/>
      <c r="BV141" s="1738"/>
      <c r="BW141" s="1738"/>
      <c r="BX141" s="1738"/>
      <c r="BY141" s="1738"/>
      <c r="BZ141" s="1738"/>
      <c r="CA141" s="1739"/>
      <c r="CB141" s="1740" t="s">
        <v>687</v>
      </c>
      <c r="CC141" s="1741"/>
      <c r="CD141" s="1741"/>
      <c r="CE141" s="1741"/>
      <c r="CF141" s="1741"/>
      <c r="CG141" s="1741"/>
      <c r="CH141" s="1741"/>
      <c r="CI141" s="1741"/>
      <c r="CJ141" s="1741"/>
      <c r="CK141" s="1741"/>
      <c r="CL141" s="1741"/>
      <c r="CM141" s="1741"/>
      <c r="CN141" s="1742"/>
    </row>
    <row r="142" spans="1:98" s="6" customFormat="1" ht="28.5" customHeight="1" x14ac:dyDescent="0.2">
      <c r="A142" s="1705"/>
      <c r="B142" s="1708"/>
      <c r="C142" s="1708"/>
      <c r="D142" s="1713"/>
      <c r="E142" s="26">
        <v>1</v>
      </c>
      <c r="F142" s="26">
        <v>2</v>
      </c>
      <c r="G142" s="26">
        <v>3</v>
      </c>
      <c r="H142" s="26">
        <v>4</v>
      </c>
      <c r="I142" s="26">
        <v>5</v>
      </c>
      <c r="J142" s="26">
        <v>6</v>
      </c>
      <c r="K142" s="26">
        <v>7</v>
      </c>
      <c r="L142" s="26">
        <v>8</v>
      </c>
      <c r="M142" s="26">
        <v>9</v>
      </c>
      <c r="N142" s="26">
        <v>10</v>
      </c>
      <c r="O142" s="26">
        <v>11</v>
      </c>
      <c r="P142" s="26">
        <v>12</v>
      </c>
      <c r="Q142" s="26" t="s">
        <v>21</v>
      </c>
      <c r="R142" s="1708"/>
      <c r="S142" s="1713"/>
      <c r="T142" s="26">
        <v>1</v>
      </c>
      <c r="U142" s="26">
        <v>2</v>
      </c>
      <c r="V142" s="26">
        <v>3</v>
      </c>
      <c r="W142" s="26">
        <v>4</v>
      </c>
      <c r="X142" s="26">
        <v>5</v>
      </c>
      <c r="Y142" s="26">
        <v>6</v>
      </c>
      <c r="Z142" s="26">
        <v>7</v>
      </c>
      <c r="AA142" s="26">
        <v>8</v>
      </c>
      <c r="AB142" s="26">
        <v>9</v>
      </c>
      <c r="AC142" s="26">
        <v>10</v>
      </c>
      <c r="AD142" s="26">
        <v>11</v>
      </c>
      <c r="AE142" s="26">
        <v>12</v>
      </c>
      <c r="AF142" s="1713"/>
      <c r="AG142" s="26">
        <v>1</v>
      </c>
      <c r="AH142" s="26">
        <v>2</v>
      </c>
      <c r="AI142" s="26">
        <v>3</v>
      </c>
      <c r="AJ142" s="26">
        <v>4</v>
      </c>
      <c r="AK142" s="26">
        <v>5</v>
      </c>
      <c r="AL142" s="26">
        <v>6</v>
      </c>
      <c r="AM142" s="26">
        <v>7</v>
      </c>
      <c r="AN142" s="26">
        <v>8</v>
      </c>
      <c r="AO142" s="26">
        <v>9</v>
      </c>
      <c r="AP142" s="26">
        <v>10</v>
      </c>
      <c r="AQ142" s="26">
        <v>11</v>
      </c>
      <c r="AR142" s="26">
        <v>12</v>
      </c>
      <c r="AS142" s="26" t="s">
        <v>13</v>
      </c>
      <c r="AT142" s="173">
        <v>1</v>
      </c>
      <c r="AU142" s="173">
        <v>2</v>
      </c>
      <c r="AV142" s="173">
        <v>3</v>
      </c>
      <c r="AW142" s="173">
        <v>4</v>
      </c>
      <c r="AX142" s="173">
        <v>5</v>
      </c>
      <c r="AY142" s="173">
        <v>6</v>
      </c>
      <c r="AZ142" s="173">
        <v>7</v>
      </c>
      <c r="BA142" s="173">
        <v>8</v>
      </c>
      <c r="BB142" s="173">
        <v>9</v>
      </c>
      <c r="BC142" s="173">
        <v>10</v>
      </c>
      <c r="BD142" s="173">
        <v>11</v>
      </c>
      <c r="BE142" s="173">
        <v>12</v>
      </c>
      <c r="BF142" s="26" t="s">
        <v>13</v>
      </c>
      <c r="BG142" s="1708"/>
      <c r="BH142" s="1708"/>
      <c r="BI142" s="1711"/>
      <c r="BJ142" s="7"/>
      <c r="BK142" s="1743" t="s">
        <v>19</v>
      </c>
      <c r="BL142" s="1744"/>
      <c r="BM142" s="1745"/>
      <c r="BN142" s="621"/>
      <c r="BO142" s="173">
        <v>1</v>
      </c>
      <c r="BP142" s="173">
        <v>2</v>
      </c>
      <c r="BQ142" s="173">
        <v>3</v>
      </c>
      <c r="BR142" s="173">
        <v>4</v>
      </c>
      <c r="BS142" s="173">
        <v>5</v>
      </c>
      <c r="BT142" s="173">
        <v>6</v>
      </c>
      <c r="BU142" s="173">
        <v>7</v>
      </c>
      <c r="BV142" s="173">
        <v>8</v>
      </c>
      <c r="BW142" s="173">
        <v>9</v>
      </c>
      <c r="BX142" s="173">
        <v>10</v>
      </c>
      <c r="BY142" s="173">
        <v>11</v>
      </c>
      <c r="BZ142" s="173">
        <v>12</v>
      </c>
      <c r="CA142" s="26" t="s">
        <v>13</v>
      </c>
      <c r="CB142" s="173">
        <v>1</v>
      </c>
      <c r="CC142" s="173">
        <v>2</v>
      </c>
      <c r="CD142" s="173">
        <v>3</v>
      </c>
      <c r="CE142" s="173">
        <v>4</v>
      </c>
      <c r="CF142" s="173">
        <v>5</v>
      </c>
      <c r="CG142" s="173">
        <v>6</v>
      </c>
      <c r="CH142" s="173">
        <v>7</v>
      </c>
      <c r="CI142" s="173">
        <v>8</v>
      </c>
      <c r="CJ142" s="173">
        <v>9</v>
      </c>
      <c r="CK142" s="173">
        <v>10</v>
      </c>
      <c r="CL142" s="173">
        <v>11</v>
      </c>
      <c r="CM142" s="173">
        <v>12</v>
      </c>
      <c r="CN142" s="26" t="s">
        <v>13</v>
      </c>
    </row>
    <row r="143" spans="1:98" s="7" customFormat="1" ht="24.75" customHeight="1" x14ac:dyDescent="0.2">
      <c r="A143" s="41"/>
      <c r="B143" s="199" t="s">
        <v>434</v>
      </c>
      <c r="C143" s="29"/>
      <c r="D143" s="189"/>
      <c r="E143" s="82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1"/>
      <c r="R143" s="197"/>
      <c r="S143" s="196"/>
      <c r="T143" s="84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69">
        <f>SUM(S143*E143)</f>
        <v>0</v>
      </c>
      <c r="AG143" s="70">
        <f t="shared" ref="AG143" si="681">T143*E143</f>
        <v>0</v>
      </c>
      <c r="AH143" s="70">
        <f t="shared" ref="AH143:AH149" si="682">U143*F143</f>
        <v>0</v>
      </c>
      <c r="AI143" s="70">
        <f t="shared" ref="AI143:AI149" si="683">V143*G143</f>
        <v>0</v>
      </c>
      <c r="AJ143" s="70">
        <f t="shared" ref="AJ143:AJ149" si="684">W143*H143</f>
        <v>0</v>
      </c>
      <c r="AK143" s="70">
        <f t="shared" ref="AK143:AK149" si="685">X143*I143</f>
        <v>0</v>
      </c>
      <c r="AL143" s="70">
        <f t="shared" ref="AL143:AL149" si="686">Y143*J143</f>
        <v>0</v>
      </c>
      <c r="AM143" s="70">
        <f t="shared" ref="AM143:AM149" si="687">Z143*K143</f>
        <v>0</v>
      </c>
      <c r="AN143" s="70">
        <f t="shared" ref="AN143:AN149" si="688">AA143*L143</f>
        <v>0</v>
      </c>
      <c r="AO143" s="70">
        <f t="shared" ref="AO143:AO149" si="689">AB143*M143</f>
        <v>0</v>
      </c>
      <c r="AP143" s="70">
        <f t="shared" ref="AP143:AP149" si="690">AC143*N143</f>
        <v>0</v>
      </c>
      <c r="AQ143" s="70">
        <f t="shared" ref="AQ143:AQ149" si="691">AD143*O143</f>
        <v>0</v>
      </c>
      <c r="AR143" s="70">
        <f t="shared" ref="AR143:AR149" si="692">AE143*P143</f>
        <v>0</v>
      </c>
      <c r="AS143" s="71">
        <f t="shared" ref="AS143:AS149" si="693">SUM(AG143:AR143)</f>
        <v>0</v>
      </c>
      <c r="AT143" s="70">
        <f>AG143*R143</f>
        <v>0</v>
      </c>
      <c r="AU143" s="70">
        <f>AH143*S143</f>
        <v>0</v>
      </c>
      <c r="AV143" s="70">
        <f>AI143*T143</f>
        <v>0</v>
      </c>
      <c r="AW143" s="70">
        <f t="shared" ref="AW143" si="694">AJ143*U143</f>
        <v>0</v>
      </c>
      <c r="AX143" s="70">
        <f t="shared" ref="AX143" si="695">AK143*V143</f>
        <v>0</v>
      </c>
      <c r="AY143" s="70">
        <f t="shared" ref="AY143" si="696">AL143*W143</f>
        <v>0</v>
      </c>
      <c r="AZ143" s="70">
        <f t="shared" ref="AZ143" si="697">AM143*X143</f>
        <v>0</v>
      </c>
      <c r="BA143" s="70">
        <f t="shared" ref="BA143" si="698">AN143*Y143</f>
        <v>0</v>
      </c>
      <c r="BB143" s="70">
        <f t="shared" ref="BB143" si="699">AO143*Z143</f>
        <v>0</v>
      </c>
      <c r="BC143" s="70">
        <f t="shared" ref="BC143" si="700">AP143*AA143</f>
        <v>0</v>
      </c>
      <c r="BD143" s="70">
        <f t="shared" ref="BD143" si="701">AQ143*AB143</f>
        <v>0</v>
      </c>
      <c r="BE143" s="70">
        <f t="shared" ref="BE143" si="702">AR143*AC143</f>
        <v>0</v>
      </c>
      <c r="BF143" s="72"/>
      <c r="BG143" s="73">
        <f>AF143-AS143-BF143</f>
        <v>0</v>
      </c>
      <c r="BH143" s="74">
        <f t="shared" ref="BH143:BH149" si="703">S143*D143</f>
        <v>0</v>
      </c>
      <c r="BI143" s="75">
        <f t="shared" ref="BI143:BI149" si="704">BH143-AS143-BF143</f>
        <v>0</v>
      </c>
      <c r="BJ143" s="166"/>
      <c r="BK143" s="1081"/>
      <c r="BL143" s="1081"/>
      <c r="BM143" s="1083"/>
      <c r="BN143" s="1084"/>
      <c r="BO143" s="862"/>
      <c r="BP143" s="862"/>
      <c r="BQ143" s="862"/>
      <c r="BR143" s="862"/>
      <c r="BS143" s="862"/>
      <c r="BT143" s="862"/>
      <c r="BU143" s="862"/>
      <c r="BV143" s="862"/>
      <c r="BW143" s="1081">
        <f t="shared" ref="BW143:BW145" si="705">SUM(AN143*12.5%)</f>
        <v>0</v>
      </c>
      <c r="BX143" s="862"/>
      <c r="BY143" s="862"/>
      <c r="BZ143" s="862"/>
      <c r="CA143" s="73">
        <f t="shared" ref="CA143" si="706">SUM(BO143:BZ143)</f>
        <v>0</v>
      </c>
      <c r="CB143" s="862"/>
      <c r="CC143" s="862"/>
      <c r="CD143" s="862"/>
      <c r="CE143" s="862"/>
      <c r="CF143" s="862"/>
      <c r="CG143" s="862"/>
      <c r="CH143" s="862"/>
      <c r="CI143" s="862"/>
      <c r="CJ143" s="1081"/>
      <c r="CK143" s="862"/>
      <c r="CL143" s="862"/>
      <c r="CM143" s="862"/>
      <c r="CN143" s="73">
        <f t="shared" ref="CN143:CN145" si="707">SUM(CB143:CM143)</f>
        <v>0</v>
      </c>
    </row>
    <row r="144" spans="1:98" s="7" customFormat="1" ht="24.75" customHeight="1" x14ac:dyDescent="0.2">
      <c r="A144" s="41">
        <v>1</v>
      </c>
      <c r="B144" s="656" t="s">
        <v>435</v>
      </c>
      <c r="C144" s="29" t="s">
        <v>290</v>
      </c>
      <c r="D144" s="659">
        <v>2</v>
      </c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1">
        <f t="shared" ref="Q144:Q149" si="708">SUM(E144:P144)</f>
        <v>0</v>
      </c>
      <c r="R144" s="660" t="s">
        <v>185</v>
      </c>
      <c r="S144" s="593">
        <v>79500</v>
      </c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69">
        <f t="shared" ref="AF144:AF149" si="709">SUM(Q144*S144)</f>
        <v>0</v>
      </c>
      <c r="AG144" s="70">
        <f>T144*E144</f>
        <v>0</v>
      </c>
      <c r="AH144" s="70">
        <f t="shared" si="682"/>
        <v>0</v>
      </c>
      <c r="AI144" s="70">
        <f t="shared" si="683"/>
        <v>0</v>
      </c>
      <c r="AJ144" s="70">
        <f t="shared" si="684"/>
        <v>0</v>
      </c>
      <c r="AK144" s="70">
        <f t="shared" si="685"/>
        <v>0</v>
      </c>
      <c r="AL144" s="70">
        <f t="shared" si="686"/>
        <v>0</v>
      </c>
      <c r="AM144" s="70">
        <f t="shared" si="687"/>
        <v>0</v>
      </c>
      <c r="AN144" s="70">
        <f t="shared" si="688"/>
        <v>0</v>
      </c>
      <c r="AO144" s="70">
        <f t="shared" si="689"/>
        <v>0</v>
      </c>
      <c r="AP144" s="70">
        <f t="shared" si="690"/>
        <v>0</v>
      </c>
      <c r="AQ144" s="70">
        <f t="shared" si="691"/>
        <v>0</v>
      </c>
      <c r="AR144" s="70">
        <f t="shared" si="692"/>
        <v>0</v>
      </c>
      <c r="AS144" s="71">
        <f t="shared" si="693"/>
        <v>0</v>
      </c>
      <c r="AT144" s="70">
        <f>SUM(AG144*4%)</f>
        <v>0</v>
      </c>
      <c r="AU144" s="70">
        <f t="shared" ref="AU144:AU147" si="710">SUM(AH144*14%)</f>
        <v>0</v>
      </c>
      <c r="AV144" s="70">
        <f>SUM(AI144*4%)</f>
        <v>0</v>
      </c>
      <c r="AW144" s="70">
        <f t="shared" ref="AW144:AW149" si="711">SUM(AJ144*14%)</f>
        <v>0</v>
      </c>
      <c r="AX144" s="70">
        <f t="shared" ref="AX144:AX149" si="712">SUM(AK144*14%)</f>
        <v>0</v>
      </c>
      <c r="AY144" s="70">
        <f t="shared" ref="AY144:AY149" si="713">SUM(AL144*14%)</f>
        <v>0</v>
      </c>
      <c r="AZ144" s="70">
        <f t="shared" ref="AZ144:AZ149" si="714">SUM(AM144*14%)</f>
        <v>0</v>
      </c>
      <c r="BA144" s="70">
        <f t="shared" ref="BA144:BA149" si="715">SUM(AN144*14%)</f>
        <v>0</v>
      </c>
      <c r="BB144" s="70">
        <f t="shared" ref="BB144:BB149" si="716">SUM(AO144*14%)</f>
        <v>0</v>
      </c>
      <c r="BC144" s="70">
        <f t="shared" ref="BC144:BC149" si="717">SUM(AP144*14%)</f>
        <v>0</v>
      </c>
      <c r="BD144" s="70">
        <f t="shared" ref="BD144:BD149" si="718">SUM(AQ144*14%)</f>
        <v>0</v>
      </c>
      <c r="BE144" s="70">
        <f t="shared" ref="BE144:BE149" si="719">SUM(AR144*14%)</f>
        <v>0</v>
      </c>
      <c r="BF144" s="72">
        <f t="shared" ref="BF144:BF149" si="720">SUM(AT144:BE144)</f>
        <v>0</v>
      </c>
      <c r="BG144" s="73">
        <f t="shared" ref="BG144:BG148" si="721">AF144-AS144-BF144</f>
        <v>0</v>
      </c>
      <c r="BH144" s="74">
        <f t="shared" si="703"/>
        <v>159000</v>
      </c>
      <c r="BI144" s="75">
        <f t="shared" si="704"/>
        <v>159000</v>
      </c>
      <c r="BJ144" s="163">
        <f t="shared" ref="BJ144:BJ149" si="722">SUM(Q144/D144)</f>
        <v>0</v>
      </c>
      <c r="BK144" s="1081"/>
      <c r="BL144" s="1081"/>
      <c r="BM144" s="1083"/>
      <c r="BN144" s="1084"/>
      <c r="BO144" s="862"/>
      <c r="BP144" s="862"/>
      <c r="BQ144" s="862"/>
      <c r="BR144" s="862"/>
      <c r="BS144" s="862"/>
      <c r="BT144" s="862"/>
      <c r="BU144" s="862"/>
      <c r="BV144" s="862"/>
      <c r="BW144" s="1081">
        <f t="shared" si="705"/>
        <v>0</v>
      </c>
      <c r="BX144" s="862"/>
      <c r="BY144" s="862"/>
      <c r="BZ144" s="862"/>
      <c r="CA144" s="73">
        <f t="shared" ref="CA144:CA145" si="723">SUM(BO144:BZ144)</f>
        <v>0</v>
      </c>
      <c r="CB144" s="862"/>
      <c r="CC144" s="862"/>
      <c r="CD144" s="862"/>
      <c r="CE144" s="862"/>
      <c r="CF144" s="862"/>
      <c r="CG144" s="862"/>
      <c r="CH144" s="862"/>
      <c r="CI144" s="862"/>
      <c r="CJ144" s="1081"/>
      <c r="CK144" s="862"/>
      <c r="CL144" s="862"/>
      <c r="CM144" s="862"/>
      <c r="CN144" s="73">
        <f t="shared" si="707"/>
        <v>0</v>
      </c>
    </row>
    <row r="145" spans="1:92" s="7" customFormat="1" ht="24.75" customHeight="1" x14ac:dyDescent="0.2">
      <c r="A145" s="41">
        <v>2</v>
      </c>
      <c r="B145" s="656" t="s">
        <v>436</v>
      </c>
      <c r="C145" s="29" t="s">
        <v>290</v>
      </c>
      <c r="D145" s="147">
        <v>2</v>
      </c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1">
        <f t="shared" si="708"/>
        <v>0</v>
      </c>
      <c r="R145" s="655" t="s">
        <v>0</v>
      </c>
      <c r="S145" s="661">
        <v>49500</v>
      </c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69">
        <f t="shared" si="709"/>
        <v>0</v>
      </c>
      <c r="AG145" s="70">
        <f t="shared" ref="AG145:AG149" si="724">T145*E145</f>
        <v>0</v>
      </c>
      <c r="AH145" s="70">
        <f t="shared" si="682"/>
        <v>0</v>
      </c>
      <c r="AI145" s="70">
        <f t="shared" si="683"/>
        <v>0</v>
      </c>
      <c r="AJ145" s="70">
        <f t="shared" si="684"/>
        <v>0</v>
      </c>
      <c r="AK145" s="70">
        <f t="shared" si="685"/>
        <v>0</v>
      </c>
      <c r="AL145" s="70">
        <f t="shared" si="686"/>
        <v>0</v>
      </c>
      <c r="AM145" s="70">
        <f t="shared" si="687"/>
        <v>0</v>
      </c>
      <c r="AN145" s="70">
        <f t="shared" si="688"/>
        <v>0</v>
      </c>
      <c r="AO145" s="70">
        <f t="shared" si="689"/>
        <v>0</v>
      </c>
      <c r="AP145" s="70">
        <f t="shared" si="690"/>
        <v>0</v>
      </c>
      <c r="AQ145" s="70">
        <f t="shared" si="691"/>
        <v>0</v>
      </c>
      <c r="AR145" s="70">
        <f t="shared" si="692"/>
        <v>0</v>
      </c>
      <c r="AS145" s="71">
        <f t="shared" si="693"/>
        <v>0</v>
      </c>
      <c r="AT145" s="70">
        <f>SUM(AG145*4%)</f>
        <v>0</v>
      </c>
      <c r="AU145" s="70">
        <f t="shared" si="710"/>
        <v>0</v>
      </c>
      <c r="AV145" s="70">
        <f>SUM(AI145*4%)</f>
        <v>0</v>
      </c>
      <c r="AW145" s="70">
        <f t="shared" si="711"/>
        <v>0</v>
      </c>
      <c r="AX145" s="70">
        <f t="shared" si="712"/>
        <v>0</v>
      </c>
      <c r="AY145" s="70">
        <f t="shared" si="713"/>
        <v>0</v>
      </c>
      <c r="AZ145" s="70">
        <f t="shared" si="714"/>
        <v>0</v>
      </c>
      <c r="BA145" s="70">
        <f t="shared" si="715"/>
        <v>0</v>
      </c>
      <c r="BB145" s="70">
        <f t="shared" si="716"/>
        <v>0</v>
      </c>
      <c r="BC145" s="70">
        <f t="shared" si="717"/>
        <v>0</v>
      </c>
      <c r="BD145" s="70">
        <f t="shared" si="718"/>
        <v>0</v>
      </c>
      <c r="BE145" s="70">
        <f t="shared" si="719"/>
        <v>0</v>
      </c>
      <c r="BF145" s="72">
        <f t="shared" si="720"/>
        <v>0</v>
      </c>
      <c r="BG145" s="73">
        <f t="shared" si="721"/>
        <v>0</v>
      </c>
      <c r="BH145" s="74">
        <f t="shared" si="703"/>
        <v>99000</v>
      </c>
      <c r="BI145" s="75">
        <f t="shared" si="704"/>
        <v>99000</v>
      </c>
      <c r="BJ145" s="163">
        <f t="shared" si="722"/>
        <v>0</v>
      </c>
      <c r="BK145" s="1081"/>
      <c r="BL145" s="1081"/>
      <c r="BM145" s="1083"/>
      <c r="BN145" s="1084"/>
      <c r="BO145" s="862"/>
      <c r="BP145" s="862"/>
      <c r="BQ145" s="862"/>
      <c r="BR145" s="862"/>
      <c r="BS145" s="862"/>
      <c r="BT145" s="862"/>
      <c r="BU145" s="862"/>
      <c r="BV145" s="862"/>
      <c r="BW145" s="1081">
        <f t="shared" si="705"/>
        <v>0</v>
      </c>
      <c r="BX145" s="862"/>
      <c r="BY145" s="862"/>
      <c r="BZ145" s="862"/>
      <c r="CA145" s="73">
        <f t="shared" si="723"/>
        <v>0</v>
      </c>
      <c r="CB145" s="862"/>
      <c r="CC145" s="862"/>
      <c r="CD145" s="862"/>
      <c r="CE145" s="862"/>
      <c r="CF145" s="862"/>
      <c r="CG145" s="862"/>
      <c r="CH145" s="862"/>
      <c r="CI145" s="862"/>
      <c r="CJ145" s="1081"/>
      <c r="CK145" s="862"/>
      <c r="CL145" s="862"/>
      <c r="CM145" s="862"/>
      <c r="CN145" s="73">
        <f t="shared" si="707"/>
        <v>0</v>
      </c>
    </row>
    <row r="146" spans="1:92" s="7" customFormat="1" ht="24.75" customHeight="1" x14ac:dyDescent="0.2">
      <c r="A146" s="41">
        <v>3</v>
      </c>
      <c r="B146" s="657" t="s">
        <v>437</v>
      </c>
      <c r="C146" s="29" t="s">
        <v>290</v>
      </c>
      <c r="D146" s="147">
        <v>25</v>
      </c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1">
        <f t="shared" si="708"/>
        <v>0</v>
      </c>
      <c r="R146" s="655" t="s">
        <v>2</v>
      </c>
      <c r="S146" s="661">
        <v>7500</v>
      </c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69">
        <f t="shared" si="709"/>
        <v>0</v>
      </c>
      <c r="AG146" s="70">
        <f t="shared" si="724"/>
        <v>0</v>
      </c>
      <c r="AH146" s="70">
        <f t="shared" si="682"/>
        <v>0</v>
      </c>
      <c r="AI146" s="70">
        <f t="shared" si="683"/>
        <v>0</v>
      </c>
      <c r="AJ146" s="70">
        <f t="shared" si="684"/>
        <v>0</v>
      </c>
      <c r="AK146" s="70">
        <f t="shared" si="685"/>
        <v>0</v>
      </c>
      <c r="AL146" s="70">
        <f t="shared" si="686"/>
        <v>0</v>
      </c>
      <c r="AM146" s="70">
        <f t="shared" si="687"/>
        <v>0</v>
      </c>
      <c r="AN146" s="70">
        <f t="shared" si="688"/>
        <v>0</v>
      </c>
      <c r="AO146" s="70">
        <f t="shared" si="689"/>
        <v>0</v>
      </c>
      <c r="AP146" s="70">
        <f t="shared" si="690"/>
        <v>0</v>
      </c>
      <c r="AQ146" s="70">
        <f t="shared" si="691"/>
        <v>0</v>
      </c>
      <c r="AR146" s="70">
        <f t="shared" si="692"/>
        <v>0</v>
      </c>
      <c r="AS146" s="71">
        <f t="shared" si="693"/>
        <v>0</v>
      </c>
      <c r="AT146" s="70">
        <f>SUM(AG146*4%)</f>
        <v>0</v>
      </c>
      <c r="AU146" s="70">
        <f t="shared" si="710"/>
        <v>0</v>
      </c>
      <c r="AV146" s="70">
        <f>SUM(AI146*4%)</f>
        <v>0</v>
      </c>
      <c r="AW146" s="70">
        <f t="shared" si="711"/>
        <v>0</v>
      </c>
      <c r="AX146" s="70">
        <f t="shared" si="712"/>
        <v>0</v>
      </c>
      <c r="AY146" s="70">
        <f t="shared" si="713"/>
        <v>0</v>
      </c>
      <c r="AZ146" s="70">
        <f t="shared" si="714"/>
        <v>0</v>
      </c>
      <c r="BA146" s="70">
        <f t="shared" si="715"/>
        <v>0</v>
      </c>
      <c r="BB146" s="70">
        <f t="shared" si="716"/>
        <v>0</v>
      </c>
      <c r="BC146" s="70">
        <f t="shared" si="717"/>
        <v>0</v>
      </c>
      <c r="BD146" s="70">
        <f t="shared" si="718"/>
        <v>0</v>
      </c>
      <c r="BE146" s="70">
        <f t="shared" si="719"/>
        <v>0</v>
      </c>
      <c r="BF146" s="72">
        <f t="shared" si="720"/>
        <v>0</v>
      </c>
      <c r="BG146" s="73">
        <f t="shared" si="721"/>
        <v>0</v>
      </c>
      <c r="BH146" s="74">
        <f t="shared" si="703"/>
        <v>187500</v>
      </c>
      <c r="BI146" s="75">
        <f t="shared" si="704"/>
        <v>187500</v>
      </c>
      <c r="BJ146" s="163">
        <f t="shared" si="722"/>
        <v>0</v>
      </c>
      <c r="BK146" s="1081"/>
      <c r="BL146" s="1081"/>
      <c r="BM146" s="1083"/>
      <c r="BN146" s="1084"/>
      <c r="BO146" s="862"/>
      <c r="BP146" s="862"/>
      <c r="BQ146" s="862"/>
      <c r="BR146" s="862"/>
      <c r="BS146" s="862"/>
      <c r="BT146" s="862"/>
      <c r="BU146" s="862"/>
      <c r="BV146" s="862"/>
      <c r="BW146" s="1081">
        <f t="shared" ref="BW146:BW161" si="725">SUM(AN146*12.5%)</f>
        <v>0</v>
      </c>
      <c r="BX146" s="862"/>
      <c r="BY146" s="862"/>
      <c r="BZ146" s="862"/>
      <c r="CA146" s="73">
        <f t="shared" ref="CA146:CA161" si="726">SUM(BO146:BZ146)</f>
        <v>0</v>
      </c>
      <c r="CB146" s="862"/>
      <c r="CC146" s="862"/>
      <c r="CD146" s="862"/>
      <c r="CE146" s="862"/>
      <c r="CF146" s="862"/>
      <c r="CG146" s="862"/>
      <c r="CH146" s="862"/>
      <c r="CI146" s="862"/>
      <c r="CJ146" s="1081"/>
      <c r="CK146" s="862"/>
      <c r="CL146" s="862"/>
      <c r="CM146" s="862"/>
      <c r="CN146" s="73">
        <f t="shared" ref="CN146:CN161" si="727">SUM(CB146:CM146)</f>
        <v>0</v>
      </c>
    </row>
    <row r="147" spans="1:92" s="7" customFormat="1" ht="24.75" customHeight="1" x14ac:dyDescent="0.2">
      <c r="A147" s="41">
        <v>4</v>
      </c>
      <c r="B147" s="657" t="s">
        <v>438</v>
      </c>
      <c r="C147" s="29" t="s">
        <v>290</v>
      </c>
      <c r="D147" s="147">
        <v>20</v>
      </c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1">
        <f t="shared" si="708"/>
        <v>0</v>
      </c>
      <c r="R147" s="655" t="s">
        <v>7</v>
      </c>
      <c r="S147" s="661">
        <v>5700</v>
      </c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69">
        <f t="shared" si="709"/>
        <v>0</v>
      </c>
      <c r="AG147" s="70">
        <f t="shared" si="724"/>
        <v>0</v>
      </c>
      <c r="AH147" s="70">
        <f t="shared" si="682"/>
        <v>0</v>
      </c>
      <c r="AI147" s="70">
        <f t="shared" si="683"/>
        <v>0</v>
      </c>
      <c r="AJ147" s="70">
        <f t="shared" si="684"/>
        <v>0</v>
      </c>
      <c r="AK147" s="70">
        <f t="shared" si="685"/>
        <v>0</v>
      </c>
      <c r="AL147" s="70">
        <f t="shared" si="686"/>
        <v>0</v>
      </c>
      <c r="AM147" s="70">
        <f t="shared" si="687"/>
        <v>0</v>
      </c>
      <c r="AN147" s="70">
        <f t="shared" si="688"/>
        <v>0</v>
      </c>
      <c r="AO147" s="70">
        <f t="shared" si="689"/>
        <v>0</v>
      </c>
      <c r="AP147" s="70">
        <f t="shared" si="690"/>
        <v>0</v>
      </c>
      <c r="AQ147" s="70">
        <f t="shared" si="691"/>
        <v>0</v>
      </c>
      <c r="AR147" s="70">
        <f t="shared" si="692"/>
        <v>0</v>
      </c>
      <c r="AS147" s="71">
        <f t="shared" si="693"/>
        <v>0</v>
      </c>
      <c r="AT147" s="70">
        <f t="shared" ref="AT147:AT149" si="728">SUM(AG147*4%)</f>
        <v>0</v>
      </c>
      <c r="AU147" s="70">
        <f t="shared" si="710"/>
        <v>0</v>
      </c>
      <c r="AV147" s="70">
        <f>SUM(AI147*4%)</f>
        <v>0</v>
      </c>
      <c r="AW147" s="70">
        <f t="shared" si="711"/>
        <v>0</v>
      </c>
      <c r="AX147" s="70">
        <f t="shared" si="712"/>
        <v>0</v>
      </c>
      <c r="AY147" s="70">
        <f t="shared" si="713"/>
        <v>0</v>
      </c>
      <c r="AZ147" s="70">
        <f t="shared" si="714"/>
        <v>0</v>
      </c>
      <c r="BA147" s="70">
        <f t="shared" si="715"/>
        <v>0</v>
      </c>
      <c r="BB147" s="70">
        <f t="shared" si="716"/>
        <v>0</v>
      </c>
      <c r="BC147" s="70">
        <f t="shared" si="717"/>
        <v>0</v>
      </c>
      <c r="BD147" s="70">
        <f t="shared" si="718"/>
        <v>0</v>
      </c>
      <c r="BE147" s="70">
        <f t="shared" si="719"/>
        <v>0</v>
      </c>
      <c r="BF147" s="72">
        <f t="shared" si="720"/>
        <v>0</v>
      </c>
      <c r="BG147" s="73">
        <f t="shared" si="721"/>
        <v>0</v>
      </c>
      <c r="BH147" s="74">
        <f t="shared" si="703"/>
        <v>114000</v>
      </c>
      <c r="BI147" s="75">
        <f t="shared" si="704"/>
        <v>114000</v>
      </c>
      <c r="BJ147" s="163">
        <f t="shared" si="722"/>
        <v>0</v>
      </c>
      <c r="BK147" s="1081"/>
      <c r="BL147" s="1081"/>
      <c r="BM147" s="1083"/>
      <c r="BN147" s="1084"/>
      <c r="BO147" s="862"/>
      <c r="BP147" s="862"/>
      <c r="BQ147" s="862"/>
      <c r="BR147" s="862"/>
      <c r="BS147" s="862"/>
      <c r="BT147" s="862"/>
      <c r="BU147" s="862"/>
      <c r="BV147" s="862"/>
      <c r="BW147" s="1081">
        <f t="shared" si="725"/>
        <v>0</v>
      </c>
      <c r="BX147" s="862"/>
      <c r="BY147" s="862"/>
      <c r="BZ147" s="862"/>
      <c r="CA147" s="73">
        <f t="shared" si="726"/>
        <v>0</v>
      </c>
      <c r="CB147" s="862"/>
      <c r="CC147" s="862"/>
      <c r="CD147" s="862"/>
      <c r="CE147" s="862"/>
      <c r="CF147" s="862"/>
      <c r="CG147" s="862"/>
      <c r="CH147" s="862"/>
      <c r="CI147" s="862"/>
      <c r="CJ147" s="1081"/>
      <c r="CK147" s="862"/>
      <c r="CL147" s="862"/>
      <c r="CM147" s="862"/>
      <c r="CN147" s="73">
        <f t="shared" si="727"/>
        <v>0</v>
      </c>
    </row>
    <row r="148" spans="1:92" s="37" customFormat="1" ht="24.75" customHeight="1" x14ac:dyDescent="0.2">
      <c r="A148" s="41">
        <v>5</v>
      </c>
      <c r="B148" s="662" t="s">
        <v>439</v>
      </c>
      <c r="C148" s="29" t="s">
        <v>290</v>
      </c>
      <c r="D148" s="624">
        <v>500</v>
      </c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1">
        <f t="shared" si="708"/>
        <v>0</v>
      </c>
      <c r="R148" s="159" t="s">
        <v>7</v>
      </c>
      <c r="S148" s="663">
        <v>570</v>
      </c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629">
        <f t="shared" si="709"/>
        <v>0</v>
      </c>
      <c r="AG148" s="70">
        <f t="shared" si="724"/>
        <v>0</v>
      </c>
      <c r="AH148" s="70">
        <f t="shared" si="682"/>
        <v>0</v>
      </c>
      <c r="AI148" s="70">
        <f t="shared" si="683"/>
        <v>0</v>
      </c>
      <c r="AJ148" s="70">
        <f t="shared" si="684"/>
        <v>0</v>
      </c>
      <c r="AK148" s="70">
        <f t="shared" si="685"/>
        <v>0</v>
      </c>
      <c r="AL148" s="70">
        <f t="shared" si="686"/>
        <v>0</v>
      </c>
      <c r="AM148" s="70">
        <f t="shared" si="687"/>
        <v>0</v>
      </c>
      <c r="AN148" s="70">
        <f t="shared" si="688"/>
        <v>0</v>
      </c>
      <c r="AO148" s="70">
        <f t="shared" si="689"/>
        <v>0</v>
      </c>
      <c r="AP148" s="70">
        <f t="shared" si="690"/>
        <v>0</v>
      </c>
      <c r="AQ148" s="70">
        <f t="shared" si="691"/>
        <v>0</v>
      </c>
      <c r="AR148" s="70">
        <f t="shared" si="692"/>
        <v>0</v>
      </c>
      <c r="AS148" s="71">
        <f t="shared" si="693"/>
        <v>0</v>
      </c>
      <c r="AT148" s="70">
        <f t="shared" si="728"/>
        <v>0</v>
      </c>
      <c r="AU148" s="70">
        <f t="shared" ref="AU148" si="729">SUM(AH148*15%)</f>
        <v>0</v>
      </c>
      <c r="AV148" s="70">
        <f t="shared" ref="AV148" si="730">SUM(AI148*15%)</f>
        <v>0</v>
      </c>
      <c r="AW148" s="70">
        <f t="shared" si="711"/>
        <v>0</v>
      </c>
      <c r="AX148" s="70">
        <f t="shared" si="712"/>
        <v>0</v>
      </c>
      <c r="AY148" s="70">
        <f t="shared" si="713"/>
        <v>0</v>
      </c>
      <c r="AZ148" s="70">
        <f t="shared" si="714"/>
        <v>0</v>
      </c>
      <c r="BA148" s="70">
        <f t="shared" si="715"/>
        <v>0</v>
      </c>
      <c r="BB148" s="70">
        <f t="shared" si="716"/>
        <v>0</v>
      </c>
      <c r="BC148" s="70">
        <f t="shared" si="717"/>
        <v>0</v>
      </c>
      <c r="BD148" s="70">
        <f t="shared" si="718"/>
        <v>0</v>
      </c>
      <c r="BE148" s="70">
        <f t="shared" si="719"/>
        <v>0</v>
      </c>
      <c r="BF148" s="72">
        <f t="shared" si="720"/>
        <v>0</v>
      </c>
      <c r="BG148" s="73">
        <f t="shared" si="721"/>
        <v>0</v>
      </c>
      <c r="BH148" s="74">
        <f t="shared" si="703"/>
        <v>285000</v>
      </c>
      <c r="BI148" s="75">
        <f t="shared" si="704"/>
        <v>285000</v>
      </c>
      <c r="BJ148" s="630">
        <f t="shared" si="722"/>
        <v>0</v>
      </c>
      <c r="BK148" s="1081"/>
      <c r="BL148" s="1081"/>
      <c r="BM148" s="1083"/>
      <c r="BN148" s="1084"/>
      <c r="BO148" s="862"/>
      <c r="BP148" s="862"/>
      <c r="BQ148" s="862"/>
      <c r="BR148" s="862"/>
      <c r="BS148" s="862"/>
      <c r="BT148" s="862"/>
      <c r="BU148" s="862"/>
      <c r="BV148" s="862"/>
      <c r="BW148" s="1081">
        <f t="shared" si="725"/>
        <v>0</v>
      </c>
      <c r="BX148" s="862"/>
      <c r="BY148" s="862"/>
      <c r="BZ148" s="862"/>
      <c r="CA148" s="73">
        <f t="shared" si="726"/>
        <v>0</v>
      </c>
      <c r="CB148" s="862"/>
      <c r="CC148" s="862"/>
      <c r="CD148" s="862"/>
      <c r="CE148" s="862"/>
      <c r="CF148" s="862"/>
      <c r="CG148" s="862"/>
      <c r="CH148" s="862"/>
      <c r="CI148" s="862"/>
      <c r="CJ148" s="1081"/>
      <c r="CK148" s="862"/>
      <c r="CL148" s="862"/>
      <c r="CM148" s="862"/>
      <c r="CN148" s="73">
        <f t="shared" si="727"/>
        <v>0</v>
      </c>
    </row>
    <row r="149" spans="1:92" s="37" customFormat="1" ht="24.75" customHeight="1" x14ac:dyDescent="0.2">
      <c r="A149" s="41">
        <v>6</v>
      </c>
      <c r="B149" s="664" t="s">
        <v>440</v>
      </c>
      <c r="C149" s="29" t="s">
        <v>290</v>
      </c>
      <c r="D149" s="624">
        <v>20</v>
      </c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1">
        <f t="shared" si="708"/>
        <v>0</v>
      </c>
      <c r="R149" s="626" t="s">
        <v>31</v>
      </c>
      <c r="S149" s="627">
        <v>10300</v>
      </c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629">
        <f t="shared" si="709"/>
        <v>0</v>
      </c>
      <c r="AG149" s="70">
        <f t="shared" si="724"/>
        <v>0</v>
      </c>
      <c r="AH149" s="70">
        <f t="shared" si="682"/>
        <v>0</v>
      </c>
      <c r="AI149" s="70">
        <f t="shared" si="683"/>
        <v>0</v>
      </c>
      <c r="AJ149" s="70">
        <f t="shared" si="684"/>
        <v>0</v>
      </c>
      <c r="AK149" s="70">
        <f t="shared" si="685"/>
        <v>0</v>
      </c>
      <c r="AL149" s="70">
        <f t="shared" si="686"/>
        <v>0</v>
      </c>
      <c r="AM149" s="70">
        <f t="shared" si="687"/>
        <v>0</v>
      </c>
      <c r="AN149" s="70">
        <f t="shared" si="688"/>
        <v>0</v>
      </c>
      <c r="AO149" s="70">
        <f t="shared" si="689"/>
        <v>0</v>
      </c>
      <c r="AP149" s="70">
        <f t="shared" si="690"/>
        <v>0</v>
      </c>
      <c r="AQ149" s="70">
        <f t="shared" si="691"/>
        <v>0</v>
      </c>
      <c r="AR149" s="70">
        <f t="shared" si="692"/>
        <v>0</v>
      </c>
      <c r="AS149" s="71">
        <f t="shared" si="693"/>
        <v>0</v>
      </c>
      <c r="AT149" s="70">
        <f t="shared" si="728"/>
        <v>0</v>
      </c>
      <c r="AU149" s="70">
        <f t="shared" ref="AU149" si="731">SUM(AH149*14%)</f>
        <v>0</v>
      </c>
      <c r="AV149" s="70">
        <f>SUM(AI149*4%)</f>
        <v>0</v>
      </c>
      <c r="AW149" s="70">
        <f t="shared" si="711"/>
        <v>0</v>
      </c>
      <c r="AX149" s="70">
        <f t="shared" si="712"/>
        <v>0</v>
      </c>
      <c r="AY149" s="70">
        <f t="shared" si="713"/>
        <v>0</v>
      </c>
      <c r="AZ149" s="70">
        <f t="shared" si="714"/>
        <v>0</v>
      </c>
      <c r="BA149" s="70">
        <f t="shared" si="715"/>
        <v>0</v>
      </c>
      <c r="BB149" s="70">
        <f t="shared" si="716"/>
        <v>0</v>
      </c>
      <c r="BC149" s="70">
        <f t="shared" si="717"/>
        <v>0</v>
      </c>
      <c r="BD149" s="70">
        <f t="shared" si="718"/>
        <v>0</v>
      </c>
      <c r="BE149" s="70">
        <f t="shared" si="719"/>
        <v>0</v>
      </c>
      <c r="BF149" s="72">
        <f t="shared" si="720"/>
        <v>0</v>
      </c>
      <c r="BG149" s="73">
        <f>AF149-AS149-BF149</f>
        <v>0</v>
      </c>
      <c r="BH149" s="74">
        <f t="shared" si="703"/>
        <v>206000</v>
      </c>
      <c r="BI149" s="75">
        <f t="shared" si="704"/>
        <v>206000</v>
      </c>
      <c r="BJ149" s="630">
        <f t="shared" si="722"/>
        <v>0</v>
      </c>
      <c r="BK149" s="1081"/>
      <c r="BL149" s="1081"/>
      <c r="BM149" s="1083"/>
      <c r="BN149" s="1084"/>
      <c r="BO149" s="862"/>
      <c r="BP149" s="862"/>
      <c r="BQ149" s="862"/>
      <c r="BR149" s="862"/>
      <c r="BS149" s="862"/>
      <c r="BT149" s="862"/>
      <c r="BU149" s="862"/>
      <c r="BV149" s="862"/>
      <c r="BW149" s="1081">
        <f t="shared" si="725"/>
        <v>0</v>
      </c>
      <c r="BX149" s="862"/>
      <c r="BY149" s="862"/>
      <c r="BZ149" s="862"/>
      <c r="CA149" s="73">
        <f t="shared" si="726"/>
        <v>0</v>
      </c>
      <c r="CB149" s="862"/>
      <c r="CC149" s="862"/>
      <c r="CD149" s="862"/>
      <c r="CE149" s="862"/>
      <c r="CF149" s="862"/>
      <c r="CG149" s="862"/>
      <c r="CH149" s="862"/>
      <c r="CI149" s="862"/>
      <c r="CJ149" s="1081"/>
      <c r="CK149" s="862"/>
      <c r="CL149" s="862"/>
      <c r="CM149" s="862"/>
      <c r="CN149" s="73">
        <f t="shared" si="727"/>
        <v>0</v>
      </c>
    </row>
    <row r="150" spans="1:92" s="37" customFormat="1" ht="24.75" customHeight="1" x14ac:dyDescent="0.2">
      <c r="A150" s="41">
        <v>7</v>
      </c>
      <c r="B150" s="664" t="s">
        <v>441</v>
      </c>
      <c r="C150" s="29" t="s">
        <v>290</v>
      </c>
      <c r="D150" s="624">
        <v>20</v>
      </c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1">
        <f t="shared" ref="Q150:Q160" si="732">SUM(E150:P150)</f>
        <v>0</v>
      </c>
      <c r="R150" s="626" t="s">
        <v>31</v>
      </c>
      <c r="S150" s="627">
        <v>28500</v>
      </c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629">
        <f t="shared" ref="AF150:AF160" si="733">SUM(Q150*S150)</f>
        <v>0</v>
      </c>
      <c r="AG150" s="70">
        <f t="shared" ref="AG150:AG160" si="734">T150*E150</f>
        <v>0</v>
      </c>
      <c r="AH150" s="70">
        <f t="shared" ref="AH150:AH160" si="735">U150*F150</f>
        <v>0</v>
      </c>
      <c r="AI150" s="70">
        <f t="shared" ref="AI150:AI160" si="736">V150*G150</f>
        <v>0</v>
      </c>
      <c r="AJ150" s="70">
        <f t="shared" ref="AJ150:AJ160" si="737">W150*H150</f>
        <v>0</v>
      </c>
      <c r="AK150" s="70">
        <f t="shared" ref="AK150:AK160" si="738">X150*I150</f>
        <v>0</v>
      </c>
      <c r="AL150" s="70">
        <f t="shared" ref="AL150:AL160" si="739">Y150*J150</f>
        <v>0</v>
      </c>
      <c r="AM150" s="70">
        <f t="shared" ref="AM150:AM160" si="740">Z150*K150</f>
        <v>0</v>
      </c>
      <c r="AN150" s="70">
        <f t="shared" ref="AN150:AN160" si="741">AA150*L150</f>
        <v>0</v>
      </c>
      <c r="AO150" s="70">
        <f t="shared" ref="AO150:AO160" si="742">AB150*M150</f>
        <v>0</v>
      </c>
      <c r="AP150" s="70">
        <f t="shared" ref="AP150:AP160" si="743">AC150*N150</f>
        <v>0</v>
      </c>
      <c r="AQ150" s="70">
        <f t="shared" ref="AQ150:AQ160" si="744">AD150*O150</f>
        <v>0</v>
      </c>
      <c r="AR150" s="70">
        <f t="shared" ref="AR150:AR160" si="745">AE150*P150</f>
        <v>0</v>
      </c>
      <c r="AS150" s="71">
        <f t="shared" ref="AS150:AS160" si="746">SUM(AG150:AR150)</f>
        <v>0</v>
      </c>
      <c r="AT150" s="70">
        <f t="shared" ref="AT150:AT160" si="747">SUM(AG150*4%)</f>
        <v>0</v>
      </c>
      <c r="AU150" s="70">
        <f t="shared" ref="AU150:AU160" si="748">SUM(AH150*14%)</f>
        <v>0</v>
      </c>
      <c r="AV150" s="70">
        <f t="shared" ref="AV150:AV160" si="749">SUM(AI150*4%)</f>
        <v>0</v>
      </c>
      <c r="AW150" s="70">
        <f t="shared" ref="AW150:AW160" si="750">SUM(AJ150*14%)</f>
        <v>0</v>
      </c>
      <c r="AX150" s="70">
        <f t="shared" ref="AX150:AX160" si="751">SUM(AK150*14%)</f>
        <v>0</v>
      </c>
      <c r="AY150" s="70">
        <f t="shared" ref="AY150:AY160" si="752">SUM(AL150*14%)</f>
        <v>0</v>
      </c>
      <c r="AZ150" s="70">
        <f t="shared" ref="AZ150:AZ160" si="753">SUM(AM150*14%)</f>
        <v>0</v>
      </c>
      <c r="BA150" s="70">
        <f t="shared" ref="BA150:BA160" si="754">SUM(AN150*14%)</f>
        <v>0</v>
      </c>
      <c r="BB150" s="70">
        <f t="shared" ref="BB150:BB160" si="755">SUM(AO150*14%)</f>
        <v>0</v>
      </c>
      <c r="BC150" s="70">
        <f t="shared" ref="BC150:BC160" si="756">SUM(AP150*14%)</f>
        <v>0</v>
      </c>
      <c r="BD150" s="70">
        <f t="shared" ref="BD150:BD160" si="757">SUM(AQ150*14%)</f>
        <v>0</v>
      </c>
      <c r="BE150" s="70">
        <f t="shared" ref="BE150:BE160" si="758">SUM(AR150*14%)</f>
        <v>0</v>
      </c>
      <c r="BF150" s="72">
        <f t="shared" ref="BF150:BF160" si="759">SUM(AT150:BE150)</f>
        <v>0</v>
      </c>
      <c r="BG150" s="73">
        <f t="shared" ref="BG150:BG160" si="760">AF150-AS150-BF150</f>
        <v>0</v>
      </c>
      <c r="BH150" s="74">
        <f t="shared" ref="BH150:BH160" si="761">S150*D150</f>
        <v>570000</v>
      </c>
      <c r="BI150" s="75">
        <f t="shared" ref="BI150:BI160" si="762">BH150-AS150-BF150</f>
        <v>570000</v>
      </c>
      <c r="BJ150" s="630">
        <f t="shared" ref="BJ150:BJ160" si="763">SUM(Q150/D150)</f>
        <v>0</v>
      </c>
      <c r="BK150" s="1081"/>
      <c r="BL150" s="1081"/>
      <c r="BM150" s="1083"/>
      <c r="BN150" s="1084"/>
      <c r="BO150" s="862"/>
      <c r="BP150" s="862"/>
      <c r="BQ150" s="862"/>
      <c r="BR150" s="862"/>
      <c r="BS150" s="862"/>
      <c r="BT150" s="862"/>
      <c r="BU150" s="862"/>
      <c r="BV150" s="862"/>
      <c r="BW150" s="1081">
        <f t="shared" si="725"/>
        <v>0</v>
      </c>
      <c r="BX150" s="862"/>
      <c r="BY150" s="862"/>
      <c r="BZ150" s="862"/>
      <c r="CA150" s="73">
        <f t="shared" si="726"/>
        <v>0</v>
      </c>
      <c r="CB150" s="862"/>
      <c r="CC150" s="862"/>
      <c r="CD150" s="862"/>
      <c r="CE150" s="862"/>
      <c r="CF150" s="862"/>
      <c r="CG150" s="862"/>
      <c r="CH150" s="862"/>
      <c r="CI150" s="862"/>
      <c r="CJ150" s="1081"/>
      <c r="CK150" s="862"/>
      <c r="CL150" s="862"/>
      <c r="CM150" s="862"/>
      <c r="CN150" s="73">
        <f t="shared" si="727"/>
        <v>0</v>
      </c>
    </row>
    <row r="151" spans="1:92" s="37" customFormat="1" ht="24.75" customHeight="1" x14ac:dyDescent="0.2">
      <c r="A151" s="41">
        <v>8</v>
      </c>
      <c r="B151" s="665" t="s">
        <v>442</v>
      </c>
      <c r="C151" s="29" t="s">
        <v>290</v>
      </c>
      <c r="D151" s="624">
        <v>30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1">
        <f t="shared" si="732"/>
        <v>0</v>
      </c>
      <c r="R151" s="626" t="s">
        <v>31</v>
      </c>
      <c r="S151" s="627">
        <v>28500</v>
      </c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629">
        <f t="shared" si="733"/>
        <v>0</v>
      </c>
      <c r="AG151" s="70">
        <f t="shared" si="734"/>
        <v>0</v>
      </c>
      <c r="AH151" s="70">
        <f t="shared" si="735"/>
        <v>0</v>
      </c>
      <c r="AI151" s="70">
        <f t="shared" si="736"/>
        <v>0</v>
      </c>
      <c r="AJ151" s="70">
        <f t="shared" si="737"/>
        <v>0</v>
      </c>
      <c r="AK151" s="70">
        <f t="shared" si="738"/>
        <v>0</v>
      </c>
      <c r="AL151" s="70">
        <f t="shared" si="739"/>
        <v>0</v>
      </c>
      <c r="AM151" s="70">
        <f t="shared" si="740"/>
        <v>0</v>
      </c>
      <c r="AN151" s="70">
        <f t="shared" si="741"/>
        <v>0</v>
      </c>
      <c r="AO151" s="70">
        <f t="shared" si="742"/>
        <v>0</v>
      </c>
      <c r="AP151" s="70">
        <f t="shared" si="743"/>
        <v>0</v>
      </c>
      <c r="AQ151" s="70">
        <f t="shared" si="744"/>
        <v>0</v>
      </c>
      <c r="AR151" s="70">
        <f t="shared" si="745"/>
        <v>0</v>
      </c>
      <c r="AS151" s="71">
        <f t="shared" si="746"/>
        <v>0</v>
      </c>
      <c r="AT151" s="70">
        <f t="shared" si="747"/>
        <v>0</v>
      </c>
      <c r="AU151" s="70">
        <f t="shared" si="748"/>
        <v>0</v>
      </c>
      <c r="AV151" s="70">
        <f t="shared" si="749"/>
        <v>0</v>
      </c>
      <c r="AW151" s="70">
        <f t="shared" si="750"/>
        <v>0</v>
      </c>
      <c r="AX151" s="70">
        <f t="shared" si="751"/>
        <v>0</v>
      </c>
      <c r="AY151" s="70">
        <f t="shared" si="752"/>
        <v>0</v>
      </c>
      <c r="AZ151" s="70">
        <f t="shared" si="753"/>
        <v>0</v>
      </c>
      <c r="BA151" s="70">
        <f t="shared" si="754"/>
        <v>0</v>
      </c>
      <c r="BB151" s="70">
        <f t="shared" si="755"/>
        <v>0</v>
      </c>
      <c r="BC151" s="70">
        <f t="shared" si="756"/>
        <v>0</v>
      </c>
      <c r="BD151" s="70">
        <f t="shared" si="757"/>
        <v>0</v>
      </c>
      <c r="BE151" s="70">
        <f t="shared" si="758"/>
        <v>0</v>
      </c>
      <c r="BF151" s="72">
        <f t="shared" si="759"/>
        <v>0</v>
      </c>
      <c r="BG151" s="73">
        <f t="shared" si="760"/>
        <v>0</v>
      </c>
      <c r="BH151" s="74">
        <f t="shared" si="761"/>
        <v>855000</v>
      </c>
      <c r="BI151" s="75">
        <f t="shared" si="762"/>
        <v>855000</v>
      </c>
      <c r="BJ151" s="630">
        <f t="shared" si="763"/>
        <v>0</v>
      </c>
      <c r="BK151" s="1081"/>
      <c r="BL151" s="1081"/>
      <c r="BM151" s="1083"/>
      <c r="BN151" s="1084"/>
      <c r="BO151" s="862"/>
      <c r="BP151" s="862"/>
      <c r="BQ151" s="862"/>
      <c r="BR151" s="862"/>
      <c r="BS151" s="862"/>
      <c r="BT151" s="862"/>
      <c r="BU151" s="862"/>
      <c r="BV151" s="862"/>
      <c r="BW151" s="1081">
        <f t="shared" si="725"/>
        <v>0</v>
      </c>
      <c r="BX151" s="862"/>
      <c r="BY151" s="862"/>
      <c r="BZ151" s="862"/>
      <c r="CA151" s="73">
        <f t="shared" si="726"/>
        <v>0</v>
      </c>
      <c r="CB151" s="862"/>
      <c r="CC151" s="862"/>
      <c r="CD151" s="862"/>
      <c r="CE151" s="862"/>
      <c r="CF151" s="862"/>
      <c r="CG151" s="862"/>
      <c r="CH151" s="862"/>
      <c r="CI151" s="862"/>
      <c r="CJ151" s="1081"/>
      <c r="CK151" s="862"/>
      <c r="CL151" s="862"/>
      <c r="CM151" s="862"/>
      <c r="CN151" s="73">
        <f t="shared" si="727"/>
        <v>0</v>
      </c>
    </row>
    <row r="152" spans="1:92" s="37" customFormat="1" ht="24.75" customHeight="1" x14ac:dyDescent="0.2">
      <c r="A152" s="41">
        <v>9</v>
      </c>
      <c r="B152" s="665" t="s">
        <v>443</v>
      </c>
      <c r="C152" s="29" t="s">
        <v>290</v>
      </c>
      <c r="D152" s="624">
        <v>30</v>
      </c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1">
        <f t="shared" ref="Q152:Q157" si="764">SUM(E152:P152)</f>
        <v>0</v>
      </c>
      <c r="R152" s="626" t="s">
        <v>31</v>
      </c>
      <c r="S152" s="627">
        <v>10300</v>
      </c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629">
        <f t="shared" ref="AF152:AF157" si="765">SUM(Q152*S152)</f>
        <v>0</v>
      </c>
      <c r="AG152" s="70">
        <f t="shared" ref="AG152:AG157" si="766">T152*E152</f>
        <v>0</v>
      </c>
      <c r="AH152" s="70">
        <f t="shared" ref="AH152:AH157" si="767">U152*F152</f>
        <v>0</v>
      </c>
      <c r="AI152" s="70">
        <f t="shared" ref="AI152:AI157" si="768">V152*G152</f>
        <v>0</v>
      </c>
      <c r="AJ152" s="70">
        <f t="shared" ref="AJ152:AJ157" si="769">W152*H152</f>
        <v>0</v>
      </c>
      <c r="AK152" s="70">
        <f t="shared" ref="AK152:AK157" si="770">X152*I152</f>
        <v>0</v>
      </c>
      <c r="AL152" s="70">
        <f t="shared" ref="AL152:AL157" si="771">Y152*J152</f>
        <v>0</v>
      </c>
      <c r="AM152" s="70">
        <f t="shared" ref="AM152:AM157" si="772">Z152*K152</f>
        <v>0</v>
      </c>
      <c r="AN152" s="70">
        <f t="shared" ref="AN152:AN157" si="773">AA152*L152</f>
        <v>0</v>
      </c>
      <c r="AO152" s="70">
        <f t="shared" ref="AO152:AO157" si="774">AB152*M152</f>
        <v>0</v>
      </c>
      <c r="AP152" s="70">
        <f t="shared" ref="AP152:AP157" si="775">AC152*N152</f>
        <v>0</v>
      </c>
      <c r="AQ152" s="70">
        <f t="shared" ref="AQ152:AQ157" si="776">AD152*O152</f>
        <v>0</v>
      </c>
      <c r="AR152" s="70">
        <f t="shared" ref="AR152:AR157" si="777">AE152*P152</f>
        <v>0</v>
      </c>
      <c r="AS152" s="71">
        <f t="shared" ref="AS152:AS157" si="778">SUM(AG152:AR152)</f>
        <v>0</v>
      </c>
      <c r="AT152" s="70">
        <f t="shared" ref="AT152:AT157" si="779">SUM(AG152*4%)</f>
        <v>0</v>
      </c>
      <c r="AU152" s="70">
        <f t="shared" ref="AU152:AU157" si="780">SUM(AH152*14%)</f>
        <v>0</v>
      </c>
      <c r="AV152" s="70">
        <f t="shared" ref="AV152:AV157" si="781">SUM(AI152*4%)</f>
        <v>0</v>
      </c>
      <c r="AW152" s="70">
        <f t="shared" ref="AW152:AW157" si="782">SUM(AJ152*14%)</f>
        <v>0</v>
      </c>
      <c r="AX152" s="70">
        <f t="shared" ref="AX152:AX157" si="783">SUM(AK152*14%)</f>
        <v>0</v>
      </c>
      <c r="AY152" s="70">
        <f t="shared" ref="AY152:AY157" si="784">SUM(AL152*14%)</f>
        <v>0</v>
      </c>
      <c r="AZ152" s="70">
        <f t="shared" ref="AZ152:AZ157" si="785">SUM(AM152*14%)</f>
        <v>0</v>
      </c>
      <c r="BA152" s="70">
        <f t="shared" ref="BA152:BA157" si="786">SUM(AN152*14%)</f>
        <v>0</v>
      </c>
      <c r="BB152" s="70">
        <f t="shared" ref="BB152:BB157" si="787">SUM(AO152*14%)</f>
        <v>0</v>
      </c>
      <c r="BC152" s="70">
        <f t="shared" ref="BC152:BC157" si="788">SUM(AP152*14%)</f>
        <v>0</v>
      </c>
      <c r="BD152" s="70">
        <f t="shared" ref="BD152:BD157" si="789">SUM(AQ152*14%)</f>
        <v>0</v>
      </c>
      <c r="BE152" s="70">
        <f t="shared" ref="BE152:BE157" si="790">SUM(AR152*14%)</f>
        <v>0</v>
      </c>
      <c r="BF152" s="72">
        <f t="shared" ref="BF152:BF157" si="791">SUM(AT152:BE152)</f>
        <v>0</v>
      </c>
      <c r="BG152" s="73">
        <f t="shared" ref="BG152:BG157" si="792">AF152-AS152-BF152</f>
        <v>0</v>
      </c>
      <c r="BH152" s="74">
        <f t="shared" ref="BH152:BH157" si="793">S152*D152</f>
        <v>309000</v>
      </c>
      <c r="BI152" s="75">
        <f t="shared" ref="BI152:BI157" si="794">BH152-AS152-BF152</f>
        <v>309000</v>
      </c>
      <c r="BJ152" s="630">
        <f t="shared" ref="BJ152:BJ157" si="795">SUM(Q152/D152)</f>
        <v>0</v>
      </c>
      <c r="BK152" s="1081"/>
      <c r="BL152" s="1081"/>
      <c r="BM152" s="1083"/>
      <c r="BN152" s="1084"/>
      <c r="BO152" s="862"/>
      <c r="BP152" s="862"/>
      <c r="BQ152" s="862"/>
      <c r="BR152" s="862"/>
      <c r="BS152" s="862"/>
      <c r="BT152" s="862"/>
      <c r="BU152" s="862"/>
      <c r="BV152" s="862"/>
      <c r="BW152" s="1081">
        <f t="shared" si="725"/>
        <v>0</v>
      </c>
      <c r="BX152" s="862"/>
      <c r="BY152" s="862"/>
      <c r="BZ152" s="862"/>
      <c r="CA152" s="73">
        <f t="shared" si="726"/>
        <v>0</v>
      </c>
      <c r="CB152" s="862"/>
      <c r="CC152" s="862"/>
      <c r="CD152" s="862"/>
      <c r="CE152" s="862"/>
      <c r="CF152" s="862"/>
      <c r="CG152" s="862"/>
      <c r="CH152" s="862"/>
      <c r="CI152" s="862"/>
      <c r="CJ152" s="1081"/>
      <c r="CK152" s="862"/>
      <c r="CL152" s="862"/>
      <c r="CM152" s="862"/>
      <c r="CN152" s="73">
        <f t="shared" si="727"/>
        <v>0</v>
      </c>
    </row>
    <row r="153" spans="1:92" s="37" customFormat="1" ht="24.75" customHeight="1" x14ac:dyDescent="0.2">
      <c r="A153" s="41">
        <v>10</v>
      </c>
      <c r="B153" s="665" t="s">
        <v>444</v>
      </c>
      <c r="C153" s="29" t="s">
        <v>290</v>
      </c>
      <c r="D153" s="624">
        <v>50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1">
        <f t="shared" si="764"/>
        <v>0</v>
      </c>
      <c r="R153" s="626" t="s">
        <v>31</v>
      </c>
      <c r="S153" s="627">
        <v>28500</v>
      </c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629">
        <f t="shared" si="765"/>
        <v>0</v>
      </c>
      <c r="AG153" s="70">
        <f t="shared" si="766"/>
        <v>0</v>
      </c>
      <c r="AH153" s="70">
        <f t="shared" si="767"/>
        <v>0</v>
      </c>
      <c r="AI153" s="70">
        <f t="shared" si="768"/>
        <v>0</v>
      </c>
      <c r="AJ153" s="70">
        <f t="shared" si="769"/>
        <v>0</v>
      </c>
      <c r="AK153" s="70">
        <f t="shared" si="770"/>
        <v>0</v>
      </c>
      <c r="AL153" s="70">
        <f t="shared" si="771"/>
        <v>0</v>
      </c>
      <c r="AM153" s="70">
        <f t="shared" si="772"/>
        <v>0</v>
      </c>
      <c r="AN153" s="70">
        <f t="shared" si="773"/>
        <v>0</v>
      </c>
      <c r="AO153" s="70">
        <f t="shared" si="774"/>
        <v>0</v>
      </c>
      <c r="AP153" s="70">
        <f t="shared" si="775"/>
        <v>0</v>
      </c>
      <c r="AQ153" s="70">
        <f t="shared" si="776"/>
        <v>0</v>
      </c>
      <c r="AR153" s="70">
        <f t="shared" si="777"/>
        <v>0</v>
      </c>
      <c r="AS153" s="71">
        <f t="shared" si="778"/>
        <v>0</v>
      </c>
      <c r="AT153" s="70">
        <f t="shared" si="779"/>
        <v>0</v>
      </c>
      <c r="AU153" s="70">
        <f t="shared" si="780"/>
        <v>0</v>
      </c>
      <c r="AV153" s="70">
        <f t="shared" si="781"/>
        <v>0</v>
      </c>
      <c r="AW153" s="70">
        <f t="shared" si="782"/>
        <v>0</v>
      </c>
      <c r="AX153" s="70">
        <f t="shared" si="783"/>
        <v>0</v>
      </c>
      <c r="AY153" s="70">
        <f t="shared" si="784"/>
        <v>0</v>
      </c>
      <c r="AZ153" s="70">
        <f t="shared" si="785"/>
        <v>0</v>
      </c>
      <c r="BA153" s="70">
        <f t="shared" si="786"/>
        <v>0</v>
      </c>
      <c r="BB153" s="70">
        <f t="shared" si="787"/>
        <v>0</v>
      </c>
      <c r="BC153" s="70">
        <f t="shared" si="788"/>
        <v>0</v>
      </c>
      <c r="BD153" s="70">
        <f t="shared" si="789"/>
        <v>0</v>
      </c>
      <c r="BE153" s="70">
        <f t="shared" si="790"/>
        <v>0</v>
      </c>
      <c r="BF153" s="72">
        <f t="shared" si="791"/>
        <v>0</v>
      </c>
      <c r="BG153" s="73">
        <f t="shared" si="792"/>
        <v>0</v>
      </c>
      <c r="BH153" s="74">
        <f t="shared" si="793"/>
        <v>1425000</v>
      </c>
      <c r="BI153" s="75">
        <f t="shared" si="794"/>
        <v>1425000</v>
      </c>
      <c r="BJ153" s="630">
        <f t="shared" si="795"/>
        <v>0</v>
      </c>
      <c r="BK153" s="1081"/>
      <c r="BL153" s="1081"/>
      <c r="BM153" s="1083"/>
      <c r="BN153" s="1084"/>
      <c r="BO153" s="862"/>
      <c r="BP153" s="862"/>
      <c r="BQ153" s="862"/>
      <c r="BR153" s="862"/>
      <c r="BS153" s="862"/>
      <c r="BT153" s="862"/>
      <c r="BU153" s="862"/>
      <c r="BV153" s="862"/>
      <c r="BW153" s="1081">
        <f t="shared" si="725"/>
        <v>0</v>
      </c>
      <c r="BX153" s="862"/>
      <c r="BY153" s="862"/>
      <c r="BZ153" s="862"/>
      <c r="CA153" s="73">
        <f t="shared" si="726"/>
        <v>0</v>
      </c>
      <c r="CB153" s="862"/>
      <c r="CC153" s="862"/>
      <c r="CD153" s="862"/>
      <c r="CE153" s="862"/>
      <c r="CF153" s="862"/>
      <c r="CG153" s="862"/>
      <c r="CH153" s="862"/>
      <c r="CI153" s="862"/>
      <c r="CJ153" s="1081"/>
      <c r="CK153" s="862"/>
      <c r="CL153" s="862"/>
      <c r="CM153" s="862"/>
      <c r="CN153" s="73">
        <f t="shared" si="727"/>
        <v>0</v>
      </c>
    </row>
    <row r="154" spans="1:92" s="37" customFormat="1" ht="24.75" customHeight="1" x14ac:dyDescent="0.2">
      <c r="A154" s="41">
        <v>11</v>
      </c>
      <c r="B154" s="665" t="s">
        <v>445</v>
      </c>
      <c r="C154" s="29" t="s">
        <v>290</v>
      </c>
      <c r="D154" s="624">
        <v>50</v>
      </c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1">
        <f t="shared" si="764"/>
        <v>0</v>
      </c>
      <c r="R154" s="626" t="s">
        <v>31</v>
      </c>
      <c r="S154" s="627">
        <v>10300</v>
      </c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629">
        <f t="shared" si="765"/>
        <v>0</v>
      </c>
      <c r="AG154" s="70">
        <f t="shared" si="766"/>
        <v>0</v>
      </c>
      <c r="AH154" s="70">
        <f t="shared" si="767"/>
        <v>0</v>
      </c>
      <c r="AI154" s="70">
        <f t="shared" si="768"/>
        <v>0</v>
      </c>
      <c r="AJ154" s="70">
        <f t="shared" si="769"/>
        <v>0</v>
      </c>
      <c r="AK154" s="70">
        <f t="shared" si="770"/>
        <v>0</v>
      </c>
      <c r="AL154" s="70">
        <f t="shared" si="771"/>
        <v>0</v>
      </c>
      <c r="AM154" s="70">
        <f t="shared" si="772"/>
        <v>0</v>
      </c>
      <c r="AN154" s="70">
        <f t="shared" si="773"/>
        <v>0</v>
      </c>
      <c r="AO154" s="70">
        <f t="shared" si="774"/>
        <v>0</v>
      </c>
      <c r="AP154" s="70">
        <f t="shared" si="775"/>
        <v>0</v>
      </c>
      <c r="AQ154" s="70">
        <f t="shared" si="776"/>
        <v>0</v>
      </c>
      <c r="AR154" s="70">
        <f t="shared" si="777"/>
        <v>0</v>
      </c>
      <c r="AS154" s="71">
        <f t="shared" si="778"/>
        <v>0</v>
      </c>
      <c r="AT154" s="70">
        <f t="shared" si="779"/>
        <v>0</v>
      </c>
      <c r="AU154" s="70">
        <f t="shared" si="780"/>
        <v>0</v>
      </c>
      <c r="AV154" s="70">
        <f t="shared" si="781"/>
        <v>0</v>
      </c>
      <c r="AW154" s="70">
        <f t="shared" si="782"/>
        <v>0</v>
      </c>
      <c r="AX154" s="70">
        <f t="shared" si="783"/>
        <v>0</v>
      </c>
      <c r="AY154" s="70">
        <f t="shared" si="784"/>
        <v>0</v>
      </c>
      <c r="AZ154" s="70">
        <f t="shared" si="785"/>
        <v>0</v>
      </c>
      <c r="BA154" s="70">
        <f t="shared" si="786"/>
        <v>0</v>
      </c>
      <c r="BB154" s="70">
        <f t="shared" si="787"/>
        <v>0</v>
      </c>
      <c r="BC154" s="70">
        <f t="shared" si="788"/>
        <v>0</v>
      </c>
      <c r="BD154" s="70">
        <f t="shared" si="789"/>
        <v>0</v>
      </c>
      <c r="BE154" s="70">
        <f t="shared" si="790"/>
        <v>0</v>
      </c>
      <c r="BF154" s="72">
        <f t="shared" si="791"/>
        <v>0</v>
      </c>
      <c r="BG154" s="73">
        <f t="shared" si="792"/>
        <v>0</v>
      </c>
      <c r="BH154" s="74">
        <f t="shared" si="793"/>
        <v>515000</v>
      </c>
      <c r="BI154" s="75">
        <f t="shared" si="794"/>
        <v>515000</v>
      </c>
      <c r="BJ154" s="630">
        <f t="shared" si="795"/>
        <v>0</v>
      </c>
      <c r="BK154" s="1081"/>
      <c r="BL154" s="1081"/>
      <c r="BM154" s="1083"/>
      <c r="BN154" s="1084"/>
      <c r="BO154" s="862"/>
      <c r="BP154" s="862"/>
      <c r="BQ154" s="862"/>
      <c r="BR154" s="862"/>
      <c r="BS154" s="862"/>
      <c r="BT154" s="862"/>
      <c r="BU154" s="862"/>
      <c r="BV154" s="862"/>
      <c r="BW154" s="1081">
        <f t="shared" si="725"/>
        <v>0</v>
      </c>
      <c r="BX154" s="862"/>
      <c r="BY154" s="862"/>
      <c r="BZ154" s="862"/>
      <c r="CA154" s="73">
        <f t="shared" si="726"/>
        <v>0</v>
      </c>
      <c r="CB154" s="862"/>
      <c r="CC154" s="862"/>
      <c r="CD154" s="862"/>
      <c r="CE154" s="862"/>
      <c r="CF154" s="862"/>
      <c r="CG154" s="862"/>
      <c r="CH154" s="862"/>
      <c r="CI154" s="862"/>
      <c r="CJ154" s="1081"/>
      <c r="CK154" s="862"/>
      <c r="CL154" s="862"/>
      <c r="CM154" s="862"/>
      <c r="CN154" s="73">
        <f t="shared" si="727"/>
        <v>0</v>
      </c>
    </row>
    <row r="155" spans="1:92" s="37" customFormat="1" ht="24.75" customHeight="1" x14ac:dyDescent="0.2">
      <c r="A155" s="41">
        <v>12</v>
      </c>
      <c r="B155" s="664" t="s">
        <v>446</v>
      </c>
      <c r="C155" s="29" t="s">
        <v>290</v>
      </c>
      <c r="D155" s="624">
        <v>2</v>
      </c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1">
        <f t="shared" si="764"/>
        <v>0</v>
      </c>
      <c r="R155" s="626" t="s">
        <v>16</v>
      </c>
      <c r="S155" s="627">
        <v>35000</v>
      </c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629">
        <f t="shared" si="765"/>
        <v>0</v>
      </c>
      <c r="AG155" s="70">
        <f t="shared" si="766"/>
        <v>0</v>
      </c>
      <c r="AH155" s="70">
        <f t="shared" si="767"/>
        <v>0</v>
      </c>
      <c r="AI155" s="70">
        <f t="shared" si="768"/>
        <v>0</v>
      </c>
      <c r="AJ155" s="70">
        <f t="shared" si="769"/>
        <v>0</v>
      </c>
      <c r="AK155" s="70">
        <f t="shared" si="770"/>
        <v>0</v>
      </c>
      <c r="AL155" s="70">
        <f t="shared" si="771"/>
        <v>0</v>
      </c>
      <c r="AM155" s="70">
        <f t="shared" si="772"/>
        <v>0</v>
      </c>
      <c r="AN155" s="70">
        <f t="shared" si="773"/>
        <v>0</v>
      </c>
      <c r="AO155" s="70">
        <f t="shared" si="774"/>
        <v>0</v>
      </c>
      <c r="AP155" s="70">
        <f t="shared" si="775"/>
        <v>0</v>
      </c>
      <c r="AQ155" s="70">
        <f t="shared" si="776"/>
        <v>0</v>
      </c>
      <c r="AR155" s="70">
        <f t="shared" si="777"/>
        <v>0</v>
      </c>
      <c r="AS155" s="71">
        <f t="shared" si="778"/>
        <v>0</v>
      </c>
      <c r="AT155" s="70">
        <f t="shared" si="779"/>
        <v>0</v>
      </c>
      <c r="AU155" s="70">
        <f t="shared" si="780"/>
        <v>0</v>
      </c>
      <c r="AV155" s="70">
        <f t="shared" si="781"/>
        <v>0</v>
      </c>
      <c r="AW155" s="70">
        <f t="shared" si="782"/>
        <v>0</v>
      </c>
      <c r="AX155" s="70">
        <f t="shared" si="783"/>
        <v>0</v>
      </c>
      <c r="AY155" s="70">
        <f t="shared" si="784"/>
        <v>0</v>
      </c>
      <c r="AZ155" s="70">
        <f t="shared" si="785"/>
        <v>0</v>
      </c>
      <c r="BA155" s="70">
        <f t="shared" si="786"/>
        <v>0</v>
      </c>
      <c r="BB155" s="70">
        <f t="shared" si="787"/>
        <v>0</v>
      </c>
      <c r="BC155" s="70">
        <f t="shared" si="788"/>
        <v>0</v>
      </c>
      <c r="BD155" s="70">
        <f t="shared" si="789"/>
        <v>0</v>
      </c>
      <c r="BE155" s="70">
        <f t="shared" si="790"/>
        <v>0</v>
      </c>
      <c r="BF155" s="72">
        <f t="shared" si="791"/>
        <v>0</v>
      </c>
      <c r="BG155" s="73">
        <f t="shared" si="792"/>
        <v>0</v>
      </c>
      <c r="BH155" s="74">
        <f t="shared" si="793"/>
        <v>70000</v>
      </c>
      <c r="BI155" s="75">
        <f t="shared" si="794"/>
        <v>70000</v>
      </c>
      <c r="BJ155" s="630">
        <f t="shared" si="795"/>
        <v>0</v>
      </c>
      <c r="BK155" s="1081"/>
      <c r="BL155" s="1081"/>
      <c r="BM155" s="1083"/>
      <c r="BN155" s="1084"/>
      <c r="BO155" s="862"/>
      <c r="BP155" s="862"/>
      <c r="BQ155" s="862"/>
      <c r="BR155" s="862"/>
      <c r="BS155" s="862"/>
      <c r="BT155" s="862"/>
      <c r="BU155" s="862"/>
      <c r="BV155" s="862"/>
      <c r="BW155" s="1081">
        <f t="shared" si="725"/>
        <v>0</v>
      </c>
      <c r="BX155" s="862"/>
      <c r="BY155" s="862"/>
      <c r="BZ155" s="862"/>
      <c r="CA155" s="73">
        <f t="shared" si="726"/>
        <v>0</v>
      </c>
      <c r="CB155" s="862"/>
      <c r="CC155" s="862"/>
      <c r="CD155" s="862"/>
      <c r="CE155" s="862"/>
      <c r="CF155" s="862"/>
      <c r="CG155" s="862"/>
      <c r="CH155" s="862"/>
      <c r="CI155" s="862"/>
      <c r="CJ155" s="1081"/>
      <c r="CK155" s="862"/>
      <c r="CL155" s="862"/>
      <c r="CM155" s="862"/>
      <c r="CN155" s="73">
        <f t="shared" si="727"/>
        <v>0</v>
      </c>
    </row>
    <row r="156" spans="1:92" s="37" customFormat="1" ht="24.75" customHeight="1" x14ac:dyDescent="0.2">
      <c r="A156" s="41">
        <v>13</v>
      </c>
      <c r="B156" s="664" t="s">
        <v>447</v>
      </c>
      <c r="C156" s="29" t="s">
        <v>290</v>
      </c>
      <c r="D156" s="624">
        <v>2</v>
      </c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1">
        <f t="shared" si="764"/>
        <v>0</v>
      </c>
      <c r="R156" s="626" t="s">
        <v>16</v>
      </c>
      <c r="S156" s="627">
        <v>35000</v>
      </c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629">
        <f t="shared" si="765"/>
        <v>0</v>
      </c>
      <c r="AG156" s="70">
        <f t="shared" si="766"/>
        <v>0</v>
      </c>
      <c r="AH156" s="70">
        <f t="shared" si="767"/>
        <v>0</v>
      </c>
      <c r="AI156" s="70">
        <f t="shared" si="768"/>
        <v>0</v>
      </c>
      <c r="AJ156" s="70">
        <f t="shared" si="769"/>
        <v>0</v>
      </c>
      <c r="AK156" s="70">
        <f t="shared" si="770"/>
        <v>0</v>
      </c>
      <c r="AL156" s="70">
        <f t="shared" si="771"/>
        <v>0</v>
      </c>
      <c r="AM156" s="70">
        <f t="shared" si="772"/>
        <v>0</v>
      </c>
      <c r="AN156" s="70">
        <f t="shared" si="773"/>
        <v>0</v>
      </c>
      <c r="AO156" s="70">
        <f t="shared" si="774"/>
        <v>0</v>
      </c>
      <c r="AP156" s="70">
        <f t="shared" si="775"/>
        <v>0</v>
      </c>
      <c r="AQ156" s="70">
        <f t="shared" si="776"/>
        <v>0</v>
      </c>
      <c r="AR156" s="70">
        <f t="shared" si="777"/>
        <v>0</v>
      </c>
      <c r="AS156" s="71">
        <f t="shared" si="778"/>
        <v>0</v>
      </c>
      <c r="AT156" s="70">
        <f t="shared" si="779"/>
        <v>0</v>
      </c>
      <c r="AU156" s="70">
        <f t="shared" si="780"/>
        <v>0</v>
      </c>
      <c r="AV156" s="70">
        <f t="shared" si="781"/>
        <v>0</v>
      </c>
      <c r="AW156" s="70">
        <f t="shared" si="782"/>
        <v>0</v>
      </c>
      <c r="AX156" s="70">
        <f t="shared" si="783"/>
        <v>0</v>
      </c>
      <c r="AY156" s="70">
        <f t="shared" si="784"/>
        <v>0</v>
      </c>
      <c r="AZ156" s="70">
        <f t="shared" si="785"/>
        <v>0</v>
      </c>
      <c r="BA156" s="70">
        <f t="shared" si="786"/>
        <v>0</v>
      </c>
      <c r="BB156" s="70">
        <f t="shared" si="787"/>
        <v>0</v>
      </c>
      <c r="BC156" s="70">
        <f t="shared" si="788"/>
        <v>0</v>
      </c>
      <c r="BD156" s="70">
        <f t="shared" si="789"/>
        <v>0</v>
      </c>
      <c r="BE156" s="70">
        <f t="shared" si="790"/>
        <v>0</v>
      </c>
      <c r="BF156" s="72">
        <f t="shared" si="791"/>
        <v>0</v>
      </c>
      <c r="BG156" s="73">
        <f t="shared" si="792"/>
        <v>0</v>
      </c>
      <c r="BH156" s="74">
        <f t="shared" si="793"/>
        <v>70000</v>
      </c>
      <c r="BI156" s="75">
        <f t="shared" si="794"/>
        <v>70000</v>
      </c>
      <c r="BJ156" s="630">
        <f t="shared" si="795"/>
        <v>0</v>
      </c>
      <c r="BK156" s="1081"/>
      <c r="BL156" s="1081"/>
      <c r="BM156" s="1083"/>
      <c r="BN156" s="1084"/>
      <c r="BO156" s="862"/>
      <c r="BP156" s="862"/>
      <c r="BQ156" s="862"/>
      <c r="BR156" s="862"/>
      <c r="BS156" s="862"/>
      <c r="BT156" s="862"/>
      <c r="BU156" s="862"/>
      <c r="BV156" s="862"/>
      <c r="BW156" s="1081">
        <f t="shared" si="725"/>
        <v>0</v>
      </c>
      <c r="BX156" s="862"/>
      <c r="BY156" s="862"/>
      <c r="BZ156" s="862"/>
      <c r="CA156" s="73">
        <f t="shared" si="726"/>
        <v>0</v>
      </c>
      <c r="CB156" s="862"/>
      <c r="CC156" s="862"/>
      <c r="CD156" s="862"/>
      <c r="CE156" s="862"/>
      <c r="CF156" s="862"/>
      <c r="CG156" s="862"/>
      <c r="CH156" s="862"/>
      <c r="CI156" s="862"/>
      <c r="CJ156" s="1081"/>
      <c r="CK156" s="862"/>
      <c r="CL156" s="862"/>
      <c r="CM156" s="862"/>
      <c r="CN156" s="73">
        <f t="shared" si="727"/>
        <v>0</v>
      </c>
    </row>
    <row r="157" spans="1:92" s="37" customFormat="1" ht="24.75" customHeight="1" x14ac:dyDescent="0.2">
      <c r="A157" s="41">
        <v>14</v>
      </c>
      <c r="B157" s="664" t="s">
        <v>448</v>
      </c>
      <c r="C157" s="29" t="s">
        <v>290</v>
      </c>
      <c r="D157" s="624">
        <v>2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1">
        <f t="shared" si="764"/>
        <v>0</v>
      </c>
      <c r="R157" s="626" t="s">
        <v>16</v>
      </c>
      <c r="S157" s="627">
        <v>35000</v>
      </c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629">
        <f t="shared" si="765"/>
        <v>0</v>
      </c>
      <c r="AG157" s="70">
        <f t="shared" si="766"/>
        <v>0</v>
      </c>
      <c r="AH157" s="70">
        <f t="shared" si="767"/>
        <v>0</v>
      </c>
      <c r="AI157" s="70">
        <f t="shared" si="768"/>
        <v>0</v>
      </c>
      <c r="AJ157" s="70">
        <f t="shared" si="769"/>
        <v>0</v>
      </c>
      <c r="AK157" s="70">
        <f t="shared" si="770"/>
        <v>0</v>
      </c>
      <c r="AL157" s="70">
        <f t="shared" si="771"/>
        <v>0</v>
      </c>
      <c r="AM157" s="70">
        <f t="shared" si="772"/>
        <v>0</v>
      </c>
      <c r="AN157" s="70">
        <f t="shared" si="773"/>
        <v>0</v>
      </c>
      <c r="AO157" s="70">
        <f t="shared" si="774"/>
        <v>0</v>
      </c>
      <c r="AP157" s="70">
        <f t="shared" si="775"/>
        <v>0</v>
      </c>
      <c r="AQ157" s="70">
        <f t="shared" si="776"/>
        <v>0</v>
      </c>
      <c r="AR157" s="70">
        <f t="shared" si="777"/>
        <v>0</v>
      </c>
      <c r="AS157" s="71">
        <f t="shared" si="778"/>
        <v>0</v>
      </c>
      <c r="AT157" s="70">
        <f t="shared" si="779"/>
        <v>0</v>
      </c>
      <c r="AU157" s="70">
        <f t="shared" si="780"/>
        <v>0</v>
      </c>
      <c r="AV157" s="70">
        <f t="shared" si="781"/>
        <v>0</v>
      </c>
      <c r="AW157" s="70">
        <f t="shared" si="782"/>
        <v>0</v>
      </c>
      <c r="AX157" s="70">
        <f t="shared" si="783"/>
        <v>0</v>
      </c>
      <c r="AY157" s="70">
        <f t="shared" si="784"/>
        <v>0</v>
      </c>
      <c r="AZ157" s="70">
        <f t="shared" si="785"/>
        <v>0</v>
      </c>
      <c r="BA157" s="70">
        <f t="shared" si="786"/>
        <v>0</v>
      </c>
      <c r="BB157" s="70">
        <f t="shared" si="787"/>
        <v>0</v>
      </c>
      <c r="BC157" s="70">
        <f t="shared" si="788"/>
        <v>0</v>
      </c>
      <c r="BD157" s="70">
        <f t="shared" si="789"/>
        <v>0</v>
      </c>
      <c r="BE157" s="70">
        <f t="shared" si="790"/>
        <v>0</v>
      </c>
      <c r="BF157" s="72">
        <f t="shared" si="791"/>
        <v>0</v>
      </c>
      <c r="BG157" s="73">
        <f t="shared" si="792"/>
        <v>0</v>
      </c>
      <c r="BH157" s="74">
        <f t="shared" si="793"/>
        <v>70000</v>
      </c>
      <c r="BI157" s="75">
        <f t="shared" si="794"/>
        <v>70000</v>
      </c>
      <c r="BJ157" s="630">
        <f t="shared" si="795"/>
        <v>0</v>
      </c>
      <c r="BK157" s="1081"/>
      <c r="BL157" s="1081"/>
      <c r="BM157" s="1083"/>
      <c r="BN157" s="1084"/>
      <c r="BO157" s="862"/>
      <c r="BP157" s="862"/>
      <c r="BQ157" s="862"/>
      <c r="BR157" s="862"/>
      <c r="BS157" s="862"/>
      <c r="BT157" s="862"/>
      <c r="BU157" s="862"/>
      <c r="BV157" s="862"/>
      <c r="BW157" s="1081">
        <f t="shared" si="725"/>
        <v>0</v>
      </c>
      <c r="BX157" s="862"/>
      <c r="BY157" s="862"/>
      <c r="BZ157" s="862"/>
      <c r="CA157" s="73">
        <f t="shared" si="726"/>
        <v>0</v>
      </c>
      <c r="CB157" s="862"/>
      <c r="CC157" s="862"/>
      <c r="CD157" s="862"/>
      <c r="CE157" s="862"/>
      <c r="CF157" s="862"/>
      <c r="CG157" s="862"/>
      <c r="CH157" s="862"/>
      <c r="CI157" s="862"/>
      <c r="CJ157" s="1081"/>
      <c r="CK157" s="862"/>
      <c r="CL157" s="862"/>
      <c r="CM157" s="862"/>
      <c r="CN157" s="73">
        <f t="shared" si="727"/>
        <v>0</v>
      </c>
    </row>
    <row r="158" spans="1:92" s="37" customFormat="1" ht="24.75" customHeight="1" x14ac:dyDescent="0.2">
      <c r="A158" s="41">
        <v>15</v>
      </c>
      <c r="B158" s="665" t="s">
        <v>449</v>
      </c>
      <c r="C158" s="29" t="s">
        <v>290</v>
      </c>
      <c r="D158" s="624">
        <v>3</v>
      </c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1">
        <f t="shared" si="732"/>
        <v>0</v>
      </c>
      <c r="R158" s="626" t="s">
        <v>107</v>
      </c>
      <c r="S158" s="666">
        <v>350000</v>
      </c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629">
        <f t="shared" si="733"/>
        <v>0</v>
      </c>
      <c r="AG158" s="70">
        <f t="shared" si="734"/>
        <v>0</v>
      </c>
      <c r="AH158" s="70">
        <f t="shared" si="735"/>
        <v>0</v>
      </c>
      <c r="AI158" s="70">
        <f t="shared" si="736"/>
        <v>0</v>
      </c>
      <c r="AJ158" s="70">
        <f t="shared" si="737"/>
        <v>0</v>
      </c>
      <c r="AK158" s="70">
        <f t="shared" si="738"/>
        <v>0</v>
      </c>
      <c r="AL158" s="70">
        <f t="shared" si="739"/>
        <v>0</v>
      </c>
      <c r="AM158" s="70">
        <f t="shared" si="740"/>
        <v>0</v>
      </c>
      <c r="AN158" s="70">
        <f t="shared" si="741"/>
        <v>0</v>
      </c>
      <c r="AO158" s="70">
        <f t="shared" si="742"/>
        <v>0</v>
      </c>
      <c r="AP158" s="70">
        <f t="shared" si="743"/>
        <v>0</v>
      </c>
      <c r="AQ158" s="70">
        <f t="shared" si="744"/>
        <v>0</v>
      </c>
      <c r="AR158" s="70">
        <f t="shared" si="745"/>
        <v>0</v>
      </c>
      <c r="AS158" s="71">
        <f t="shared" si="746"/>
        <v>0</v>
      </c>
      <c r="AT158" s="70">
        <f t="shared" si="747"/>
        <v>0</v>
      </c>
      <c r="AU158" s="70">
        <f t="shared" si="748"/>
        <v>0</v>
      </c>
      <c r="AV158" s="70">
        <f t="shared" si="749"/>
        <v>0</v>
      </c>
      <c r="AW158" s="70">
        <f t="shared" si="750"/>
        <v>0</v>
      </c>
      <c r="AX158" s="70">
        <f t="shared" si="751"/>
        <v>0</v>
      </c>
      <c r="AY158" s="70">
        <f t="shared" si="752"/>
        <v>0</v>
      </c>
      <c r="AZ158" s="70">
        <f t="shared" si="753"/>
        <v>0</v>
      </c>
      <c r="BA158" s="70">
        <f t="shared" si="754"/>
        <v>0</v>
      </c>
      <c r="BB158" s="70">
        <f t="shared" si="755"/>
        <v>0</v>
      </c>
      <c r="BC158" s="70">
        <f t="shared" si="756"/>
        <v>0</v>
      </c>
      <c r="BD158" s="70">
        <f t="shared" si="757"/>
        <v>0</v>
      </c>
      <c r="BE158" s="70">
        <f t="shared" si="758"/>
        <v>0</v>
      </c>
      <c r="BF158" s="72">
        <f t="shared" si="759"/>
        <v>0</v>
      </c>
      <c r="BG158" s="73">
        <f t="shared" si="760"/>
        <v>0</v>
      </c>
      <c r="BH158" s="74">
        <f t="shared" si="761"/>
        <v>1050000</v>
      </c>
      <c r="BI158" s="75">
        <f t="shared" si="762"/>
        <v>1050000</v>
      </c>
      <c r="BJ158" s="630">
        <f t="shared" si="763"/>
        <v>0</v>
      </c>
      <c r="BK158" s="1081"/>
      <c r="BL158" s="1081"/>
      <c r="BM158" s="1083"/>
      <c r="BN158" s="1084"/>
      <c r="BO158" s="862"/>
      <c r="BP158" s="862"/>
      <c r="BQ158" s="862"/>
      <c r="BR158" s="862"/>
      <c r="BS158" s="862"/>
      <c r="BT158" s="862"/>
      <c r="BU158" s="862"/>
      <c r="BV158" s="862"/>
      <c r="BW158" s="1081">
        <f t="shared" si="725"/>
        <v>0</v>
      </c>
      <c r="BX158" s="862"/>
      <c r="BY158" s="862"/>
      <c r="BZ158" s="862"/>
      <c r="CA158" s="73">
        <f t="shared" si="726"/>
        <v>0</v>
      </c>
      <c r="CB158" s="862"/>
      <c r="CC158" s="862"/>
      <c r="CD158" s="862"/>
      <c r="CE158" s="862"/>
      <c r="CF158" s="862"/>
      <c r="CG158" s="862"/>
      <c r="CH158" s="862"/>
      <c r="CI158" s="862"/>
      <c r="CJ158" s="1081"/>
      <c r="CK158" s="862"/>
      <c r="CL158" s="862"/>
      <c r="CM158" s="862"/>
      <c r="CN158" s="73">
        <f t="shared" si="727"/>
        <v>0</v>
      </c>
    </row>
    <row r="159" spans="1:92" s="37" customFormat="1" ht="24.75" customHeight="1" x14ac:dyDescent="0.2">
      <c r="A159" s="41">
        <v>16</v>
      </c>
      <c r="B159" s="665" t="s">
        <v>450</v>
      </c>
      <c r="C159" s="29" t="s">
        <v>290</v>
      </c>
      <c r="D159" s="624">
        <v>3</v>
      </c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1">
        <f t="shared" si="732"/>
        <v>0</v>
      </c>
      <c r="R159" s="626" t="s">
        <v>107</v>
      </c>
      <c r="S159" s="663">
        <v>300000</v>
      </c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629">
        <f t="shared" si="733"/>
        <v>0</v>
      </c>
      <c r="AG159" s="70">
        <f t="shared" si="734"/>
        <v>0</v>
      </c>
      <c r="AH159" s="70">
        <f t="shared" si="735"/>
        <v>0</v>
      </c>
      <c r="AI159" s="70">
        <f t="shared" si="736"/>
        <v>0</v>
      </c>
      <c r="AJ159" s="70">
        <f t="shared" si="737"/>
        <v>0</v>
      </c>
      <c r="AK159" s="70">
        <f t="shared" si="738"/>
        <v>0</v>
      </c>
      <c r="AL159" s="70">
        <f t="shared" si="739"/>
        <v>0</v>
      </c>
      <c r="AM159" s="70">
        <f t="shared" si="740"/>
        <v>0</v>
      </c>
      <c r="AN159" s="70">
        <f t="shared" si="741"/>
        <v>0</v>
      </c>
      <c r="AO159" s="70">
        <f t="shared" si="742"/>
        <v>0</v>
      </c>
      <c r="AP159" s="70">
        <f t="shared" si="743"/>
        <v>0</v>
      </c>
      <c r="AQ159" s="70">
        <f t="shared" si="744"/>
        <v>0</v>
      </c>
      <c r="AR159" s="70">
        <f t="shared" si="745"/>
        <v>0</v>
      </c>
      <c r="AS159" s="71">
        <f t="shared" si="746"/>
        <v>0</v>
      </c>
      <c r="AT159" s="70">
        <f t="shared" si="747"/>
        <v>0</v>
      </c>
      <c r="AU159" s="70">
        <f t="shared" si="748"/>
        <v>0</v>
      </c>
      <c r="AV159" s="70">
        <f t="shared" si="749"/>
        <v>0</v>
      </c>
      <c r="AW159" s="70">
        <f t="shared" si="750"/>
        <v>0</v>
      </c>
      <c r="AX159" s="70">
        <f t="shared" si="751"/>
        <v>0</v>
      </c>
      <c r="AY159" s="70">
        <f t="shared" si="752"/>
        <v>0</v>
      </c>
      <c r="AZ159" s="70">
        <f t="shared" si="753"/>
        <v>0</v>
      </c>
      <c r="BA159" s="70">
        <f t="shared" si="754"/>
        <v>0</v>
      </c>
      <c r="BB159" s="70">
        <f t="shared" si="755"/>
        <v>0</v>
      </c>
      <c r="BC159" s="70">
        <f t="shared" si="756"/>
        <v>0</v>
      </c>
      <c r="BD159" s="70">
        <f t="shared" si="757"/>
        <v>0</v>
      </c>
      <c r="BE159" s="70">
        <f t="shared" si="758"/>
        <v>0</v>
      </c>
      <c r="BF159" s="72">
        <f t="shared" si="759"/>
        <v>0</v>
      </c>
      <c r="BG159" s="73">
        <f t="shared" si="760"/>
        <v>0</v>
      </c>
      <c r="BH159" s="74">
        <f t="shared" si="761"/>
        <v>900000</v>
      </c>
      <c r="BI159" s="75">
        <f t="shared" si="762"/>
        <v>900000</v>
      </c>
      <c r="BJ159" s="630">
        <f t="shared" si="763"/>
        <v>0</v>
      </c>
      <c r="BK159" s="1081"/>
      <c r="BL159" s="1081"/>
      <c r="BM159" s="1083"/>
      <c r="BN159" s="1084"/>
      <c r="BO159" s="862"/>
      <c r="BP159" s="862"/>
      <c r="BQ159" s="862"/>
      <c r="BR159" s="862"/>
      <c r="BS159" s="862"/>
      <c r="BT159" s="862"/>
      <c r="BU159" s="862"/>
      <c r="BV159" s="862"/>
      <c r="BW159" s="1081">
        <f t="shared" si="725"/>
        <v>0</v>
      </c>
      <c r="BX159" s="862"/>
      <c r="BY159" s="862"/>
      <c r="BZ159" s="862"/>
      <c r="CA159" s="73">
        <f t="shared" si="726"/>
        <v>0</v>
      </c>
      <c r="CB159" s="862"/>
      <c r="CC159" s="862"/>
      <c r="CD159" s="862"/>
      <c r="CE159" s="862"/>
      <c r="CF159" s="862"/>
      <c r="CG159" s="862"/>
      <c r="CH159" s="862"/>
      <c r="CI159" s="862"/>
      <c r="CJ159" s="1081"/>
      <c r="CK159" s="862"/>
      <c r="CL159" s="862"/>
      <c r="CM159" s="862"/>
      <c r="CN159" s="73">
        <f t="shared" si="727"/>
        <v>0</v>
      </c>
    </row>
    <row r="160" spans="1:92" s="37" customFormat="1" ht="24.75" customHeight="1" thickBot="1" x14ac:dyDescent="0.25">
      <c r="A160" s="41">
        <v>17</v>
      </c>
      <c r="B160" s="665" t="s">
        <v>451</v>
      </c>
      <c r="C160" s="29" t="s">
        <v>290</v>
      </c>
      <c r="D160" s="624">
        <v>9</v>
      </c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1">
        <f t="shared" si="732"/>
        <v>0</v>
      </c>
      <c r="R160" s="626" t="s">
        <v>107</v>
      </c>
      <c r="S160" s="663">
        <v>250000</v>
      </c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629">
        <f t="shared" si="733"/>
        <v>0</v>
      </c>
      <c r="AG160" s="70">
        <f t="shared" si="734"/>
        <v>0</v>
      </c>
      <c r="AH160" s="70">
        <f t="shared" si="735"/>
        <v>0</v>
      </c>
      <c r="AI160" s="70">
        <f t="shared" si="736"/>
        <v>0</v>
      </c>
      <c r="AJ160" s="70">
        <f t="shared" si="737"/>
        <v>0</v>
      </c>
      <c r="AK160" s="70">
        <f t="shared" si="738"/>
        <v>0</v>
      </c>
      <c r="AL160" s="70">
        <f t="shared" si="739"/>
        <v>0</v>
      </c>
      <c r="AM160" s="70">
        <f t="shared" si="740"/>
        <v>0</v>
      </c>
      <c r="AN160" s="70">
        <f t="shared" si="741"/>
        <v>0</v>
      </c>
      <c r="AO160" s="70">
        <f t="shared" si="742"/>
        <v>0</v>
      </c>
      <c r="AP160" s="70">
        <f t="shared" si="743"/>
        <v>0</v>
      </c>
      <c r="AQ160" s="70">
        <f t="shared" si="744"/>
        <v>0</v>
      </c>
      <c r="AR160" s="70">
        <f t="shared" si="745"/>
        <v>0</v>
      </c>
      <c r="AS160" s="71">
        <f t="shared" si="746"/>
        <v>0</v>
      </c>
      <c r="AT160" s="70">
        <f t="shared" si="747"/>
        <v>0</v>
      </c>
      <c r="AU160" s="70">
        <f t="shared" si="748"/>
        <v>0</v>
      </c>
      <c r="AV160" s="70">
        <f t="shared" si="749"/>
        <v>0</v>
      </c>
      <c r="AW160" s="70">
        <f t="shared" si="750"/>
        <v>0</v>
      </c>
      <c r="AX160" s="70">
        <f t="shared" si="751"/>
        <v>0</v>
      </c>
      <c r="AY160" s="70">
        <f t="shared" si="752"/>
        <v>0</v>
      </c>
      <c r="AZ160" s="70">
        <f t="shared" si="753"/>
        <v>0</v>
      </c>
      <c r="BA160" s="70">
        <f t="shared" si="754"/>
        <v>0</v>
      </c>
      <c r="BB160" s="70">
        <f t="shared" si="755"/>
        <v>0</v>
      </c>
      <c r="BC160" s="70">
        <f t="shared" si="756"/>
        <v>0</v>
      </c>
      <c r="BD160" s="70">
        <f t="shared" si="757"/>
        <v>0</v>
      </c>
      <c r="BE160" s="70">
        <f t="shared" si="758"/>
        <v>0</v>
      </c>
      <c r="BF160" s="72">
        <f t="shared" si="759"/>
        <v>0</v>
      </c>
      <c r="BG160" s="73">
        <f t="shared" si="760"/>
        <v>0</v>
      </c>
      <c r="BH160" s="74">
        <f t="shared" si="761"/>
        <v>2250000</v>
      </c>
      <c r="BI160" s="75">
        <f t="shared" si="762"/>
        <v>2250000</v>
      </c>
      <c r="BJ160" s="630">
        <f t="shared" si="763"/>
        <v>0</v>
      </c>
      <c r="BK160" s="1081"/>
      <c r="BL160" s="1081"/>
      <c r="BM160" s="1083"/>
      <c r="BN160" s="1084"/>
      <c r="BO160" s="862"/>
      <c r="BP160" s="862"/>
      <c r="BQ160" s="862"/>
      <c r="BR160" s="862"/>
      <c r="BS160" s="862"/>
      <c r="BT160" s="862"/>
      <c r="BU160" s="862"/>
      <c r="BV160" s="862"/>
      <c r="BW160" s="1081">
        <f t="shared" si="725"/>
        <v>0</v>
      </c>
      <c r="BX160" s="862"/>
      <c r="BY160" s="862"/>
      <c r="BZ160" s="862"/>
      <c r="CA160" s="73">
        <f t="shared" si="726"/>
        <v>0</v>
      </c>
      <c r="CB160" s="862"/>
      <c r="CC160" s="862"/>
      <c r="CD160" s="862"/>
      <c r="CE160" s="862"/>
      <c r="CF160" s="862"/>
      <c r="CG160" s="862"/>
      <c r="CH160" s="862"/>
      <c r="CI160" s="862"/>
      <c r="CJ160" s="1081"/>
      <c r="CK160" s="862"/>
      <c r="CL160" s="862"/>
      <c r="CM160" s="862"/>
      <c r="CN160" s="73">
        <f t="shared" si="727"/>
        <v>0</v>
      </c>
    </row>
    <row r="161" spans="1:98" s="38" customFormat="1" ht="24.75" customHeight="1" thickBot="1" x14ac:dyDescent="0.25">
      <c r="A161" s="577">
        <v>12</v>
      </c>
      <c r="B161" s="44" t="s">
        <v>4</v>
      </c>
      <c r="C161" s="44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7"/>
      <c r="R161" s="77"/>
      <c r="S161" s="45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78">
        <f>SUM(AF143:AF160)</f>
        <v>0</v>
      </c>
      <c r="AG161" s="78">
        <f>SUM(AG143:AG160)</f>
        <v>0</v>
      </c>
      <c r="AH161" s="78">
        <f>SUM(AH143:AH160)</f>
        <v>0</v>
      </c>
      <c r="AI161" s="78">
        <f>SUM(AI143:AI160)</f>
        <v>0</v>
      </c>
      <c r="AJ161" s="78"/>
      <c r="AK161" s="78"/>
      <c r="AL161" s="78"/>
      <c r="AM161" s="78"/>
      <c r="AN161" s="78"/>
      <c r="AO161" s="78"/>
      <c r="AP161" s="78"/>
      <c r="AQ161" s="78"/>
      <c r="AR161" s="78"/>
      <c r="AS161" s="78">
        <f t="shared" ref="AS161:BI161" si="796">SUM(AS143:AS160)</f>
        <v>0</v>
      </c>
      <c r="AT161" s="78">
        <f t="shared" si="796"/>
        <v>0</v>
      </c>
      <c r="AU161" s="78">
        <f t="shared" si="796"/>
        <v>0</v>
      </c>
      <c r="AV161" s="78">
        <f t="shared" si="796"/>
        <v>0</v>
      </c>
      <c r="AW161" s="78">
        <f t="shared" si="796"/>
        <v>0</v>
      </c>
      <c r="AX161" s="78">
        <f t="shared" si="796"/>
        <v>0</v>
      </c>
      <c r="AY161" s="78">
        <f t="shared" si="796"/>
        <v>0</v>
      </c>
      <c r="AZ161" s="78">
        <f t="shared" si="796"/>
        <v>0</v>
      </c>
      <c r="BA161" s="78">
        <f t="shared" si="796"/>
        <v>0</v>
      </c>
      <c r="BB161" s="78">
        <f t="shared" si="796"/>
        <v>0</v>
      </c>
      <c r="BC161" s="78">
        <f t="shared" si="796"/>
        <v>0</v>
      </c>
      <c r="BD161" s="78">
        <f t="shared" si="796"/>
        <v>0</v>
      </c>
      <c r="BE161" s="78">
        <f t="shared" si="796"/>
        <v>0</v>
      </c>
      <c r="BF161" s="78">
        <f t="shared" si="796"/>
        <v>0</v>
      </c>
      <c r="BG161" s="79">
        <f t="shared" si="796"/>
        <v>0</v>
      </c>
      <c r="BH161" s="78">
        <f t="shared" si="796"/>
        <v>9134500</v>
      </c>
      <c r="BI161" s="78">
        <f t="shared" si="796"/>
        <v>9134500</v>
      </c>
      <c r="BJ161" s="164">
        <f>SUM(BJ144:BJ160)/17</f>
        <v>0</v>
      </c>
      <c r="BK161" s="1081"/>
      <c r="BL161" s="1081"/>
      <c r="BM161" s="1083"/>
      <c r="BN161" s="1084"/>
      <c r="BO161" s="862"/>
      <c r="BP161" s="862"/>
      <c r="BQ161" s="862"/>
      <c r="BR161" s="862"/>
      <c r="BS161" s="862"/>
      <c r="BT161" s="862"/>
      <c r="BU161" s="862"/>
      <c r="BV161" s="862"/>
      <c r="BW161" s="1081">
        <f t="shared" si="725"/>
        <v>0</v>
      </c>
      <c r="BX161" s="862"/>
      <c r="BY161" s="862"/>
      <c r="BZ161" s="862"/>
      <c r="CA161" s="73">
        <f t="shared" si="726"/>
        <v>0</v>
      </c>
      <c r="CB161" s="862"/>
      <c r="CC161" s="862"/>
      <c r="CD161" s="862"/>
      <c r="CE161" s="862"/>
      <c r="CF161" s="862"/>
      <c r="CG161" s="862"/>
      <c r="CH161" s="862"/>
      <c r="CI161" s="862"/>
      <c r="CJ161" s="1081"/>
      <c r="CK161" s="862"/>
      <c r="CL161" s="862"/>
      <c r="CM161" s="862"/>
      <c r="CN161" s="73">
        <f t="shared" si="727"/>
        <v>0</v>
      </c>
    </row>
    <row r="162" spans="1:98" s="20" customFormat="1" ht="24.75" customHeight="1" x14ac:dyDescent="0.2">
      <c r="A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AE162" s="40"/>
      <c r="AS162" s="51"/>
      <c r="AT162" s="404"/>
      <c r="AU162" s="404"/>
      <c r="BF162" s="52">
        <f>SUM(AS161+BF161)</f>
        <v>0</v>
      </c>
      <c r="BG162" s="53">
        <f>AF161-AS161-BF161</f>
        <v>0</v>
      </c>
      <c r="BH162" s="54">
        <f>SUM(BI161+AS161+BF161)</f>
        <v>9134500</v>
      </c>
      <c r="BI162" s="55">
        <f>SUM(BG161)</f>
        <v>0</v>
      </c>
      <c r="BJ162" s="40" t="s">
        <v>38</v>
      </c>
      <c r="BK162" s="171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</row>
    <row r="163" spans="1:98" s="20" customFormat="1" ht="24.75" customHeight="1" x14ac:dyDescent="0.2">
      <c r="A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AE163" s="40"/>
      <c r="AS163" s="40"/>
      <c r="AT163" s="388">
        <f>SUM(AG161+AT161)</f>
        <v>0</v>
      </c>
      <c r="AU163" s="388">
        <f t="shared" ref="AU163" si="797">SUM(AH161+AU161)</f>
        <v>0</v>
      </c>
      <c r="AV163" s="388">
        <f>SUM(AI161+AV161)</f>
        <v>0</v>
      </c>
      <c r="AW163" s="388">
        <f t="shared" ref="AW163" si="798">SUM(AJ161+AW161)</f>
        <v>0</v>
      </c>
      <c r="AX163" s="388">
        <f t="shared" ref="AX163" si="799">SUM(AK161+AX161)</f>
        <v>0</v>
      </c>
      <c r="AY163" s="388">
        <f t="shared" ref="AY163" si="800">SUM(AL161+AY161)</f>
        <v>0</v>
      </c>
      <c r="AZ163" s="388">
        <f t="shared" ref="AZ163" si="801">SUM(AM161+AZ161)</f>
        <v>0</v>
      </c>
      <c r="BA163" s="388">
        <f t="shared" ref="BA163" si="802">SUM(AN161+BA161)</f>
        <v>0</v>
      </c>
      <c r="BB163" s="388">
        <f t="shared" ref="BB163" si="803">SUM(AO161+BB161)</f>
        <v>0</v>
      </c>
      <c r="BC163" s="388">
        <f t="shared" ref="BC163" si="804">SUM(AP161+BC161)</f>
        <v>0</v>
      </c>
      <c r="BD163" s="388">
        <f t="shared" ref="BD163" si="805">SUM(AQ161+BD161)</f>
        <v>0</v>
      </c>
      <c r="BE163" s="388">
        <f t="shared" ref="BE163" si="806">SUM(AR161+BE161)</f>
        <v>0</v>
      </c>
      <c r="BF163" s="388">
        <f>SUM(AT163:BE163)</f>
        <v>0</v>
      </c>
      <c r="BG163" s="40"/>
      <c r="BH163" s="56"/>
      <c r="BI163" s="57">
        <f>SUM(BI161-BI162)</f>
        <v>9134500</v>
      </c>
      <c r="BJ163" s="40" t="s">
        <v>37</v>
      </c>
      <c r="BK163" s="171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</row>
    <row r="164" spans="1:98" s="20" customFormat="1" ht="16.5" customHeight="1" x14ac:dyDescent="0.2">
      <c r="A164" s="1730" t="s">
        <v>8</v>
      </c>
      <c r="B164" s="1731"/>
      <c r="C164" s="124" t="s">
        <v>214</v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7"/>
      <c r="AF164" s="23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8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8"/>
      <c r="BG164" s="138"/>
      <c r="BH164" s="135"/>
      <c r="BI164" s="139"/>
      <c r="BJ164" s="23"/>
      <c r="BK164" s="169"/>
      <c r="BL164" s="136"/>
      <c r="BM164" s="136"/>
      <c r="BN164" s="136"/>
      <c r="BO164" s="136"/>
      <c r="BP164" s="137"/>
      <c r="BQ164" s="136"/>
      <c r="BR164" s="136"/>
      <c r="BS164" s="136"/>
      <c r="BT164" s="136"/>
      <c r="BU164" s="136"/>
      <c r="BV164" s="138"/>
      <c r="BW164" s="138"/>
      <c r="BX164" s="138"/>
      <c r="BY164" s="135"/>
      <c r="BZ164" s="139"/>
      <c r="CA164" s="138"/>
      <c r="CB164" s="138"/>
      <c r="CC164" s="24"/>
      <c r="CD164" s="24"/>
      <c r="CE164" s="24"/>
      <c r="CF164" s="24"/>
      <c r="CG164" s="24"/>
      <c r="CH164" s="140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</row>
    <row r="165" spans="1:98" s="8" customFormat="1" ht="48.75" customHeight="1" x14ac:dyDescent="0.2">
      <c r="A165" s="1703" t="s">
        <v>10</v>
      </c>
      <c r="B165" s="1706" t="s">
        <v>11</v>
      </c>
      <c r="C165" s="1706" t="s">
        <v>22</v>
      </c>
      <c r="D165" s="1721" t="s">
        <v>12</v>
      </c>
      <c r="E165" s="1721"/>
      <c r="F165" s="1721"/>
      <c r="G165" s="1721"/>
      <c r="H165" s="1721"/>
      <c r="I165" s="1721"/>
      <c r="J165" s="1721"/>
      <c r="K165" s="1721"/>
      <c r="L165" s="1721"/>
      <c r="M165" s="1721"/>
      <c r="N165" s="1721"/>
      <c r="O165" s="1721"/>
      <c r="P165" s="1721"/>
      <c r="Q165" s="1721"/>
      <c r="R165" s="1706" t="s">
        <v>20</v>
      </c>
      <c r="S165" s="1717" t="s">
        <v>17</v>
      </c>
      <c r="T165" s="1718"/>
      <c r="U165" s="1718"/>
      <c r="V165" s="1718"/>
      <c r="W165" s="1718"/>
      <c r="X165" s="1718"/>
      <c r="Y165" s="1718"/>
      <c r="Z165" s="1718"/>
      <c r="AA165" s="1718"/>
      <c r="AB165" s="1718"/>
      <c r="AC165" s="1718"/>
      <c r="AD165" s="1718"/>
      <c r="AE165" s="1719"/>
      <c r="AF165" s="1720" t="s">
        <v>6</v>
      </c>
      <c r="AG165" s="1720"/>
      <c r="AH165" s="1720"/>
      <c r="AI165" s="1720"/>
      <c r="AJ165" s="1720"/>
      <c r="AK165" s="1720"/>
      <c r="AL165" s="1720"/>
      <c r="AM165" s="1720"/>
      <c r="AN165" s="1720"/>
      <c r="AO165" s="1720"/>
      <c r="AP165" s="1720"/>
      <c r="AQ165" s="1720"/>
      <c r="AR165" s="1720"/>
      <c r="AS165" s="1720"/>
      <c r="AT165" s="1722" t="s">
        <v>41</v>
      </c>
      <c r="AU165" s="1723"/>
      <c r="AV165" s="1723"/>
      <c r="AW165" s="1723"/>
      <c r="AX165" s="1723"/>
      <c r="AY165" s="1723"/>
      <c r="AZ165" s="1723"/>
      <c r="BA165" s="1723"/>
      <c r="BB165" s="1723"/>
      <c r="BC165" s="1723"/>
      <c r="BD165" s="1723"/>
      <c r="BE165" s="1723"/>
      <c r="BF165" s="1724"/>
      <c r="BG165" s="1706" t="s">
        <v>38</v>
      </c>
      <c r="BH165" s="1706" t="s">
        <v>256</v>
      </c>
      <c r="BI165" s="1709" t="s">
        <v>39</v>
      </c>
      <c r="BJ165" s="135"/>
      <c r="BK165" s="135"/>
      <c r="BL165" s="135"/>
      <c r="BM165" s="135"/>
      <c r="BN165" s="135"/>
      <c r="BO165" s="1733" t="s">
        <v>41</v>
      </c>
      <c r="BP165" s="1734"/>
      <c r="BQ165" s="1734"/>
      <c r="BR165" s="1734"/>
      <c r="BS165" s="1734"/>
      <c r="BT165" s="1734"/>
      <c r="BU165" s="1734"/>
      <c r="BV165" s="1734"/>
      <c r="BW165" s="1734"/>
      <c r="BX165" s="1734"/>
      <c r="BY165" s="1734"/>
      <c r="BZ165" s="1734"/>
      <c r="CA165" s="1734"/>
      <c r="CB165" s="1734"/>
      <c r="CC165" s="1734"/>
      <c r="CD165" s="1734"/>
      <c r="CE165" s="1734"/>
      <c r="CF165" s="1734"/>
      <c r="CG165" s="1734"/>
      <c r="CH165" s="1734"/>
      <c r="CI165" s="1734"/>
      <c r="CJ165" s="1734"/>
      <c r="CK165" s="1734"/>
      <c r="CL165" s="1734"/>
      <c r="CM165" s="1734"/>
      <c r="CN165" s="1735"/>
    </row>
    <row r="166" spans="1:98" s="8" customFormat="1" ht="48.75" customHeight="1" x14ac:dyDescent="0.2">
      <c r="A166" s="1704"/>
      <c r="B166" s="1707"/>
      <c r="C166" s="1707"/>
      <c r="D166" s="1712" t="s">
        <v>18</v>
      </c>
      <c r="E166" s="1714" t="s">
        <v>19</v>
      </c>
      <c r="F166" s="1715"/>
      <c r="G166" s="1715"/>
      <c r="H166" s="1715"/>
      <c r="I166" s="1715"/>
      <c r="J166" s="1715"/>
      <c r="K166" s="1715"/>
      <c r="L166" s="1715"/>
      <c r="M166" s="1715"/>
      <c r="N166" s="1715"/>
      <c r="O166" s="1715"/>
      <c r="P166" s="1715"/>
      <c r="Q166" s="1715"/>
      <c r="R166" s="1707"/>
      <c r="S166" s="1712" t="s">
        <v>18</v>
      </c>
      <c r="T166" s="1714" t="s">
        <v>19</v>
      </c>
      <c r="U166" s="1715"/>
      <c r="V166" s="1715"/>
      <c r="W166" s="1715"/>
      <c r="X166" s="1715"/>
      <c r="Y166" s="1715"/>
      <c r="Z166" s="1715"/>
      <c r="AA166" s="1715"/>
      <c r="AB166" s="1715"/>
      <c r="AC166" s="1715"/>
      <c r="AD166" s="1715"/>
      <c r="AE166" s="1716"/>
      <c r="AF166" s="1712" t="s">
        <v>18</v>
      </c>
      <c r="AG166" s="1714" t="s">
        <v>19</v>
      </c>
      <c r="AH166" s="1715"/>
      <c r="AI166" s="1715"/>
      <c r="AJ166" s="1715"/>
      <c r="AK166" s="1715"/>
      <c r="AL166" s="1715"/>
      <c r="AM166" s="1715"/>
      <c r="AN166" s="1715"/>
      <c r="AO166" s="1715"/>
      <c r="AP166" s="1715"/>
      <c r="AQ166" s="1715"/>
      <c r="AR166" s="1715"/>
      <c r="AS166" s="1716"/>
      <c r="AT166" s="1725"/>
      <c r="AU166" s="1726"/>
      <c r="AV166" s="1726"/>
      <c r="AW166" s="1726"/>
      <c r="AX166" s="1726"/>
      <c r="AY166" s="1726"/>
      <c r="AZ166" s="1726"/>
      <c r="BA166" s="1726"/>
      <c r="BB166" s="1726"/>
      <c r="BC166" s="1726"/>
      <c r="BD166" s="1726"/>
      <c r="BE166" s="1726"/>
      <c r="BF166" s="1727"/>
      <c r="BG166" s="1707"/>
      <c r="BH166" s="1707"/>
      <c r="BI166" s="1710"/>
      <c r="BJ166" s="135"/>
      <c r="BK166" s="1736">
        <f>SUM(BK168/60)</f>
        <v>0</v>
      </c>
      <c r="BL166" s="1736"/>
      <c r="BM166" s="1736"/>
      <c r="BN166" s="23"/>
      <c r="BO166" s="1737" t="s">
        <v>686</v>
      </c>
      <c r="BP166" s="1738"/>
      <c r="BQ166" s="1738"/>
      <c r="BR166" s="1738"/>
      <c r="BS166" s="1738"/>
      <c r="BT166" s="1738"/>
      <c r="BU166" s="1738"/>
      <c r="BV166" s="1738"/>
      <c r="BW166" s="1738"/>
      <c r="BX166" s="1738"/>
      <c r="BY166" s="1738"/>
      <c r="BZ166" s="1738"/>
      <c r="CA166" s="1739"/>
      <c r="CB166" s="1740" t="s">
        <v>687</v>
      </c>
      <c r="CC166" s="1741"/>
      <c r="CD166" s="1741"/>
      <c r="CE166" s="1741"/>
      <c r="CF166" s="1741"/>
      <c r="CG166" s="1741"/>
      <c r="CH166" s="1741"/>
      <c r="CI166" s="1741"/>
      <c r="CJ166" s="1741"/>
      <c r="CK166" s="1741"/>
      <c r="CL166" s="1741"/>
      <c r="CM166" s="1741"/>
      <c r="CN166" s="1742"/>
    </row>
    <row r="167" spans="1:98" s="6" customFormat="1" ht="28.5" customHeight="1" x14ac:dyDescent="0.2">
      <c r="A167" s="1705"/>
      <c r="B167" s="1708"/>
      <c r="C167" s="1708"/>
      <c r="D167" s="1713"/>
      <c r="E167" s="26">
        <v>1</v>
      </c>
      <c r="F167" s="26">
        <v>2</v>
      </c>
      <c r="G167" s="26">
        <v>3</v>
      </c>
      <c r="H167" s="26">
        <v>4</v>
      </c>
      <c r="I167" s="26">
        <v>5</v>
      </c>
      <c r="J167" s="26">
        <v>6</v>
      </c>
      <c r="K167" s="26">
        <v>7</v>
      </c>
      <c r="L167" s="26">
        <v>8</v>
      </c>
      <c r="M167" s="26">
        <v>9</v>
      </c>
      <c r="N167" s="26">
        <v>10</v>
      </c>
      <c r="O167" s="26">
        <v>11</v>
      </c>
      <c r="P167" s="26">
        <v>12</v>
      </c>
      <c r="Q167" s="26" t="s">
        <v>21</v>
      </c>
      <c r="R167" s="1708"/>
      <c r="S167" s="1713"/>
      <c r="T167" s="26">
        <v>1</v>
      </c>
      <c r="U167" s="26">
        <v>2</v>
      </c>
      <c r="V167" s="26">
        <v>3</v>
      </c>
      <c r="W167" s="26">
        <v>4</v>
      </c>
      <c r="X167" s="26">
        <v>5</v>
      </c>
      <c r="Y167" s="26">
        <v>6</v>
      </c>
      <c r="Z167" s="26">
        <v>7</v>
      </c>
      <c r="AA167" s="26">
        <v>8</v>
      </c>
      <c r="AB167" s="26">
        <v>9</v>
      </c>
      <c r="AC167" s="26">
        <v>10</v>
      </c>
      <c r="AD167" s="26">
        <v>11</v>
      </c>
      <c r="AE167" s="26">
        <v>12</v>
      </c>
      <c r="AF167" s="1713"/>
      <c r="AG167" s="26">
        <v>1</v>
      </c>
      <c r="AH167" s="26">
        <v>2</v>
      </c>
      <c r="AI167" s="26">
        <v>3</v>
      </c>
      <c r="AJ167" s="26">
        <v>4</v>
      </c>
      <c r="AK167" s="26">
        <v>5</v>
      </c>
      <c r="AL167" s="26">
        <v>6</v>
      </c>
      <c r="AM167" s="26">
        <v>7</v>
      </c>
      <c r="AN167" s="26">
        <v>8</v>
      </c>
      <c r="AO167" s="26">
        <v>9</v>
      </c>
      <c r="AP167" s="26">
        <v>10</v>
      </c>
      <c r="AQ167" s="26">
        <v>11</v>
      </c>
      <c r="AR167" s="26">
        <v>12</v>
      </c>
      <c r="AS167" s="26" t="s">
        <v>13</v>
      </c>
      <c r="AT167" s="173">
        <v>1</v>
      </c>
      <c r="AU167" s="173">
        <v>2</v>
      </c>
      <c r="AV167" s="173">
        <v>3</v>
      </c>
      <c r="AW167" s="173">
        <v>4</v>
      </c>
      <c r="AX167" s="173">
        <v>5</v>
      </c>
      <c r="AY167" s="173">
        <v>6</v>
      </c>
      <c r="AZ167" s="173">
        <v>7</v>
      </c>
      <c r="BA167" s="173">
        <v>8</v>
      </c>
      <c r="BB167" s="173">
        <v>9</v>
      </c>
      <c r="BC167" s="173">
        <v>10</v>
      </c>
      <c r="BD167" s="173">
        <v>11</v>
      </c>
      <c r="BE167" s="173">
        <v>12</v>
      </c>
      <c r="BF167" s="26" t="s">
        <v>13</v>
      </c>
      <c r="BG167" s="1708"/>
      <c r="BH167" s="1708"/>
      <c r="BI167" s="1711"/>
      <c r="BJ167" s="7"/>
      <c r="BK167" s="1743" t="s">
        <v>19</v>
      </c>
      <c r="BL167" s="1744"/>
      <c r="BM167" s="1745"/>
      <c r="BN167" s="621"/>
      <c r="BO167" s="173">
        <v>1</v>
      </c>
      <c r="BP167" s="173">
        <v>2</v>
      </c>
      <c r="BQ167" s="173">
        <v>3</v>
      </c>
      <c r="BR167" s="173">
        <v>4</v>
      </c>
      <c r="BS167" s="173">
        <v>5</v>
      </c>
      <c r="BT167" s="173">
        <v>6</v>
      </c>
      <c r="BU167" s="173">
        <v>7</v>
      </c>
      <c r="BV167" s="173">
        <v>8</v>
      </c>
      <c r="BW167" s="173">
        <v>9</v>
      </c>
      <c r="BX167" s="173">
        <v>10</v>
      </c>
      <c r="BY167" s="173">
        <v>11</v>
      </c>
      <c r="BZ167" s="173">
        <v>12</v>
      </c>
      <c r="CA167" s="26" t="s">
        <v>13</v>
      </c>
      <c r="CB167" s="173">
        <v>1</v>
      </c>
      <c r="CC167" s="173">
        <v>2</v>
      </c>
      <c r="CD167" s="173">
        <v>3</v>
      </c>
      <c r="CE167" s="173">
        <v>4</v>
      </c>
      <c r="CF167" s="173">
        <v>5</v>
      </c>
      <c r="CG167" s="173">
        <v>6</v>
      </c>
      <c r="CH167" s="173">
        <v>7</v>
      </c>
      <c r="CI167" s="173">
        <v>8</v>
      </c>
      <c r="CJ167" s="173">
        <v>9</v>
      </c>
      <c r="CK167" s="173">
        <v>10</v>
      </c>
      <c r="CL167" s="173">
        <v>11</v>
      </c>
      <c r="CM167" s="173">
        <v>12</v>
      </c>
      <c r="CN167" s="26" t="s">
        <v>13</v>
      </c>
    </row>
    <row r="168" spans="1:98" s="7" customFormat="1" ht="24.75" customHeight="1" thickBot="1" x14ac:dyDescent="0.25">
      <c r="A168" s="41"/>
      <c r="B168" s="193" t="s">
        <v>453</v>
      </c>
      <c r="C168" s="29" t="s">
        <v>54</v>
      </c>
      <c r="D168" s="668">
        <v>100</v>
      </c>
      <c r="E168" s="837">
        <v>0</v>
      </c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1">
        <f>SUM(E168:P168)</f>
        <v>0</v>
      </c>
      <c r="R168" s="197" t="s">
        <v>31</v>
      </c>
      <c r="S168" s="595">
        <v>10300</v>
      </c>
      <c r="T168" s="84">
        <v>10300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69">
        <f t="shared" ref="AF168" si="807">SUM(Q168*S168)</f>
        <v>0</v>
      </c>
      <c r="AG168" s="862">
        <f>T168*E168</f>
        <v>0</v>
      </c>
      <c r="AH168" s="70">
        <f>U168*F168</f>
        <v>0</v>
      </c>
      <c r="AI168" s="70">
        <f>V168*G168</f>
        <v>0</v>
      </c>
      <c r="AJ168" s="70">
        <f t="shared" ref="AJ168:AR168" si="808">W168*H168</f>
        <v>0</v>
      </c>
      <c r="AK168" s="70">
        <f t="shared" si="808"/>
        <v>0</v>
      </c>
      <c r="AL168" s="70">
        <f t="shared" si="808"/>
        <v>0</v>
      </c>
      <c r="AM168" s="70">
        <f t="shared" si="808"/>
        <v>0</v>
      </c>
      <c r="AN168" s="70">
        <f t="shared" si="808"/>
        <v>0</v>
      </c>
      <c r="AO168" s="70">
        <f t="shared" si="808"/>
        <v>0</v>
      </c>
      <c r="AP168" s="70">
        <f t="shared" si="808"/>
        <v>0</v>
      </c>
      <c r="AQ168" s="70">
        <f t="shared" si="808"/>
        <v>0</v>
      </c>
      <c r="AR168" s="70">
        <f t="shared" si="808"/>
        <v>0</v>
      </c>
      <c r="AS168" s="71">
        <f>SUM(AG168:AR168)</f>
        <v>0</v>
      </c>
      <c r="AT168" s="70">
        <f>SUM(AG168*12%)</f>
        <v>0</v>
      </c>
      <c r="AU168" s="70">
        <f>SUM(AH168*14%)</f>
        <v>0</v>
      </c>
      <c r="AV168" s="70">
        <f>SUM(AI168*14%)</f>
        <v>0</v>
      </c>
      <c r="AW168" s="70">
        <f t="shared" ref="AW168:BE168" si="809">SUM(AJ168*14%)</f>
        <v>0</v>
      </c>
      <c r="AX168" s="70">
        <f t="shared" si="809"/>
        <v>0</v>
      </c>
      <c r="AY168" s="70">
        <f t="shared" si="809"/>
        <v>0</v>
      </c>
      <c r="AZ168" s="70">
        <f t="shared" si="809"/>
        <v>0</v>
      </c>
      <c r="BA168" s="70">
        <f t="shared" si="809"/>
        <v>0</v>
      </c>
      <c r="BB168" s="70">
        <f t="shared" si="809"/>
        <v>0</v>
      </c>
      <c r="BC168" s="70">
        <f t="shared" si="809"/>
        <v>0</v>
      </c>
      <c r="BD168" s="70">
        <f t="shared" si="809"/>
        <v>0</v>
      </c>
      <c r="BE168" s="70">
        <f t="shared" si="809"/>
        <v>0</v>
      </c>
      <c r="BF168" s="72">
        <f t="shared" ref="BF168" si="810">SUM(AT168:BE168)</f>
        <v>0</v>
      </c>
      <c r="BG168" s="73">
        <f>AF168-AS168</f>
        <v>0</v>
      </c>
      <c r="BH168" s="74">
        <f>S168*D168</f>
        <v>1030000</v>
      </c>
      <c r="BI168" s="75">
        <f t="shared" ref="BI168" si="811">BH168-AS168-BF168</f>
        <v>1030000</v>
      </c>
      <c r="BJ168" s="163">
        <f>SUM(Q168/D168)</f>
        <v>0</v>
      </c>
      <c r="BK168" s="1081">
        <f>AG168-AT168</f>
        <v>0</v>
      </c>
      <c r="BL168" s="1081">
        <f>20 *9000</f>
        <v>180000</v>
      </c>
      <c r="BM168" s="1374">
        <f>BK168-BL168</f>
        <v>-180000</v>
      </c>
      <c r="BN168" s="1084"/>
      <c r="BO168" s="862"/>
      <c r="BP168" s="862"/>
      <c r="BQ168" s="862"/>
      <c r="BR168" s="862"/>
      <c r="BS168" s="862"/>
      <c r="BT168" s="862"/>
      <c r="BU168" s="862"/>
      <c r="BV168" s="862"/>
      <c r="BW168" s="1081">
        <f t="shared" ref="BW168:BW169" si="812">SUM(AN168*12.5%)</f>
        <v>0</v>
      </c>
      <c r="BX168" s="862"/>
      <c r="BY168" s="862"/>
      <c r="BZ168" s="862"/>
      <c r="CA168" s="73">
        <f t="shared" ref="CA168" si="813">SUM(BO168:BZ168)</f>
        <v>0</v>
      </c>
      <c r="CB168" s="862"/>
      <c r="CC168" s="862"/>
      <c r="CD168" s="862"/>
      <c r="CE168" s="862"/>
      <c r="CF168" s="862"/>
      <c r="CG168" s="862"/>
      <c r="CH168" s="862"/>
      <c r="CI168" s="862"/>
      <c r="CJ168" s="1081"/>
      <c r="CK168" s="862"/>
      <c r="CL168" s="862"/>
      <c r="CM168" s="862"/>
      <c r="CN168" s="73">
        <f t="shared" ref="CN168:CN169" si="814">SUM(CB168:CM168)</f>
        <v>0</v>
      </c>
    </row>
    <row r="169" spans="1:98" s="38" customFormat="1" ht="24.75" customHeight="1" thickBot="1" x14ac:dyDescent="0.25">
      <c r="A169" s="577">
        <v>13</v>
      </c>
      <c r="B169" s="44" t="s">
        <v>4</v>
      </c>
      <c r="C169" s="44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7"/>
      <c r="R169" s="77"/>
      <c r="S169" s="45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78">
        <f t="shared" ref="AF169:BF169" si="815">SUM(AF168:AF168)</f>
        <v>0</v>
      </c>
      <c r="AG169" s="78">
        <f t="shared" si="815"/>
        <v>0</v>
      </c>
      <c r="AH169" s="78">
        <f t="shared" si="815"/>
        <v>0</v>
      </c>
      <c r="AI169" s="78">
        <f t="shared" si="815"/>
        <v>0</v>
      </c>
      <c r="AJ169" s="78">
        <f t="shared" ref="AJ169:AR169" si="816">SUM(AJ168:AJ168)</f>
        <v>0</v>
      </c>
      <c r="AK169" s="78">
        <f t="shared" si="816"/>
        <v>0</v>
      </c>
      <c r="AL169" s="78">
        <f t="shared" si="816"/>
        <v>0</v>
      </c>
      <c r="AM169" s="78">
        <f t="shared" si="816"/>
        <v>0</v>
      </c>
      <c r="AN169" s="78">
        <f t="shared" si="816"/>
        <v>0</v>
      </c>
      <c r="AO169" s="78">
        <f t="shared" si="816"/>
        <v>0</v>
      </c>
      <c r="AP169" s="78">
        <f t="shared" si="816"/>
        <v>0</v>
      </c>
      <c r="AQ169" s="78">
        <f t="shared" si="816"/>
        <v>0</v>
      </c>
      <c r="AR169" s="78">
        <f t="shared" si="816"/>
        <v>0</v>
      </c>
      <c r="AS169" s="78">
        <f t="shared" si="815"/>
        <v>0</v>
      </c>
      <c r="AT169" s="78">
        <f t="shared" si="815"/>
        <v>0</v>
      </c>
      <c r="AU169" s="78">
        <f t="shared" si="815"/>
        <v>0</v>
      </c>
      <c r="AV169" s="78">
        <f t="shared" si="815"/>
        <v>0</v>
      </c>
      <c r="AW169" s="78">
        <f t="shared" ref="AW169:BE169" si="817">SUM(AW168:AW168)</f>
        <v>0</v>
      </c>
      <c r="AX169" s="78">
        <f t="shared" si="817"/>
        <v>0</v>
      </c>
      <c r="AY169" s="78">
        <f t="shared" si="817"/>
        <v>0</v>
      </c>
      <c r="AZ169" s="78">
        <f t="shared" si="817"/>
        <v>0</v>
      </c>
      <c r="BA169" s="78">
        <f t="shared" si="817"/>
        <v>0</v>
      </c>
      <c r="BB169" s="78">
        <f t="shared" si="817"/>
        <v>0</v>
      </c>
      <c r="BC169" s="78">
        <f t="shared" si="817"/>
        <v>0</v>
      </c>
      <c r="BD169" s="78">
        <f t="shared" si="817"/>
        <v>0</v>
      </c>
      <c r="BE169" s="78">
        <f t="shared" si="817"/>
        <v>0</v>
      </c>
      <c r="BF169" s="78">
        <f t="shared" si="815"/>
        <v>0</v>
      </c>
      <c r="BG169" s="79">
        <f>AF169-AS169</f>
        <v>0</v>
      </c>
      <c r="BH169" s="78">
        <f>SUM(BH168:BH168)</f>
        <v>1030000</v>
      </c>
      <c r="BI169" s="78">
        <f>SUM(BI168:BI168)</f>
        <v>1030000</v>
      </c>
      <c r="BJ169" s="164">
        <v>1</v>
      </c>
      <c r="BK169" s="1107">
        <f>BK168</f>
        <v>0</v>
      </c>
      <c r="BL169" s="1107">
        <f t="shared" ref="BL169:BM169" si="818">BL168</f>
        <v>180000</v>
      </c>
      <c r="BM169" s="1107">
        <f t="shared" si="818"/>
        <v>-180000</v>
      </c>
      <c r="BN169" s="1084"/>
      <c r="BO169" s="862"/>
      <c r="BP169" s="862"/>
      <c r="BQ169" s="862"/>
      <c r="BR169" s="862"/>
      <c r="BS169" s="862"/>
      <c r="BT169" s="862"/>
      <c r="BU169" s="862"/>
      <c r="BV169" s="862"/>
      <c r="BW169" s="1081">
        <f t="shared" si="812"/>
        <v>0</v>
      </c>
      <c r="BX169" s="862"/>
      <c r="BY169" s="862"/>
      <c r="BZ169" s="862"/>
      <c r="CA169" s="73">
        <f t="shared" ref="CA169" si="819">SUM(BO169:BZ169)</f>
        <v>0</v>
      </c>
      <c r="CB169" s="862"/>
      <c r="CC169" s="862"/>
      <c r="CD169" s="862"/>
      <c r="CE169" s="862"/>
      <c r="CF169" s="862"/>
      <c r="CG169" s="862"/>
      <c r="CH169" s="862"/>
      <c r="CI169" s="862"/>
      <c r="CJ169" s="1081"/>
      <c r="CK169" s="862"/>
      <c r="CL169" s="862"/>
      <c r="CM169" s="862"/>
      <c r="CN169" s="73">
        <f t="shared" si="814"/>
        <v>0</v>
      </c>
    </row>
    <row r="170" spans="1:98" s="20" customFormat="1" ht="24.75" customHeight="1" x14ac:dyDescent="0.2">
      <c r="A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AE170" s="40"/>
      <c r="AS170" s="51"/>
      <c r="BF170" s="52">
        <f>SUM(AS169+BF169)</f>
        <v>0</v>
      </c>
      <c r="BG170" s="53">
        <f>AF169-AS169</f>
        <v>0</v>
      </c>
      <c r="BH170" s="54">
        <f>SUM(BI169+AS169+BF169)</f>
        <v>1030000</v>
      </c>
      <c r="BI170" s="55">
        <f>SUM(BG169)</f>
        <v>0</v>
      </c>
      <c r="BJ170" s="40" t="s">
        <v>38</v>
      </c>
      <c r="BK170" s="171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</row>
    <row r="171" spans="1:98" s="20" customFormat="1" ht="24.75" customHeight="1" x14ac:dyDescent="0.2">
      <c r="A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AE171" s="40"/>
      <c r="AS171" s="40"/>
      <c r="AT171" s="388">
        <f>SUM(AG169+AT169)</f>
        <v>0</v>
      </c>
      <c r="AU171" s="388">
        <f t="shared" ref="AU171" si="820">SUM(AH169+AU169)</f>
        <v>0</v>
      </c>
      <c r="AV171" s="388">
        <f t="shared" ref="AV171" si="821">SUM(AI169+AV169)</f>
        <v>0</v>
      </c>
      <c r="AW171" s="388">
        <f t="shared" ref="AW171" si="822">SUM(AJ169+AW169)</f>
        <v>0</v>
      </c>
      <c r="AX171" s="388">
        <f t="shared" ref="AX171" si="823">SUM(AK169+AX169)</f>
        <v>0</v>
      </c>
      <c r="AY171" s="388">
        <f t="shared" ref="AY171" si="824">SUM(AL169+AY169)</f>
        <v>0</v>
      </c>
      <c r="AZ171" s="388">
        <f t="shared" ref="AZ171" si="825">SUM(AM169+AZ169)</f>
        <v>0</v>
      </c>
      <c r="BA171" s="388">
        <f t="shared" ref="BA171" si="826">SUM(AN169+BA169)</f>
        <v>0</v>
      </c>
      <c r="BB171" s="388">
        <f t="shared" ref="BB171" si="827">SUM(AO169+BB169)</f>
        <v>0</v>
      </c>
      <c r="BC171" s="388">
        <f t="shared" ref="BC171" si="828">SUM(AP169+BC169)</f>
        <v>0</v>
      </c>
      <c r="BD171" s="388">
        <f t="shared" ref="BD171" si="829">SUM(AQ169+BD169)</f>
        <v>0</v>
      </c>
      <c r="BE171" s="388">
        <f t="shared" ref="BE171" si="830">SUM(AR169+BE169)</f>
        <v>0</v>
      </c>
      <c r="BF171" s="388">
        <f>SUM(AT171:BE171)</f>
        <v>0</v>
      </c>
      <c r="BG171" s="40"/>
      <c r="BH171" s="56"/>
      <c r="BI171" s="57">
        <f>SUM(BI169-BI170)</f>
        <v>1030000</v>
      </c>
      <c r="BJ171" s="165" t="s">
        <v>37</v>
      </c>
      <c r="BK171" s="171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</row>
    <row r="172" spans="1:98" s="20" customFormat="1" ht="16.5" customHeight="1" x14ac:dyDescent="0.2">
      <c r="A172" s="1730" t="s">
        <v>8</v>
      </c>
      <c r="B172" s="1731"/>
      <c r="C172" s="124" t="s">
        <v>583</v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7"/>
      <c r="AF172" s="23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405"/>
      <c r="AT172" s="406"/>
      <c r="AU172" s="406">
        <f>SUM(AT172+AS172)</f>
        <v>0</v>
      </c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8"/>
      <c r="BG172" s="138"/>
      <c r="BH172" s="135"/>
      <c r="BI172" s="139"/>
      <c r="BJ172" s="23"/>
      <c r="BK172" s="169"/>
      <c r="BL172" s="136"/>
      <c r="BM172" s="136"/>
      <c r="BN172" s="136"/>
      <c r="BO172" s="136"/>
      <c r="BP172" s="137"/>
      <c r="BQ172" s="136"/>
      <c r="BR172" s="136"/>
      <c r="BS172" s="136"/>
      <c r="BT172" s="136"/>
      <c r="BU172" s="136"/>
      <c r="BV172" s="138"/>
      <c r="BW172" s="138"/>
      <c r="BX172" s="138"/>
      <c r="BY172" s="135"/>
      <c r="BZ172" s="139"/>
      <c r="CA172" s="138"/>
      <c r="CB172" s="138"/>
      <c r="CC172" s="24"/>
      <c r="CD172" s="24"/>
      <c r="CE172" s="24"/>
      <c r="CF172" s="24"/>
      <c r="CG172" s="24"/>
      <c r="CH172" s="140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</row>
    <row r="173" spans="1:98" s="8" customFormat="1" ht="48.75" customHeight="1" x14ac:dyDescent="0.2">
      <c r="A173" s="1703" t="s">
        <v>10</v>
      </c>
      <c r="B173" s="1706" t="s">
        <v>11</v>
      </c>
      <c r="C173" s="1706" t="s">
        <v>22</v>
      </c>
      <c r="D173" s="1721" t="s">
        <v>12</v>
      </c>
      <c r="E173" s="1721"/>
      <c r="F173" s="1721"/>
      <c r="G173" s="1721"/>
      <c r="H173" s="1721"/>
      <c r="I173" s="1721"/>
      <c r="J173" s="1721"/>
      <c r="K173" s="1721"/>
      <c r="L173" s="1721"/>
      <c r="M173" s="1721"/>
      <c r="N173" s="1721"/>
      <c r="O173" s="1721"/>
      <c r="P173" s="1721"/>
      <c r="Q173" s="1721"/>
      <c r="R173" s="1706" t="s">
        <v>20</v>
      </c>
      <c r="S173" s="1717" t="s">
        <v>17</v>
      </c>
      <c r="T173" s="1718"/>
      <c r="U173" s="1718"/>
      <c r="V173" s="1718"/>
      <c r="W173" s="1718"/>
      <c r="X173" s="1718"/>
      <c r="Y173" s="1718"/>
      <c r="Z173" s="1718"/>
      <c r="AA173" s="1718"/>
      <c r="AB173" s="1718"/>
      <c r="AC173" s="1718"/>
      <c r="AD173" s="1718"/>
      <c r="AE173" s="1719"/>
      <c r="AF173" s="1720" t="s">
        <v>6</v>
      </c>
      <c r="AG173" s="1720"/>
      <c r="AH173" s="1720"/>
      <c r="AI173" s="1720"/>
      <c r="AJ173" s="1720"/>
      <c r="AK173" s="1720"/>
      <c r="AL173" s="1720"/>
      <c r="AM173" s="1720"/>
      <c r="AN173" s="1720"/>
      <c r="AO173" s="1720"/>
      <c r="AP173" s="1720"/>
      <c r="AQ173" s="1720"/>
      <c r="AR173" s="1720"/>
      <c r="AS173" s="1720"/>
      <c r="AT173" s="1722" t="s">
        <v>41</v>
      </c>
      <c r="AU173" s="1723"/>
      <c r="AV173" s="1723"/>
      <c r="AW173" s="1723"/>
      <c r="AX173" s="1723"/>
      <c r="AY173" s="1723"/>
      <c r="AZ173" s="1723"/>
      <c r="BA173" s="1723"/>
      <c r="BB173" s="1723"/>
      <c r="BC173" s="1723"/>
      <c r="BD173" s="1723"/>
      <c r="BE173" s="1723"/>
      <c r="BF173" s="1724"/>
      <c r="BG173" s="1706" t="s">
        <v>38</v>
      </c>
      <c r="BH173" s="1706" t="s">
        <v>256</v>
      </c>
      <c r="BI173" s="1709" t="s">
        <v>39</v>
      </c>
      <c r="BJ173" s="135"/>
      <c r="BK173" s="135"/>
      <c r="BL173" s="135"/>
      <c r="BM173" s="135"/>
      <c r="BN173" s="135"/>
      <c r="BO173" s="1733" t="s">
        <v>41</v>
      </c>
      <c r="BP173" s="1734"/>
      <c r="BQ173" s="1734"/>
      <c r="BR173" s="1734"/>
      <c r="BS173" s="1734"/>
      <c r="BT173" s="1734"/>
      <c r="BU173" s="1734"/>
      <c r="BV173" s="1734"/>
      <c r="BW173" s="1734"/>
      <c r="BX173" s="1734"/>
      <c r="BY173" s="1734"/>
      <c r="BZ173" s="1734"/>
      <c r="CA173" s="1734"/>
      <c r="CB173" s="1734"/>
      <c r="CC173" s="1734"/>
      <c r="CD173" s="1734"/>
      <c r="CE173" s="1734"/>
      <c r="CF173" s="1734"/>
      <c r="CG173" s="1734"/>
      <c r="CH173" s="1734"/>
      <c r="CI173" s="1734"/>
      <c r="CJ173" s="1734"/>
      <c r="CK173" s="1734"/>
      <c r="CL173" s="1734"/>
      <c r="CM173" s="1734"/>
      <c r="CN173" s="1735"/>
    </row>
    <row r="174" spans="1:98" s="8" customFormat="1" ht="48.75" customHeight="1" x14ac:dyDescent="0.2">
      <c r="A174" s="1704"/>
      <c r="B174" s="1707"/>
      <c r="C174" s="1707"/>
      <c r="D174" s="1712" t="s">
        <v>18</v>
      </c>
      <c r="E174" s="1714" t="s">
        <v>19</v>
      </c>
      <c r="F174" s="1715"/>
      <c r="G174" s="1715"/>
      <c r="H174" s="1715"/>
      <c r="I174" s="1715"/>
      <c r="J174" s="1715"/>
      <c r="K174" s="1715"/>
      <c r="L174" s="1715"/>
      <c r="M174" s="1715"/>
      <c r="N174" s="1715"/>
      <c r="O174" s="1715"/>
      <c r="P174" s="1715"/>
      <c r="Q174" s="1715"/>
      <c r="R174" s="1707"/>
      <c r="S174" s="1712" t="s">
        <v>18</v>
      </c>
      <c r="T174" s="1714" t="s">
        <v>19</v>
      </c>
      <c r="U174" s="1715"/>
      <c r="V174" s="1715"/>
      <c r="W174" s="1715"/>
      <c r="X174" s="1715"/>
      <c r="Y174" s="1715"/>
      <c r="Z174" s="1715"/>
      <c r="AA174" s="1715"/>
      <c r="AB174" s="1715"/>
      <c r="AC174" s="1715"/>
      <c r="AD174" s="1715"/>
      <c r="AE174" s="1716"/>
      <c r="AF174" s="1712" t="s">
        <v>18</v>
      </c>
      <c r="AG174" s="1714" t="s">
        <v>19</v>
      </c>
      <c r="AH174" s="1715"/>
      <c r="AI174" s="1715"/>
      <c r="AJ174" s="1715"/>
      <c r="AK174" s="1715"/>
      <c r="AL174" s="1715"/>
      <c r="AM174" s="1715"/>
      <c r="AN174" s="1715"/>
      <c r="AO174" s="1715"/>
      <c r="AP174" s="1715"/>
      <c r="AQ174" s="1715"/>
      <c r="AR174" s="1715"/>
      <c r="AS174" s="1716"/>
      <c r="AT174" s="1725"/>
      <c r="AU174" s="1726"/>
      <c r="AV174" s="1726"/>
      <c r="AW174" s="1726"/>
      <c r="AX174" s="1726"/>
      <c r="AY174" s="1726"/>
      <c r="AZ174" s="1726"/>
      <c r="BA174" s="1726"/>
      <c r="BB174" s="1726"/>
      <c r="BC174" s="1726"/>
      <c r="BD174" s="1726"/>
      <c r="BE174" s="1726"/>
      <c r="BF174" s="1727"/>
      <c r="BG174" s="1707"/>
      <c r="BH174" s="1707"/>
      <c r="BI174" s="1710"/>
      <c r="BJ174" s="135"/>
      <c r="BK174" s="1736">
        <f>SUM(BK176/60)</f>
        <v>0</v>
      </c>
      <c r="BL174" s="1736"/>
      <c r="BM174" s="1736"/>
      <c r="BN174" s="23"/>
      <c r="BO174" s="1737" t="s">
        <v>686</v>
      </c>
      <c r="BP174" s="1738"/>
      <c r="BQ174" s="1738"/>
      <c r="BR174" s="1738"/>
      <c r="BS174" s="1738"/>
      <c r="BT174" s="1738"/>
      <c r="BU174" s="1738"/>
      <c r="BV174" s="1738"/>
      <c r="BW174" s="1738"/>
      <c r="BX174" s="1738"/>
      <c r="BY174" s="1738"/>
      <c r="BZ174" s="1738"/>
      <c r="CA174" s="1739"/>
      <c r="CB174" s="1740" t="s">
        <v>687</v>
      </c>
      <c r="CC174" s="1741"/>
      <c r="CD174" s="1741"/>
      <c r="CE174" s="1741"/>
      <c r="CF174" s="1741"/>
      <c r="CG174" s="1741"/>
      <c r="CH174" s="1741"/>
      <c r="CI174" s="1741"/>
      <c r="CJ174" s="1741"/>
      <c r="CK174" s="1741"/>
      <c r="CL174" s="1741"/>
      <c r="CM174" s="1741"/>
      <c r="CN174" s="1742"/>
    </row>
    <row r="175" spans="1:98" s="6" customFormat="1" ht="28.5" customHeight="1" x14ac:dyDescent="0.2">
      <c r="A175" s="1705"/>
      <c r="B175" s="1708"/>
      <c r="C175" s="1708"/>
      <c r="D175" s="1713"/>
      <c r="E175" s="26">
        <v>1</v>
      </c>
      <c r="F175" s="26">
        <v>2</v>
      </c>
      <c r="G175" s="26">
        <v>3</v>
      </c>
      <c r="H175" s="26">
        <v>4</v>
      </c>
      <c r="I175" s="26">
        <v>5</v>
      </c>
      <c r="J175" s="26">
        <v>6</v>
      </c>
      <c r="K175" s="26">
        <v>7</v>
      </c>
      <c r="L175" s="26">
        <v>8</v>
      </c>
      <c r="M175" s="26">
        <v>9</v>
      </c>
      <c r="N175" s="26">
        <v>10</v>
      </c>
      <c r="O175" s="26">
        <v>11</v>
      </c>
      <c r="P175" s="26">
        <v>12</v>
      </c>
      <c r="Q175" s="26" t="s">
        <v>21</v>
      </c>
      <c r="R175" s="1708"/>
      <c r="S175" s="1713"/>
      <c r="T175" s="26">
        <v>1</v>
      </c>
      <c r="U175" s="26">
        <v>2</v>
      </c>
      <c r="V175" s="26">
        <v>3</v>
      </c>
      <c r="W175" s="26">
        <v>4</v>
      </c>
      <c r="X175" s="26">
        <v>5</v>
      </c>
      <c r="Y175" s="26">
        <v>6</v>
      </c>
      <c r="Z175" s="26">
        <v>7</v>
      </c>
      <c r="AA175" s="26">
        <v>8</v>
      </c>
      <c r="AB175" s="26">
        <v>9</v>
      </c>
      <c r="AC175" s="26">
        <v>10</v>
      </c>
      <c r="AD175" s="26">
        <v>11</v>
      </c>
      <c r="AE175" s="26">
        <v>12</v>
      </c>
      <c r="AF175" s="1713"/>
      <c r="AG175" s="26">
        <v>1</v>
      </c>
      <c r="AH175" s="26">
        <v>2</v>
      </c>
      <c r="AI175" s="26">
        <v>3</v>
      </c>
      <c r="AJ175" s="26">
        <v>4</v>
      </c>
      <c r="AK175" s="26">
        <v>5</v>
      </c>
      <c r="AL175" s="26">
        <v>6</v>
      </c>
      <c r="AM175" s="26">
        <v>7</v>
      </c>
      <c r="AN175" s="26">
        <v>8</v>
      </c>
      <c r="AO175" s="26">
        <v>9</v>
      </c>
      <c r="AP175" s="26">
        <v>10</v>
      </c>
      <c r="AQ175" s="26">
        <v>11</v>
      </c>
      <c r="AR175" s="26">
        <v>12</v>
      </c>
      <c r="AS175" s="26" t="s">
        <v>13</v>
      </c>
      <c r="AT175" s="173">
        <v>1</v>
      </c>
      <c r="AU175" s="173">
        <v>2</v>
      </c>
      <c r="AV175" s="173">
        <v>3</v>
      </c>
      <c r="AW175" s="173">
        <v>4</v>
      </c>
      <c r="AX175" s="173">
        <v>5</v>
      </c>
      <c r="AY175" s="173">
        <v>6</v>
      </c>
      <c r="AZ175" s="173">
        <v>7</v>
      </c>
      <c r="BA175" s="173">
        <v>8</v>
      </c>
      <c r="BB175" s="173">
        <v>9</v>
      </c>
      <c r="BC175" s="173">
        <v>10</v>
      </c>
      <c r="BD175" s="173">
        <v>11</v>
      </c>
      <c r="BE175" s="173">
        <v>12</v>
      </c>
      <c r="BF175" s="26" t="s">
        <v>13</v>
      </c>
      <c r="BG175" s="1708"/>
      <c r="BH175" s="1708"/>
      <c r="BI175" s="1711"/>
      <c r="BJ175" s="7"/>
      <c r="BK175" s="1743" t="s">
        <v>19</v>
      </c>
      <c r="BL175" s="1744"/>
      <c r="BM175" s="1745"/>
      <c r="BN175" s="621"/>
      <c r="BO175" s="173">
        <v>1</v>
      </c>
      <c r="BP175" s="173">
        <v>2</v>
      </c>
      <c r="BQ175" s="173">
        <v>3</v>
      </c>
      <c r="BR175" s="173">
        <v>4</v>
      </c>
      <c r="BS175" s="173">
        <v>5</v>
      </c>
      <c r="BT175" s="173">
        <v>6</v>
      </c>
      <c r="BU175" s="173">
        <v>7</v>
      </c>
      <c r="BV175" s="173">
        <v>8</v>
      </c>
      <c r="BW175" s="173">
        <v>9</v>
      </c>
      <c r="BX175" s="173">
        <v>10</v>
      </c>
      <c r="BY175" s="173">
        <v>11</v>
      </c>
      <c r="BZ175" s="173">
        <v>12</v>
      </c>
      <c r="CA175" s="26" t="s">
        <v>13</v>
      </c>
      <c r="CB175" s="173">
        <v>1</v>
      </c>
      <c r="CC175" s="173">
        <v>2</v>
      </c>
      <c r="CD175" s="173">
        <v>3</v>
      </c>
      <c r="CE175" s="173">
        <v>4</v>
      </c>
      <c r="CF175" s="173">
        <v>5</v>
      </c>
      <c r="CG175" s="173">
        <v>6</v>
      </c>
      <c r="CH175" s="173">
        <v>7</v>
      </c>
      <c r="CI175" s="173">
        <v>8</v>
      </c>
      <c r="CJ175" s="173">
        <v>9</v>
      </c>
      <c r="CK175" s="173">
        <v>10</v>
      </c>
      <c r="CL175" s="173">
        <v>11</v>
      </c>
      <c r="CM175" s="173">
        <v>12</v>
      </c>
      <c r="CN175" s="26" t="s">
        <v>13</v>
      </c>
    </row>
    <row r="176" spans="1:98" s="7" customFormat="1" ht="24.75" customHeight="1" x14ac:dyDescent="0.2">
      <c r="A176" s="41"/>
      <c r="B176" s="198" t="s">
        <v>580</v>
      </c>
      <c r="C176" s="829" t="s">
        <v>25</v>
      </c>
      <c r="D176" s="147">
        <v>1</v>
      </c>
      <c r="E176" s="82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1">
        <f>SUM(E176:P176)</f>
        <v>0</v>
      </c>
      <c r="R176" s="594" t="s">
        <v>50</v>
      </c>
      <c r="S176" s="595">
        <v>7451000</v>
      </c>
      <c r="T176" s="84"/>
      <c r="U176" s="84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69">
        <f>SUM(Q176*S176)</f>
        <v>0</v>
      </c>
      <c r="AG176" s="70">
        <f>T176*E176</f>
        <v>0</v>
      </c>
      <c r="AH176" s="70">
        <f>U176*F176</f>
        <v>0</v>
      </c>
      <c r="AI176" s="70">
        <f>V176*G176</f>
        <v>0</v>
      </c>
      <c r="AJ176" s="70">
        <f t="shared" ref="AJ176:AR176" si="831">W176*H176</f>
        <v>0</v>
      </c>
      <c r="AK176" s="70">
        <f t="shared" si="831"/>
        <v>0</v>
      </c>
      <c r="AL176" s="70">
        <f t="shared" si="831"/>
        <v>0</v>
      </c>
      <c r="AM176" s="70">
        <f t="shared" si="831"/>
        <v>0</v>
      </c>
      <c r="AN176" s="70">
        <f t="shared" si="831"/>
        <v>0</v>
      </c>
      <c r="AO176" s="70">
        <f t="shared" si="831"/>
        <v>0</v>
      </c>
      <c r="AP176" s="70">
        <f t="shared" si="831"/>
        <v>0</v>
      </c>
      <c r="AQ176" s="70">
        <f t="shared" si="831"/>
        <v>0</v>
      </c>
      <c r="AR176" s="70">
        <f t="shared" si="831"/>
        <v>0</v>
      </c>
      <c r="AS176" s="71">
        <f>SUM(AG176:AR176)</f>
        <v>0</v>
      </c>
      <c r="AT176" s="70">
        <f>SUM(AG176*4%)</f>
        <v>0</v>
      </c>
      <c r="AU176" s="70">
        <f>SUM(AH176*4%)</f>
        <v>0</v>
      </c>
      <c r="AV176" s="70">
        <f t="shared" ref="AV176:BE176" si="832">SUM(AI176*14%)</f>
        <v>0</v>
      </c>
      <c r="AW176" s="70">
        <f t="shared" si="832"/>
        <v>0</v>
      </c>
      <c r="AX176" s="70">
        <f t="shared" si="832"/>
        <v>0</v>
      </c>
      <c r="AY176" s="70">
        <f t="shared" si="832"/>
        <v>0</v>
      </c>
      <c r="AZ176" s="70">
        <f t="shared" si="832"/>
        <v>0</v>
      </c>
      <c r="BA176" s="70">
        <f t="shared" si="832"/>
        <v>0</v>
      </c>
      <c r="BB176" s="70">
        <f t="shared" si="832"/>
        <v>0</v>
      </c>
      <c r="BC176" s="70">
        <f t="shared" si="832"/>
        <v>0</v>
      </c>
      <c r="BD176" s="70">
        <f t="shared" si="832"/>
        <v>0</v>
      </c>
      <c r="BE176" s="70">
        <f t="shared" si="832"/>
        <v>0</v>
      </c>
      <c r="BF176" s="72">
        <f t="shared" ref="BF176" si="833">SUM(AT176:BE176)</f>
        <v>0</v>
      </c>
      <c r="BG176" s="73">
        <f>AF176-AS176-BF176</f>
        <v>0</v>
      </c>
      <c r="BH176" s="74">
        <f>S176*D176</f>
        <v>7451000</v>
      </c>
      <c r="BI176" s="75">
        <f t="shared" ref="BI176" si="834">BH176-AS176-BF176</f>
        <v>7451000</v>
      </c>
      <c r="BJ176" s="163">
        <f>SUM(Q176/D176)</f>
        <v>0</v>
      </c>
      <c r="BK176" s="1081"/>
      <c r="BL176" s="1081"/>
      <c r="BM176" s="1083"/>
      <c r="BN176" s="1084"/>
      <c r="BO176" s="862"/>
      <c r="BP176" s="862"/>
      <c r="BQ176" s="862"/>
      <c r="BR176" s="862"/>
      <c r="BS176" s="862"/>
      <c r="BT176" s="862"/>
      <c r="BU176" s="862"/>
      <c r="BV176" s="862"/>
      <c r="BW176" s="1081">
        <f t="shared" ref="BW176:BW177" si="835">SUM(AN176*12.5%)</f>
        <v>0</v>
      </c>
      <c r="BX176" s="862"/>
      <c r="BY176" s="862"/>
      <c r="BZ176" s="862"/>
      <c r="CA176" s="73">
        <f t="shared" ref="CA176" si="836">SUM(BO176:BZ176)</f>
        <v>0</v>
      </c>
      <c r="CB176" s="862"/>
      <c r="CC176" s="862"/>
      <c r="CD176" s="862"/>
      <c r="CE176" s="862"/>
      <c r="CF176" s="862"/>
      <c r="CG176" s="862"/>
      <c r="CH176" s="862"/>
      <c r="CI176" s="862"/>
      <c r="CJ176" s="1081"/>
      <c r="CK176" s="862"/>
      <c r="CL176" s="862"/>
      <c r="CM176" s="862"/>
      <c r="CN176" s="73">
        <f t="shared" ref="CN176:CN177" si="837">SUM(CB176:CM176)</f>
        <v>0</v>
      </c>
    </row>
    <row r="177" spans="1:98" s="7" customFormat="1" ht="24.75" customHeight="1" thickBot="1" x14ac:dyDescent="0.25">
      <c r="A177" s="41"/>
      <c r="B177" s="198" t="s">
        <v>581</v>
      </c>
      <c r="C177" s="829" t="s">
        <v>25</v>
      </c>
      <c r="D177" s="147">
        <v>1</v>
      </c>
      <c r="E177" s="1152">
        <v>1</v>
      </c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1">
        <f t="shared" ref="Q177" si="838">SUM(E177:P177)</f>
        <v>1</v>
      </c>
      <c r="R177" s="594" t="s">
        <v>50</v>
      </c>
      <c r="S177" s="595">
        <v>5000000</v>
      </c>
      <c r="T177" s="1153">
        <v>439000</v>
      </c>
      <c r="U177" s="84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69">
        <f t="shared" ref="AF177" si="839">SUM(Q177*S177)</f>
        <v>5000000</v>
      </c>
      <c r="AG177" s="70">
        <f t="shared" ref="AG177" si="840">T177*E177</f>
        <v>439000</v>
      </c>
      <c r="AH177" s="70">
        <f t="shared" ref="AH177" si="841">U177*F177</f>
        <v>0</v>
      </c>
      <c r="AI177" s="70">
        <f t="shared" ref="AI177" si="842">V177*G177</f>
        <v>0</v>
      </c>
      <c r="AJ177" s="70">
        <f t="shared" ref="AJ177" si="843">W177*H177</f>
        <v>0</v>
      </c>
      <c r="AK177" s="70">
        <f t="shared" ref="AK177" si="844">X177*I177</f>
        <v>0</v>
      </c>
      <c r="AL177" s="70">
        <f t="shared" ref="AL177" si="845">Y177*J177</f>
        <v>0</v>
      </c>
      <c r="AM177" s="70">
        <f t="shared" ref="AM177" si="846">Z177*K177</f>
        <v>0</v>
      </c>
      <c r="AN177" s="70">
        <f t="shared" ref="AN177" si="847">AA177*L177</f>
        <v>0</v>
      </c>
      <c r="AO177" s="70">
        <f t="shared" ref="AO177" si="848">AB177*M177</f>
        <v>0</v>
      </c>
      <c r="AP177" s="70">
        <f t="shared" ref="AP177" si="849">AC177*N177</f>
        <v>0</v>
      </c>
      <c r="AQ177" s="70">
        <f t="shared" ref="AQ177" si="850">AD177*O177</f>
        <v>0</v>
      </c>
      <c r="AR177" s="70">
        <f t="shared" ref="AR177" si="851">AE177*P177</f>
        <v>0</v>
      </c>
      <c r="AS177" s="71">
        <f t="shared" ref="AS177" si="852">SUM(AG177:AR177)</f>
        <v>439000</v>
      </c>
      <c r="AT177" s="70"/>
      <c r="AU177" s="70">
        <f t="shared" ref="AU177" si="853">SUM(AH177*4%)</f>
        <v>0</v>
      </c>
      <c r="AV177" s="70">
        <f t="shared" ref="AV177" si="854">SUM(AI177*14%)</f>
        <v>0</v>
      </c>
      <c r="AW177" s="70">
        <f t="shared" ref="AW177" si="855">SUM(AJ177*14%)</f>
        <v>0</v>
      </c>
      <c r="AX177" s="70">
        <f t="shared" ref="AX177" si="856">SUM(AK177*14%)</f>
        <v>0</v>
      </c>
      <c r="AY177" s="70">
        <f t="shared" ref="AY177" si="857">SUM(AL177*14%)</f>
        <v>0</v>
      </c>
      <c r="AZ177" s="70">
        <f t="shared" ref="AZ177" si="858">SUM(AM177*14%)</f>
        <v>0</v>
      </c>
      <c r="BA177" s="70">
        <f t="shared" ref="BA177" si="859">SUM(AN177*14%)</f>
        <v>0</v>
      </c>
      <c r="BB177" s="70">
        <f t="shared" ref="BB177" si="860">SUM(AO177*14%)</f>
        <v>0</v>
      </c>
      <c r="BC177" s="70">
        <f t="shared" ref="BC177" si="861">SUM(AP177*14%)</f>
        <v>0</v>
      </c>
      <c r="BD177" s="70">
        <f t="shared" ref="BD177" si="862">SUM(AQ177*14%)</f>
        <v>0</v>
      </c>
      <c r="BE177" s="70">
        <f t="shared" ref="BE177" si="863">SUM(AR177*14%)</f>
        <v>0</v>
      </c>
      <c r="BF177" s="72">
        <f t="shared" ref="BF177" si="864">SUM(AT177:BE177)</f>
        <v>0</v>
      </c>
      <c r="BG177" s="73">
        <f t="shared" ref="BG177" si="865">AF177-AS177-BF177</f>
        <v>4561000</v>
      </c>
      <c r="BH177" s="74">
        <f t="shared" ref="BH177" si="866">S177*D177</f>
        <v>5000000</v>
      </c>
      <c r="BI177" s="75">
        <f t="shared" ref="BI177" si="867">BH177-AS177-BF177</f>
        <v>4561000</v>
      </c>
      <c r="BJ177" s="163">
        <f t="shared" ref="BJ177" si="868">SUM(Q177/D177)</f>
        <v>1</v>
      </c>
      <c r="BK177" s="1081"/>
      <c r="BL177" s="1081"/>
      <c r="BM177" s="1083"/>
      <c r="BN177" s="1084"/>
      <c r="BO177" s="862"/>
      <c r="BP177" s="862"/>
      <c r="BQ177" s="862"/>
      <c r="BR177" s="862"/>
      <c r="BS177" s="862"/>
      <c r="BT177" s="862"/>
      <c r="BU177" s="862"/>
      <c r="BV177" s="862"/>
      <c r="BW177" s="1081">
        <f t="shared" si="835"/>
        <v>0</v>
      </c>
      <c r="BX177" s="862"/>
      <c r="BY177" s="862"/>
      <c r="BZ177" s="862"/>
      <c r="CA177" s="73">
        <f t="shared" ref="CA177" si="869">SUM(BO177:BZ177)</f>
        <v>0</v>
      </c>
      <c r="CB177" s="862"/>
      <c r="CC177" s="862"/>
      <c r="CD177" s="862"/>
      <c r="CE177" s="862"/>
      <c r="CF177" s="862"/>
      <c r="CG177" s="862"/>
      <c r="CH177" s="862"/>
      <c r="CI177" s="862"/>
      <c r="CJ177" s="1081"/>
      <c r="CK177" s="862"/>
      <c r="CL177" s="862"/>
      <c r="CM177" s="862"/>
      <c r="CN177" s="73">
        <f t="shared" si="837"/>
        <v>0</v>
      </c>
    </row>
    <row r="178" spans="1:98" s="38" customFormat="1" ht="24.75" customHeight="1" thickBot="1" x14ac:dyDescent="0.25">
      <c r="A178" s="577">
        <v>14</v>
      </c>
      <c r="B178" s="44" t="s">
        <v>4</v>
      </c>
      <c r="C178" s="44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7"/>
      <c r="R178" s="77"/>
      <c r="S178" s="45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78">
        <f>SUM(AF176:AF177)</f>
        <v>5000000</v>
      </c>
      <c r="AG178" s="78">
        <f>SUM(AG176:AG177)</f>
        <v>439000</v>
      </c>
      <c r="AH178" s="78">
        <f t="shared" ref="AH178:BG178" si="870">SUM(AH176:AH177)</f>
        <v>0</v>
      </c>
      <c r="AI178" s="78">
        <f t="shared" si="870"/>
        <v>0</v>
      </c>
      <c r="AJ178" s="78">
        <f t="shared" si="870"/>
        <v>0</v>
      </c>
      <c r="AK178" s="78">
        <f t="shared" si="870"/>
        <v>0</v>
      </c>
      <c r="AL178" s="78">
        <f t="shared" si="870"/>
        <v>0</v>
      </c>
      <c r="AM178" s="78">
        <f t="shared" si="870"/>
        <v>0</v>
      </c>
      <c r="AN178" s="78">
        <f t="shared" si="870"/>
        <v>0</v>
      </c>
      <c r="AO178" s="78">
        <f t="shared" si="870"/>
        <v>0</v>
      </c>
      <c r="AP178" s="78">
        <f t="shared" si="870"/>
        <v>0</v>
      </c>
      <c r="AQ178" s="78">
        <f t="shared" si="870"/>
        <v>0</v>
      </c>
      <c r="AR178" s="78">
        <f t="shared" si="870"/>
        <v>0</v>
      </c>
      <c r="AS178" s="78">
        <f t="shared" si="870"/>
        <v>439000</v>
      </c>
      <c r="AT178" s="78">
        <f t="shared" si="870"/>
        <v>0</v>
      </c>
      <c r="AU178" s="78">
        <f t="shared" si="870"/>
        <v>0</v>
      </c>
      <c r="AV178" s="78">
        <f t="shared" si="870"/>
        <v>0</v>
      </c>
      <c r="AW178" s="78">
        <f t="shared" si="870"/>
        <v>0</v>
      </c>
      <c r="AX178" s="78">
        <f t="shared" si="870"/>
        <v>0</v>
      </c>
      <c r="AY178" s="78">
        <f t="shared" si="870"/>
        <v>0</v>
      </c>
      <c r="AZ178" s="78">
        <f t="shared" si="870"/>
        <v>0</v>
      </c>
      <c r="BA178" s="78">
        <f t="shared" si="870"/>
        <v>0</v>
      </c>
      <c r="BB178" s="78">
        <f t="shared" si="870"/>
        <v>0</v>
      </c>
      <c r="BC178" s="78">
        <f t="shared" si="870"/>
        <v>0</v>
      </c>
      <c r="BD178" s="78">
        <f t="shared" si="870"/>
        <v>0</v>
      </c>
      <c r="BE178" s="78">
        <f t="shared" si="870"/>
        <v>0</v>
      </c>
      <c r="BF178" s="78">
        <f t="shared" si="870"/>
        <v>0</v>
      </c>
      <c r="BG178" s="78">
        <f t="shared" si="870"/>
        <v>4561000</v>
      </c>
      <c r="BH178" s="78">
        <f>SUM(BH176:BH177)</f>
        <v>12451000</v>
      </c>
      <c r="BI178" s="78">
        <f>SUM(BI176:BI177)</f>
        <v>12012000</v>
      </c>
      <c r="BJ178" s="164">
        <v>1</v>
      </c>
      <c r="BK178" s="1081"/>
      <c r="BL178" s="1081"/>
      <c r="BM178" s="1083"/>
      <c r="BN178" s="1084"/>
      <c r="BO178" s="862"/>
      <c r="BP178" s="862"/>
      <c r="BQ178" s="862"/>
      <c r="BR178" s="862"/>
      <c r="BS178" s="862"/>
      <c r="BT178" s="862"/>
      <c r="BU178" s="862"/>
      <c r="BV178" s="862"/>
      <c r="BW178" s="1081">
        <f t="shared" ref="BW178" si="871">SUM(AN178*12.5%)</f>
        <v>0</v>
      </c>
      <c r="BX178" s="862"/>
      <c r="BY178" s="862"/>
      <c r="BZ178" s="862"/>
      <c r="CA178" s="73">
        <f t="shared" ref="CA178" si="872">SUM(BO178:BZ178)</f>
        <v>0</v>
      </c>
      <c r="CB178" s="862"/>
      <c r="CC178" s="862"/>
      <c r="CD178" s="862"/>
      <c r="CE178" s="862"/>
      <c r="CF178" s="862"/>
      <c r="CG178" s="862"/>
      <c r="CH178" s="862"/>
      <c r="CI178" s="862"/>
      <c r="CJ178" s="1081"/>
      <c r="CK178" s="862"/>
      <c r="CL178" s="862"/>
      <c r="CM178" s="862"/>
      <c r="CN178" s="73">
        <f t="shared" ref="CN178" si="873">SUM(CB178:CM178)</f>
        <v>0</v>
      </c>
    </row>
    <row r="179" spans="1:98" s="20" customFormat="1" ht="24.75" customHeight="1" x14ac:dyDescent="0.2">
      <c r="A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AE179" s="40"/>
      <c r="AS179" s="51"/>
      <c r="BF179" s="52">
        <f>SUM(AS178+BF178)</f>
        <v>439000</v>
      </c>
      <c r="BG179" s="53">
        <f>AF178-AS178-BF178</f>
        <v>4561000</v>
      </c>
      <c r="BH179" s="54">
        <f>SUM(BI178+AS178+BF178)</f>
        <v>12451000</v>
      </c>
      <c r="BI179" s="55">
        <f>SUM(BG178)</f>
        <v>4561000</v>
      </c>
      <c r="BJ179" s="40" t="s">
        <v>38</v>
      </c>
      <c r="BK179" s="171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</row>
    <row r="180" spans="1:98" s="20" customFormat="1" ht="24.75" customHeight="1" x14ac:dyDescent="0.2">
      <c r="A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AE180" s="40"/>
      <c r="AS180" s="40"/>
      <c r="AT180" s="388">
        <f>SUM(AG178+AT178)</f>
        <v>439000</v>
      </c>
      <c r="AU180" s="388">
        <f t="shared" ref="AU180" si="874">SUM(AH178+AU178)</f>
        <v>0</v>
      </c>
      <c r="AV180" s="388">
        <f t="shared" ref="AV180" si="875">SUM(AI178+AV178)</f>
        <v>0</v>
      </c>
      <c r="AW180" s="388">
        <f t="shared" ref="AW180" si="876">SUM(AJ178+AW178)</f>
        <v>0</v>
      </c>
      <c r="AX180" s="388">
        <f t="shared" ref="AX180" si="877">SUM(AK178+AX178)</f>
        <v>0</v>
      </c>
      <c r="AY180" s="388">
        <f t="shared" ref="AY180" si="878">SUM(AL178+AY178)</f>
        <v>0</v>
      </c>
      <c r="AZ180" s="388">
        <f t="shared" ref="AZ180" si="879">SUM(AM178+AZ178)</f>
        <v>0</v>
      </c>
      <c r="BA180" s="388">
        <f t="shared" ref="BA180" si="880">SUM(AN178+BA178)</f>
        <v>0</v>
      </c>
      <c r="BB180" s="388">
        <f t="shared" ref="BB180" si="881">SUM(AO178+BB178)</f>
        <v>0</v>
      </c>
      <c r="BC180" s="388">
        <f t="shared" ref="BC180" si="882">SUM(AP178+BC178)</f>
        <v>0</v>
      </c>
      <c r="BD180" s="388">
        <f t="shared" ref="BD180" si="883">SUM(AQ178+BD178)</f>
        <v>0</v>
      </c>
      <c r="BE180" s="388">
        <f t="shared" ref="BE180" si="884">SUM(AR178+BE178)</f>
        <v>0</v>
      </c>
      <c r="BF180" s="388">
        <f>SUM(AT180:BE180)</f>
        <v>439000</v>
      </c>
      <c r="BG180" s="40"/>
      <c r="BH180" s="56"/>
      <c r="BI180" s="57">
        <f>SUM(BI178-BI179)</f>
        <v>7451000</v>
      </c>
      <c r="BJ180" s="165" t="s">
        <v>37</v>
      </c>
      <c r="BK180" s="171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</row>
    <row r="181" spans="1:98" s="20" customFormat="1" ht="16.5" customHeight="1" x14ac:dyDescent="0.2">
      <c r="A181" s="1730" t="s">
        <v>8</v>
      </c>
      <c r="B181" s="1731"/>
      <c r="C181" s="124" t="s">
        <v>586</v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7"/>
      <c r="AF181" s="23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405"/>
      <c r="AT181" s="406"/>
      <c r="AU181" s="406">
        <f>SUM(AT181+AS181)</f>
        <v>0</v>
      </c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8"/>
      <c r="BG181" s="138"/>
      <c r="BH181" s="135"/>
      <c r="BI181" s="139"/>
      <c r="BJ181" s="23"/>
      <c r="BK181" s="169"/>
      <c r="BL181" s="136"/>
      <c r="BM181" s="136"/>
      <c r="BN181" s="136"/>
      <c r="BO181" s="136"/>
      <c r="BP181" s="137"/>
      <c r="BQ181" s="136"/>
      <c r="BR181" s="136"/>
      <c r="BS181" s="136"/>
      <c r="BT181" s="136"/>
      <c r="BU181" s="136"/>
      <c r="BV181" s="138"/>
      <c r="BW181" s="138"/>
      <c r="BX181" s="138"/>
      <c r="BY181" s="135"/>
      <c r="BZ181" s="139"/>
      <c r="CA181" s="138"/>
      <c r="CB181" s="138"/>
      <c r="CC181" s="24"/>
      <c r="CD181" s="24"/>
      <c r="CE181" s="24"/>
      <c r="CF181" s="24"/>
      <c r="CG181" s="24"/>
      <c r="CH181" s="140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</row>
    <row r="182" spans="1:98" s="8" customFormat="1" ht="48.75" customHeight="1" x14ac:dyDescent="0.2">
      <c r="A182" s="1703" t="s">
        <v>10</v>
      </c>
      <c r="B182" s="1706" t="s">
        <v>11</v>
      </c>
      <c r="C182" s="1706" t="s">
        <v>22</v>
      </c>
      <c r="D182" s="1721" t="s">
        <v>12</v>
      </c>
      <c r="E182" s="1721"/>
      <c r="F182" s="1721"/>
      <c r="G182" s="1721"/>
      <c r="H182" s="1721"/>
      <c r="I182" s="1721"/>
      <c r="J182" s="1721"/>
      <c r="K182" s="1721"/>
      <c r="L182" s="1721"/>
      <c r="M182" s="1721"/>
      <c r="N182" s="1721"/>
      <c r="O182" s="1721"/>
      <c r="P182" s="1721"/>
      <c r="Q182" s="1721"/>
      <c r="R182" s="1706" t="s">
        <v>20</v>
      </c>
      <c r="S182" s="1717" t="s">
        <v>17</v>
      </c>
      <c r="T182" s="1718"/>
      <c r="U182" s="1718"/>
      <c r="V182" s="1718"/>
      <c r="W182" s="1718"/>
      <c r="X182" s="1718"/>
      <c r="Y182" s="1718"/>
      <c r="Z182" s="1718"/>
      <c r="AA182" s="1718"/>
      <c r="AB182" s="1718"/>
      <c r="AC182" s="1718"/>
      <c r="AD182" s="1718"/>
      <c r="AE182" s="1719"/>
      <c r="AF182" s="1720" t="s">
        <v>6</v>
      </c>
      <c r="AG182" s="1720"/>
      <c r="AH182" s="1720"/>
      <c r="AI182" s="1720"/>
      <c r="AJ182" s="1720"/>
      <c r="AK182" s="1720"/>
      <c r="AL182" s="1720"/>
      <c r="AM182" s="1720"/>
      <c r="AN182" s="1720"/>
      <c r="AO182" s="1720"/>
      <c r="AP182" s="1720"/>
      <c r="AQ182" s="1720"/>
      <c r="AR182" s="1720"/>
      <c r="AS182" s="1720"/>
      <c r="AT182" s="1722" t="s">
        <v>41</v>
      </c>
      <c r="AU182" s="1723"/>
      <c r="AV182" s="1723"/>
      <c r="AW182" s="1723"/>
      <c r="AX182" s="1723"/>
      <c r="AY182" s="1723"/>
      <c r="AZ182" s="1723"/>
      <c r="BA182" s="1723"/>
      <c r="BB182" s="1723"/>
      <c r="BC182" s="1723"/>
      <c r="BD182" s="1723"/>
      <c r="BE182" s="1723"/>
      <c r="BF182" s="1724"/>
      <c r="BG182" s="1706" t="s">
        <v>38</v>
      </c>
      <c r="BH182" s="1706" t="s">
        <v>256</v>
      </c>
      <c r="BI182" s="1709" t="s">
        <v>39</v>
      </c>
      <c r="BJ182" s="135"/>
      <c r="BK182" s="135"/>
      <c r="BL182" s="135"/>
      <c r="BM182" s="135"/>
      <c r="BN182" s="135"/>
      <c r="BO182" s="1733" t="s">
        <v>41</v>
      </c>
      <c r="BP182" s="1734"/>
      <c r="BQ182" s="1734"/>
      <c r="BR182" s="1734"/>
      <c r="BS182" s="1734"/>
      <c r="BT182" s="1734"/>
      <c r="BU182" s="1734"/>
      <c r="BV182" s="1734"/>
      <c r="BW182" s="1734"/>
      <c r="BX182" s="1734"/>
      <c r="BY182" s="1734"/>
      <c r="BZ182" s="1734"/>
      <c r="CA182" s="1734"/>
      <c r="CB182" s="1734"/>
      <c r="CC182" s="1734"/>
      <c r="CD182" s="1734"/>
      <c r="CE182" s="1734"/>
      <c r="CF182" s="1734"/>
      <c r="CG182" s="1734"/>
      <c r="CH182" s="1734"/>
      <c r="CI182" s="1734"/>
      <c r="CJ182" s="1734"/>
      <c r="CK182" s="1734"/>
      <c r="CL182" s="1734"/>
      <c r="CM182" s="1734"/>
      <c r="CN182" s="1735"/>
    </row>
    <row r="183" spans="1:98" s="8" customFormat="1" ht="48.75" customHeight="1" x14ac:dyDescent="0.2">
      <c r="A183" s="1704"/>
      <c r="B183" s="1707"/>
      <c r="C183" s="1707"/>
      <c r="D183" s="1712" t="s">
        <v>18</v>
      </c>
      <c r="E183" s="1714" t="s">
        <v>19</v>
      </c>
      <c r="F183" s="1715"/>
      <c r="G183" s="1715"/>
      <c r="H183" s="1715"/>
      <c r="I183" s="1715"/>
      <c r="J183" s="1715"/>
      <c r="K183" s="1715"/>
      <c r="L183" s="1715"/>
      <c r="M183" s="1715"/>
      <c r="N183" s="1715"/>
      <c r="O183" s="1715"/>
      <c r="P183" s="1715"/>
      <c r="Q183" s="1715"/>
      <c r="R183" s="1707"/>
      <c r="S183" s="1712" t="s">
        <v>18</v>
      </c>
      <c r="T183" s="1714" t="s">
        <v>19</v>
      </c>
      <c r="U183" s="1715"/>
      <c r="V183" s="1715"/>
      <c r="W183" s="1715"/>
      <c r="X183" s="1715"/>
      <c r="Y183" s="1715"/>
      <c r="Z183" s="1715"/>
      <c r="AA183" s="1715"/>
      <c r="AB183" s="1715"/>
      <c r="AC183" s="1715"/>
      <c r="AD183" s="1715"/>
      <c r="AE183" s="1716"/>
      <c r="AF183" s="1712" t="s">
        <v>18</v>
      </c>
      <c r="AG183" s="1714" t="s">
        <v>19</v>
      </c>
      <c r="AH183" s="1715"/>
      <c r="AI183" s="1715"/>
      <c r="AJ183" s="1715"/>
      <c r="AK183" s="1715"/>
      <c r="AL183" s="1715"/>
      <c r="AM183" s="1715"/>
      <c r="AN183" s="1715"/>
      <c r="AO183" s="1715"/>
      <c r="AP183" s="1715"/>
      <c r="AQ183" s="1715"/>
      <c r="AR183" s="1715"/>
      <c r="AS183" s="1716"/>
      <c r="AT183" s="1725"/>
      <c r="AU183" s="1726"/>
      <c r="AV183" s="1726"/>
      <c r="AW183" s="1726"/>
      <c r="AX183" s="1726"/>
      <c r="AY183" s="1726"/>
      <c r="AZ183" s="1726"/>
      <c r="BA183" s="1726"/>
      <c r="BB183" s="1726"/>
      <c r="BC183" s="1726"/>
      <c r="BD183" s="1726"/>
      <c r="BE183" s="1726"/>
      <c r="BF183" s="1727"/>
      <c r="BG183" s="1707"/>
      <c r="BH183" s="1707"/>
      <c r="BI183" s="1710"/>
      <c r="BJ183" s="135"/>
      <c r="BK183" s="1736">
        <f>SUM(BK185/60)</f>
        <v>0</v>
      </c>
      <c r="BL183" s="1736"/>
      <c r="BM183" s="1736"/>
      <c r="BN183" s="23"/>
      <c r="BO183" s="1737" t="s">
        <v>686</v>
      </c>
      <c r="BP183" s="1738"/>
      <c r="BQ183" s="1738"/>
      <c r="BR183" s="1738"/>
      <c r="BS183" s="1738"/>
      <c r="BT183" s="1738"/>
      <c r="BU183" s="1738"/>
      <c r="BV183" s="1738"/>
      <c r="BW183" s="1738"/>
      <c r="BX183" s="1738"/>
      <c r="BY183" s="1738"/>
      <c r="BZ183" s="1738"/>
      <c r="CA183" s="1739"/>
      <c r="CB183" s="1740" t="s">
        <v>687</v>
      </c>
      <c r="CC183" s="1741"/>
      <c r="CD183" s="1741"/>
      <c r="CE183" s="1741"/>
      <c r="CF183" s="1741"/>
      <c r="CG183" s="1741"/>
      <c r="CH183" s="1741"/>
      <c r="CI183" s="1741"/>
      <c r="CJ183" s="1741"/>
      <c r="CK183" s="1741"/>
      <c r="CL183" s="1741"/>
      <c r="CM183" s="1741"/>
      <c r="CN183" s="1742"/>
    </row>
    <row r="184" spans="1:98" s="6" customFormat="1" ht="28.5" customHeight="1" x14ac:dyDescent="0.2">
      <c r="A184" s="1705"/>
      <c r="B184" s="1708"/>
      <c r="C184" s="1708"/>
      <c r="D184" s="1713"/>
      <c r="E184" s="26">
        <v>1</v>
      </c>
      <c r="F184" s="26">
        <v>2</v>
      </c>
      <c r="G184" s="26">
        <v>3</v>
      </c>
      <c r="H184" s="26">
        <v>4</v>
      </c>
      <c r="I184" s="26">
        <v>5</v>
      </c>
      <c r="J184" s="26">
        <v>6</v>
      </c>
      <c r="K184" s="26">
        <v>7</v>
      </c>
      <c r="L184" s="26">
        <v>8</v>
      </c>
      <c r="M184" s="26">
        <v>9</v>
      </c>
      <c r="N184" s="26">
        <v>10</v>
      </c>
      <c r="O184" s="26">
        <v>11</v>
      </c>
      <c r="P184" s="26">
        <v>12</v>
      </c>
      <c r="Q184" s="26" t="s">
        <v>21</v>
      </c>
      <c r="R184" s="1708"/>
      <c r="S184" s="1713"/>
      <c r="T184" s="26">
        <v>1</v>
      </c>
      <c r="U184" s="26">
        <v>2</v>
      </c>
      <c r="V184" s="26">
        <v>3</v>
      </c>
      <c r="W184" s="26">
        <v>4</v>
      </c>
      <c r="X184" s="26">
        <v>5</v>
      </c>
      <c r="Y184" s="26">
        <v>6</v>
      </c>
      <c r="Z184" s="26">
        <v>7</v>
      </c>
      <c r="AA184" s="26">
        <v>8</v>
      </c>
      <c r="AB184" s="26">
        <v>9</v>
      </c>
      <c r="AC184" s="26">
        <v>10</v>
      </c>
      <c r="AD184" s="26">
        <v>11</v>
      </c>
      <c r="AE184" s="26">
        <v>12</v>
      </c>
      <c r="AF184" s="1713"/>
      <c r="AG184" s="26">
        <v>1</v>
      </c>
      <c r="AH184" s="26">
        <v>2</v>
      </c>
      <c r="AI184" s="26">
        <v>3</v>
      </c>
      <c r="AJ184" s="26">
        <v>4</v>
      </c>
      <c r="AK184" s="26">
        <v>5</v>
      </c>
      <c r="AL184" s="26">
        <v>6</v>
      </c>
      <c r="AM184" s="26">
        <v>7</v>
      </c>
      <c r="AN184" s="26">
        <v>8</v>
      </c>
      <c r="AO184" s="26">
        <v>9</v>
      </c>
      <c r="AP184" s="26">
        <v>10</v>
      </c>
      <c r="AQ184" s="26">
        <v>11</v>
      </c>
      <c r="AR184" s="26">
        <v>12</v>
      </c>
      <c r="AS184" s="26" t="s">
        <v>13</v>
      </c>
      <c r="AT184" s="173">
        <v>1</v>
      </c>
      <c r="AU184" s="173">
        <v>2</v>
      </c>
      <c r="AV184" s="173">
        <v>3</v>
      </c>
      <c r="AW184" s="173">
        <v>4</v>
      </c>
      <c r="AX184" s="173">
        <v>5</v>
      </c>
      <c r="AY184" s="173">
        <v>6</v>
      </c>
      <c r="AZ184" s="173">
        <v>7</v>
      </c>
      <c r="BA184" s="173">
        <v>8</v>
      </c>
      <c r="BB184" s="173">
        <v>9</v>
      </c>
      <c r="BC184" s="173">
        <v>10</v>
      </c>
      <c r="BD184" s="173">
        <v>11</v>
      </c>
      <c r="BE184" s="173">
        <v>12</v>
      </c>
      <c r="BF184" s="26" t="s">
        <v>13</v>
      </c>
      <c r="BG184" s="1708"/>
      <c r="BH184" s="1708"/>
      <c r="BI184" s="1711"/>
      <c r="BJ184" s="7"/>
      <c r="BK184" s="1743" t="s">
        <v>19</v>
      </c>
      <c r="BL184" s="1744"/>
      <c r="BM184" s="1745"/>
      <c r="BN184" s="621"/>
      <c r="BO184" s="173">
        <v>1</v>
      </c>
      <c r="BP184" s="173">
        <v>2</v>
      </c>
      <c r="BQ184" s="173">
        <v>3</v>
      </c>
      <c r="BR184" s="173">
        <v>4</v>
      </c>
      <c r="BS184" s="173">
        <v>5</v>
      </c>
      <c r="BT184" s="173">
        <v>6</v>
      </c>
      <c r="BU184" s="173">
        <v>7</v>
      </c>
      <c r="BV184" s="173">
        <v>8</v>
      </c>
      <c r="BW184" s="173">
        <v>9</v>
      </c>
      <c r="BX184" s="173">
        <v>10</v>
      </c>
      <c r="BY184" s="173">
        <v>11</v>
      </c>
      <c r="BZ184" s="173">
        <v>12</v>
      </c>
      <c r="CA184" s="26" t="s">
        <v>13</v>
      </c>
      <c r="CB184" s="173">
        <v>1</v>
      </c>
      <c r="CC184" s="173">
        <v>2</v>
      </c>
      <c r="CD184" s="173">
        <v>3</v>
      </c>
      <c r="CE184" s="173">
        <v>4</v>
      </c>
      <c r="CF184" s="173">
        <v>5</v>
      </c>
      <c r="CG184" s="173">
        <v>6</v>
      </c>
      <c r="CH184" s="173">
        <v>7</v>
      </c>
      <c r="CI184" s="173">
        <v>8</v>
      </c>
      <c r="CJ184" s="173">
        <v>9</v>
      </c>
      <c r="CK184" s="173">
        <v>10</v>
      </c>
      <c r="CL184" s="173">
        <v>11</v>
      </c>
      <c r="CM184" s="173">
        <v>12</v>
      </c>
      <c r="CN184" s="26" t="s">
        <v>13</v>
      </c>
    </row>
    <row r="185" spans="1:98" s="7" customFormat="1" ht="24.75" customHeight="1" x14ac:dyDescent="0.2">
      <c r="A185" s="41"/>
      <c r="B185" s="198" t="s">
        <v>588</v>
      </c>
      <c r="C185" s="829" t="s">
        <v>25</v>
      </c>
      <c r="D185" s="147">
        <v>0</v>
      </c>
      <c r="E185" s="82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1">
        <f>SUM(E185:P185)</f>
        <v>0</v>
      </c>
      <c r="R185" s="594" t="s">
        <v>50</v>
      </c>
      <c r="S185" s="595">
        <v>7451000</v>
      </c>
      <c r="T185" s="84"/>
      <c r="U185" s="84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69">
        <f>SUM(Q185*S185)</f>
        <v>0</v>
      </c>
      <c r="AG185" s="70">
        <f>T185*E185</f>
        <v>0</v>
      </c>
      <c r="AH185" s="70">
        <f>U185*F185</f>
        <v>0</v>
      </c>
      <c r="AI185" s="70">
        <f>V185*G185</f>
        <v>0</v>
      </c>
      <c r="AJ185" s="70">
        <f t="shared" ref="AJ185" si="885">W185*H185</f>
        <v>0</v>
      </c>
      <c r="AK185" s="70">
        <f t="shared" ref="AK185" si="886">X185*I185</f>
        <v>0</v>
      </c>
      <c r="AL185" s="70">
        <f t="shared" ref="AL185" si="887">Y185*J185</f>
        <v>0</v>
      </c>
      <c r="AM185" s="70">
        <f t="shared" ref="AM185" si="888">Z185*K185</f>
        <v>0</v>
      </c>
      <c r="AN185" s="70">
        <f t="shared" ref="AN185" si="889">AA185*L185</f>
        <v>0</v>
      </c>
      <c r="AO185" s="70">
        <f t="shared" ref="AO185" si="890">AB185*M185</f>
        <v>0</v>
      </c>
      <c r="AP185" s="70">
        <f t="shared" ref="AP185" si="891">AC185*N185</f>
        <v>0</v>
      </c>
      <c r="AQ185" s="70">
        <f t="shared" ref="AQ185" si="892">AD185*O185</f>
        <v>0</v>
      </c>
      <c r="AR185" s="70">
        <f t="shared" ref="AR185" si="893">AE185*P185</f>
        <v>0</v>
      </c>
      <c r="AS185" s="71">
        <f>SUM(AG185:AR185)</f>
        <v>0</v>
      </c>
      <c r="AT185" s="70">
        <f>SUM(AG185*4%)</f>
        <v>0</v>
      </c>
      <c r="AU185" s="70">
        <f>SUM(AH185*4%)</f>
        <v>0</v>
      </c>
      <c r="AV185" s="70">
        <f t="shared" ref="AV185" si="894">SUM(AI185*14%)</f>
        <v>0</v>
      </c>
      <c r="AW185" s="70">
        <f t="shared" ref="AW185" si="895">SUM(AJ185*14%)</f>
        <v>0</v>
      </c>
      <c r="AX185" s="70">
        <f t="shared" ref="AX185" si="896">SUM(AK185*14%)</f>
        <v>0</v>
      </c>
      <c r="AY185" s="70">
        <f t="shared" ref="AY185" si="897">SUM(AL185*14%)</f>
        <v>0</v>
      </c>
      <c r="AZ185" s="70">
        <f t="shared" ref="AZ185" si="898">SUM(AM185*14%)</f>
        <v>0</v>
      </c>
      <c r="BA185" s="70">
        <f t="shared" ref="BA185" si="899">SUM(AN185*14%)</f>
        <v>0</v>
      </c>
      <c r="BB185" s="70">
        <f t="shared" ref="BB185" si="900">SUM(AO185*14%)</f>
        <v>0</v>
      </c>
      <c r="BC185" s="70">
        <f t="shared" ref="BC185" si="901">SUM(AP185*14%)</f>
        <v>0</v>
      </c>
      <c r="BD185" s="70">
        <f t="shared" ref="BD185" si="902">SUM(AQ185*14%)</f>
        <v>0</v>
      </c>
      <c r="BE185" s="70">
        <f t="shared" ref="BE185" si="903">SUM(AR185*14%)</f>
        <v>0</v>
      </c>
      <c r="BF185" s="72">
        <f t="shared" ref="BF185" si="904">SUM(AT185:BE185)</f>
        <v>0</v>
      </c>
      <c r="BG185" s="73">
        <f>AF185-AS185-BF185</f>
        <v>0</v>
      </c>
      <c r="BH185" s="74">
        <f>S185*D185</f>
        <v>0</v>
      </c>
      <c r="BI185" s="75">
        <f t="shared" ref="BI185" si="905">BH185-AS185-BF185</f>
        <v>0</v>
      </c>
      <c r="BJ185" s="163" t="e">
        <f>SUM(Q185/D185)</f>
        <v>#DIV/0!</v>
      </c>
      <c r="BK185" s="1081"/>
      <c r="BL185" s="1081"/>
      <c r="BM185" s="1083"/>
      <c r="BN185" s="1084"/>
      <c r="BO185" s="862"/>
      <c r="BP185" s="862"/>
      <c r="BQ185" s="862"/>
      <c r="BR185" s="862"/>
      <c r="BS185" s="862"/>
      <c r="BT185" s="862"/>
      <c r="BU185" s="862"/>
      <c r="BV185" s="862"/>
      <c r="BW185" s="1081">
        <f t="shared" ref="BW185:BW187" si="906">SUM(AN185*12.5%)</f>
        <v>0</v>
      </c>
      <c r="BX185" s="862"/>
      <c r="BY185" s="862"/>
      <c r="BZ185" s="862"/>
      <c r="CA185" s="73">
        <f t="shared" ref="CA185" si="907">SUM(BO185:BZ185)</f>
        <v>0</v>
      </c>
      <c r="CB185" s="862"/>
      <c r="CC185" s="862"/>
      <c r="CD185" s="862"/>
      <c r="CE185" s="862"/>
      <c r="CF185" s="862"/>
      <c r="CG185" s="862"/>
      <c r="CH185" s="862"/>
      <c r="CI185" s="862"/>
      <c r="CJ185" s="1081"/>
      <c r="CK185" s="862"/>
      <c r="CL185" s="862"/>
      <c r="CM185" s="862"/>
      <c r="CN185" s="73">
        <f t="shared" ref="CN185:CN187" si="908">SUM(CB185:CM185)</f>
        <v>0</v>
      </c>
    </row>
    <row r="186" spans="1:98" s="7" customFormat="1" ht="24.75" customHeight="1" thickBot="1" x14ac:dyDescent="0.25">
      <c r="A186" s="41"/>
      <c r="B186" s="198"/>
      <c r="C186" s="829"/>
      <c r="D186" s="147"/>
      <c r="E186" s="82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1"/>
      <c r="R186" s="594"/>
      <c r="S186" s="595"/>
      <c r="T186" s="84"/>
      <c r="U186" s="84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69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1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2"/>
      <c r="BG186" s="73"/>
      <c r="BH186" s="74"/>
      <c r="BI186" s="75"/>
      <c r="BJ186" s="163"/>
      <c r="BK186" s="1081"/>
      <c r="BL186" s="1081"/>
      <c r="BM186" s="1083"/>
      <c r="BN186" s="1084"/>
      <c r="BO186" s="862"/>
      <c r="BP186" s="862"/>
      <c r="BQ186" s="862"/>
      <c r="BR186" s="862"/>
      <c r="BS186" s="862"/>
      <c r="BT186" s="862"/>
      <c r="BU186" s="862"/>
      <c r="BV186" s="862"/>
      <c r="BW186" s="1081">
        <f t="shared" si="906"/>
        <v>0</v>
      </c>
      <c r="BX186" s="862"/>
      <c r="BY186" s="862"/>
      <c r="BZ186" s="862"/>
      <c r="CA186" s="73">
        <f t="shared" ref="CA186:CA187" si="909">SUM(BO186:BZ186)</f>
        <v>0</v>
      </c>
      <c r="CB186" s="862"/>
      <c r="CC186" s="862"/>
      <c r="CD186" s="862"/>
      <c r="CE186" s="862"/>
      <c r="CF186" s="862"/>
      <c r="CG186" s="862"/>
      <c r="CH186" s="862"/>
      <c r="CI186" s="862"/>
      <c r="CJ186" s="1081"/>
      <c r="CK186" s="862"/>
      <c r="CL186" s="862"/>
      <c r="CM186" s="862"/>
      <c r="CN186" s="73">
        <f t="shared" si="908"/>
        <v>0</v>
      </c>
    </row>
    <row r="187" spans="1:98" s="38" customFormat="1" ht="24.75" customHeight="1" thickBot="1" x14ac:dyDescent="0.25">
      <c r="A187" s="577">
        <v>15</v>
      </c>
      <c r="B187" s="44" t="s">
        <v>4</v>
      </c>
      <c r="C187" s="44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7"/>
      <c r="R187" s="77"/>
      <c r="S187" s="45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78">
        <f>SUM(AF185:AF186)</f>
        <v>0</v>
      </c>
      <c r="AG187" s="78">
        <f t="shared" ref="AG187" si="910">SUM(AG185:AG186)</f>
        <v>0</v>
      </c>
      <c r="AH187" s="78">
        <f t="shared" ref="AH187" si="911">SUM(AH185:AH186)</f>
        <v>0</v>
      </c>
      <c r="AI187" s="78">
        <f t="shared" ref="AI187" si="912">SUM(AI185:AI186)</f>
        <v>0</v>
      </c>
      <c r="AJ187" s="78">
        <f t="shared" ref="AJ187" si="913">SUM(AJ185:AJ186)</f>
        <v>0</v>
      </c>
      <c r="AK187" s="78">
        <f t="shared" ref="AK187" si="914">SUM(AK185:AK186)</f>
        <v>0</v>
      </c>
      <c r="AL187" s="78">
        <f t="shared" ref="AL187" si="915">SUM(AL185:AL186)</f>
        <v>0</v>
      </c>
      <c r="AM187" s="78">
        <f t="shared" ref="AM187" si="916">SUM(AM185:AM186)</f>
        <v>0</v>
      </c>
      <c r="AN187" s="78">
        <f t="shared" ref="AN187" si="917">SUM(AN185:AN186)</f>
        <v>0</v>
      </c>
      <c r="AO187" s="78">
        <f t="shared" ref="AO187" si="918">SUM(AO185:AO186)</f>
        <v>0</v>
      </c>
      <c r="AP187" s="78">
        <f t="shared" ref="AP187" si="919">SUM(AP185:AP186)</f>
        <v>0</v>
      </c>
      <c r="AQ187" s="78">
        <f t="shared" ref="AQ187" si="920">SUM(AQ185:AQ186)</f>
        <v>0</v>
      </c>
      <c r="AR187" s="78">
        <f t="shared" ref="AR187" si="921">SUM(AR185:AR186)</f>
        <v>0</v>
      </c>
      <c r="AS187" s="78">
        <f t="shared" ref="AS187" si="922">SUM(AS185:AS186)</f>
        <v>0</v>
      </c>
      <c r="AT187" s="78">
        <f t="shared" ref="AT187" si="923">SUM(AT185:AT186)</f>
        <v>0</v>
      </c>
      <c r="AU187" s="78">
        <f t="shared" ref="AU187" si="924">SUM(AU185:AU186)</f>
        <v>0</v>
      </c>
      <c r="AV187" s="78">
        <f t="shared" ref="AV187" si="925">SUM(AV185:AV186)</f>
        <v>0</v>
      </c>
      <c r="AW187" s="78">
        <f t="shared" ref="AW187" si="926">SUM(AW185:AW186)</f>
        <v>0</v>
      </c>
      <c r="AX187" s="78">
        <f t="shared" ref="AX187" si="927">SUM(AX185:AX186)</f>
        <v>0</v>
      </c>
      <c r="AY187" s="78">
        <f t="shared" ref="AY187" si="928">SUM(AY185:AY186)</f>
        <v>0</v>
      </c>
      <c r="AZ187" s="78">
        <f t="shared" ref="AZ187" si="929">SUM(AZ185:AZ186)</f>
        <v>0</v>
      </c>
      <c r="BA187" s="78">
        <f t="shared" ref="BA187" si="930">SUM(BA185:BA186)</f>
        <v>0</v>
      </c>
      <c r="BB187" s="78">
        <f t="shared" ref="BB187" si="931">SUM(BB185:BB186)</f>
        <v>0</v>
      </c>
      <c r="BC187" s="78">
        <f t="shared" ref="BC187" si="932">SUM(BC185:BC186)</f>
        <v>0</v>
      </c>
      <c r="BD187" s="78">
        <f t="shared" ref="BD187" si="933">SUM(BD185:BD186)</f>
        <v>0</v>
      </c>
      <c r="BE187" s="78">
        <f t="shared" ref="BE187" si="934">SUM(BE185:BE186)</f>
        <v>0</v>
      </c>
      <c r="BF187" s="78">
        <f t="shared" ref="BF187" si="935">SUM(BF185:BF186)</f>
        <v>0</v>
      </c>
      <c r="BG187" s="78">
        <f t="shared" ref="BG187" si="936">SUM(BG185:BG186)</f>
        <v>0</v>
      </c>
      <c r="BH187" s="78">
        <f>SUM(BH185:BH186)</f>
        <v>0</v>
      </c>
      <c r="BI187" s="78">
        <f>SUM(BI185:BI186)</f>
        <v>0</v>
      </c>
      <c r="BJ187" s="164" t="e">
        <f>SUM(BJ185)</f>
        <v>#DIV/0!</v>
      </c>
      <c r="BK187" s="1081"/>
      <c r="BL187" s="1081"/>
      <c r="BM187" s="1083"/>
      <c r="BN187" s="1084"/>
      <c r="BO187" s="862"/>
      <c r="BP187" s="862"/>
      <c r="BQ187" s="862"/>
      <c r="BR187" s="862"/>
      <c r="BS187" s="862"/>
      <c r="BT187" s="862"/>
      <c r="BU187" s="862"/>
      <c r="BV187" s="862"/>
      <c r="BW187" s="1081">
        <f t="shared" si="906"/>
        <v>0</v>
      </c>
      <c r="BX187" s="862"/>
      <c r="BY187" s="862"/>
      <c r="BZ187" s="862"/>
      <c r="CA187" s="73">
        <f t="shared" si="909"/>
        <v>0</v>
      </c>
      <c r="CB187" s="862"/>
      <c r="CC187" s="862"/>
      <c r="CD187" s="862"/>
      <c r="CE187" s="862"/>
      <c r="CF187" s="862"/>
      <c r="CG187" s="862"/>
      <c r="CH187" s="862"/>
      <c r="CI187" s="862"/>
      <c r="CJ187" s="1081"/>
      <c r="CK187" s="862"/>
      <c r="CL187" s="862"/>
      <c r="CM187" s="862"/>
      <c r="CN187" s="73">
        <f t="shared" si="908"/>
        <v>0</v>
      </c>
    </row>
    <row r="188" spans="1:98" s="20" customFormat="1" ht="24.75" customHeight="1" x14ac:dyDescent="0.2">
      <c r="A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AE188" s="40"/>
      <c r="AS188" s="51"/>
      <c r="BF188" s="52">
        <f>SUM(AS187+BF187)</f>
        <v>0</v>
      </c>
      <c r="BG188" s="53">
        <f>AF187-AS187-BF187</f>
        <v>0</v>
      </c>
      <c r="BH188" s="54">
        <f>SUM(BI187+AS187+BF187)</f>
        <v>0</v>
      </c>
      <c r="BI188" s="55">
        <f>SUM(BG187)</f>
        <v>0</v>
      </c>
      <c r="BJ188" s="40" t="s">
        <v>38</v>
      </c>
      <c r="BK188" s="171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</row>
    <row r="189" spans="1:98" s="20" customFormat="1" ht="24.75" customHeight="1" x14ac:dyDescent="0.2">
      <c r="A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AE189" s="40"/>
      <c r="AS189" s="40"/>
      <c r="AT189" s="388">
        <f>SUM(AG187+AT187)</f>
        <v>0</v>
      </c>
      <c r="AU189" s="388">
        <f t="shared" ref="AU189" si="937">SUM(AH187+AU187)</f>
        <v>0</v>
      </c>
      <c r="AV189" s="388">
        <f t="shared" ref="AV189" si="938">SUM(AI187+AV187)</f>
        <v>0</v>
      </c>
      <c r="AW189" s="388">
        <f t="shared" ref="AW189" si="939">SUM(AJ187+AW187)</f>
        <v>0</v>
      </c>
      <c r="AX189" s="388">
        <f t="shared" ref="AX189" si="940">SUM(AK187+AX187)</f>
        <v>0</v>
      </c>
      <c r="AY189" s="388">
        <f t="shared" ref="AY189" si="941">SUM(AL187+AY187)</f>
        <v>0</v>
      </c>
      <c r="AZ189" s="388">
        <f t="shared" ref="AZ189" si="942">SUM(AM187+AZ187)</f>
        <v>0</v>
      </c>
      <c r="BA189" s="388">
        <f t="shared" ref="BA189" si="943">SUM(AN187+BA187)</f>
        <v>0</v>
      </c>
      <c r="BB189" s="388">
        <f t="shared" ref="BB189" si="944">SUM(AO187+BB187)</f>
        <v>0</v>
      </c>
      <c r="BC189" s="388">
        <f t="shared" ref="BC189" si="945">SUM(AP187+BC187)</f>
        <v>0</v>
      </c>
      <c r="BD189" s="388">
        <f t="shared" ref="BD189" si="946">SUM(AQ187+BD187)</f>
        <v>0</v>
      </c>
      <c r="BE189" s="388">
        <f t="shared" ref="BE189" si="947">SUM(AR187+BE187)</f>
        <v>0</v>
      </c>
      <c r="BF189" s="388">
        <f>SUM(AT189:BE189)</f>
        <v>0</v>
      </c>
      <c r="BG189" s="40"/>
      <c r="BH189" s="56"/>
      <c r="BI189" s="57">
        <f>SUM(BI187-BI188)</f>
        <v>0</v>
      </c>
      <c r="BJ189" s="165" t="s">
        <v>37</v>
      </c>
      <c r="BK189" s="171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</row>
    <row r="190" spans="1:98" s="20" customFormat="1" ht="16.5" customHeight="1" x14ac:dyDescent="0.2">
      <c r="A190" s="1730" t="s">
        <v>8</v>
      </c>
      <c r="B190" s="1731"/>
      <c r="C190" s="124" t="s">
        <v>587</v>
      </c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7"/>
      <c r="AF190" s="23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405"/>
      <c r="AT190" s="406"/>
      <c r="AU190" s="406">
        <f>SUM(AT190+AS190)</f>
        <v>0</v>
      </c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8"/>
      <c r="BG190" s="138"/>
      <c r="BH190" s="135"/>
      <c r="BI190" s="139"/>
      <c r="BJ190" s="23"/>
      <c r="BK190" s="169"/>
      <c r="BL190" s="136"/>
      <c r="BM190" s="136"/>
      <c r="BN190" s="136"/>
      <c r="BO190" s="136"/>
      <c r="BP190" s="137"/>
      <c r="BQ190" s="136"/>
      <c r="BR190" s="136"/>
      <c r="BS190" s="136"/>
      <c r="BT190" s="136"/>
      <c r="BU190" s="136"/>
      <c r="BV190" s="138"/>
      <c r="BW190" s="138"/>
      <c r="BX190" s="138"/>
      <c r="BY190" s="135"/>
      <c r="BZ190" s="139"/>
      <c r="CA190" s="138"/>
      <c r="CB190" s="138"/>
      <c r="CC190" s="24"/>
      <c r="CD190" s="24"/>
      <c r="CE190" s="24"/>
      <c r="CF190" s="24"/>
      <c r="CG190" s="24"/>
      <c r="CH190" s="140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</row>
    <row r="191" spans="1:98" s="8" customFormat="1" ht="48.75" customHeight="1" x14ac:dyDescent="0.2">
      <c r="A191" s="1703" t="s">
        <v>10</v>
      </c>
      <c r="B191" s="1706" t="s">
        <v>11</v>
      </c>
      <c r="C191" s="1706" t="s">
        <v>22</v>
      </c>
      <c r="D191" s="1721" t="s">
        <v>12</v>
      </c>
      <c r="E191" s="1721"/>
      <c r="F191" s="1721"/>
      <c r="G191" s="1721"/>
      <c r="H191" s="1721"/>
      <c r="I191" s="1721"/>
      <c r="J191" s="1721"/>
      <c r="K191" s="1721"/>
      <c r="L191" s="1721"/>
      <c r="M191" s="1721"/>
      <c r="N191" s="1721"/>
      <c r="O191" s="1721"/>
      <c r="P191" s="1721"/>
      <c r="Q191" s="1721"/>
      <c r="R191" s="1706" t="s">
        <v>20</v>
      </c>
      <c r="S191" s="1717" t="s">
        <v>17</v>
      </c>
      <c r="T191" s="1718"/>
      <c r="U191" s="1718"/>
      <c r="V191" s="1718"/>
      <c r="W191" s="1718"/>
      <c r="X191" s="1718"/>
      <c r="Y191" s="1718"/>
      <c r="Z191" s="1718"/>
      <c r="AA191" s="1718"/>
      <c r="AB191" s="1718"/>
      <c r="AC191" s="1718"/>
      <c r="AD191" s="1718"/>
      <c r="AE191" s="1719"/>
      <c r="AF191" s="1720" t="s">
        <v>6</v>
      </c>
      <c r="AG191" s="1720"/>
      <c r="AH191" s="1720"/>
      <c r="AI191" s="1720"/>
      <c r="AJ191" s="1720"/>
      <c r="AK191" s="1720"/>
      <c r="AL191" s="1720"/>
      <c r="AM191" s="1720"/>
      <c r="AN191" s="1720"/>
      <c r="AO191" s="1720"/>
      <c r="AP191" s="1720"/>
      <c r="AQ191" s="1720"/>
      <c r="AR191" s="1720"/>
      <c r="AS191" s="1720"/>
      <c r="AT191" s="1722" t="s">
        <v>41</v>
      </c>
      <c r="AU191" s="1723"/>
      <c r="AV191" s="1723"/>
      <c r="AW191" s="1723"/>
      <c r="AX191" s="1723"/>
      <c r="AY191" s="1723"/>
      <c r="AZ191" s="1723"/>
      <c r="BA191" s="1723"/>
      <c r="BB191" s="1723"/>
      <c r="BC191" s="1723"/>
      <c r="BD191" s="1723"/>
      <c r="BE191" s="1723"/>
      <c r="BF191" s="1724"/>
      <c r="BG191" s="1706" t="s">
        <v>38</v>
      </c>
      <c r="BH191" s="1706" t="s">
        <v>256</v>
      </c>
      <c r="BI191" s="1709" t="s">
        <v>39</v>
      </c>
      <c r="BJ191" s="135"/>
      <c r="BK191" s="135"/>
      <c r="BL191" s="135"/>
      <c r="BM191" s="135"/>
      <c r="BN191" s="135"/>
      <c r="BO191" s="1733" t="s">
        <v>41</v>
      </c>
      <c r="BP191" s="1734"/>
      <c r="BQ191" s="1734"/>
      <c r="BR191" s="1734"/>
      <c r="BS191" s="1734"/>
      <c r="BT191" s="1734"/>
      <c r="BU191" s="1734"/>
      <c r="BV191" s="1734"/>
      <c r="BW191" s="1734"/>
      <c r="BX191" s="1734"/>
      <c r="BY191" s="1734"/>
      <c r="BZ191" s="1734"/>
      <c r="CA191" s="1734"/>
      <c r="CB191" s="1734"/>
      <c r="CC191" s="1734"/>
      <c r="CD191" s="1734"/>
      <c r="CE191" s="1734"/>
      <c r="CF191" s="1734"/>
      <c r="CG191" s="1734"/>
      <c r="CH191" s="1734"/>
      <c r="CI191" s="1734"/>
      <c r="CJ191" s="1734"/>
      <c r="CK191" s="1734"/>
      <c r="CL191" s="1734"/>
      <c r="CM191" s="1734"/>
      <c r="CN191" s="1735"/>
    </row>
    <row r="192" spans="1:98" s="8" customFormat="1" ht="48.75" customHeight="1" x14ac:dyDescent="0.2">
      <c r="A192" s="1704"/>
      <c r="B192" s="1707"/>
      <c r="C192" s="1707"/>
      <c r="D192" s="1712" t="s">
        <v>18</v>
      </c>
      <c r="E192" s="1714" t="s">
        <v>19</v>
      </c>
      <c r="F192" s="1715"/>
      <c r="G192" s="1715"/>
      <c r="H192" s="1715"/>
      <c r="I192" s="1715"/>
      <c r="J192" s="1715"/>
      <c r="K192" s="1715"/>
      <c r="L192" s="1715"/>
      <c r="M192" s="1715"/>
      <c r="N192" s="1715"/>
      <c r="O192" s="1715"/>
      <c r="P192" s="1715"/>
      <c r="Q192" s="1715"/>
      <c r="R192" s="1707"/>
      <c r="S192" s="1712" t="s">
        <v>18</v>
      </c>
      <c r="T192" s="1714" t="s">
        <v>19</v>
      </c>
      <c r="U192" s="1715"/>
      <c r="V192" s="1715"/>
      <c r="W192" s="1715"/>
      <c r="X192" s="1715"/>
      <c r="Y192" s="1715"/>
      <c r="Z192" s="1715"/>
      <c r="AA192" s="1715"/>
      <c r="AB192" s="1715"/>
      <c r="AC192" s="1715"/>
      <c r="AD192" s="1715"/>
      <c r="AE192" s="1716"/>
      <c r="AF192" s="1712" t="s">
        <v>18</v>
      </c>
      <c r="AG192" s="1714" t="s">
        <v>19</v>
      </c>
      <c r="AH192" s="1715"/>
      <c r="AI192" s="1715"/>
      <c r="AJ192" s="1715"/>
      <c r="AK192" s="1715"/>
      <c r="AL192" s="1715"/>
      <c r="AM192" s="1715"/>
      <c r="AN192" s="1715"/>
      <c r="AO192" s="1715"/>
      <c r="AP192" s="1715"/>
      <c r="AQ192" s="1715"/>
      <c r="AR192" s="1715"/>
      <c r="AS192" s="1716"/>
      <c r="AT192" s="1725"/>
      <c r="AU192" s="1726"/>
      <c r="AV192" s="1726"/>
      <c r="AW192" s="1726"/>
      <c r="AX192" s="1726"/>
      <c r="AY192" s="1726"/>
      <c r="AZ192" s="1726"/>
      <c r="BA192" s="1726"/>
      <c r="BB192" s="1726"/>
      <c r="BC192" s="1726"/>
      <c r="BD192" s="1726"/>
      <c r="BE192" s="1726"/>
      <c r="BF192" s="1727"/>
      <c r="BG192" s="1707"/>
      <c r="BH192" s="1707"/>
      <c r="BI192" s="1710"/>
      <c r="BJ192" s="135"/>
      <c r="BK192" s="1736">
        <f>SUM(BK194/60)</f>
        <v>0</v>
      </c>
      <c r="BL192" s="1736"/>
      <c r="BM192" s="1736"/>
      <c r="BN192" s="23"/>
      <c r="BO192" s="1737" t="s">
        <v>686</v>
      </c>
      <c r="BP192" s="1738"/>
      <c r="BQ192" s="1738"/>
      <c r="BR192" s="1738"/>
      <c r="BS192" s="1738"/>
      <c r="BT192" s="1738"/>
      <c r="BU192" s="1738"/>
      <c r="BV192" s="1738"/>
      <c r="BW192" s="1738"/>
      <c r="BX192" s="1738"/>
      <c r="BY192" s="1738"/>
      <c r="BZ192" s="1738"/>
      <c r="CA192" s="1739"/>
      <c r="CB192" s="1740" t="s">
        <v>687</v>
      </c>
      <c r="CC192" s="1741"/>
      <c r="CD192" s="1741"/>
      <c r="CE192" s="1741"/>
      <c r="CF192" s="1741"/>
      <c r="CG192" s="1741"/>
      <c r="CH192" s="1741"/>
      <c r="CI192" s="1741"/>
      <c r="CJ192" s="1741"/>
      <c r="CK192" s="1741"/>
      <c r="CL192" s="1741"/>
      <c r="CM192" s="1741"/>
      <c r="CN192" s="1742"/>
    </row>
    <row r="193" spans="1:92" s="6" customFormat="1" ht="28.5" customHeight="1" x14ac:dyDescent="0.2">
      <c r="A193" s="1705"/>
      <c r="B193" s="1708"/>
      <c r="C193" s="1708"/>
      <c r="D193" s="1713"/>
      <c r="E193" s="26">
        <v>1</v>
      </c>
      <c r="F193" s="26">
        <v>2</v>
      </c>
      <c r="G193" s="26">
        <v>3</v>
      </c>
      <c r="H193" s="26">
        <v>4</v>
      </c>
      <c r="I193" s="26">
        <v>5</v>
      </c>
      <c r="J193" s="26">
        <v>6</v>
      </c>
      <c r="K193" s="26">
        <v>7</v>
      </c>
      <c r="L193" s="26">
        <v>8</v>
      </c>
      <c r="M193" s="26">
        <v>9</v>
      </c>
      <c r="N193" s="26">
        <v>10</v>
      </c>
      <c r="O193" s="26">
        <v>11</v>
      </c>
      <c r="P193" s="26">
        <v>12</v>
      </c>
      <c r="Q193" s="26" t="s">
        <v>21</v>
      </c>
      <c r="R193" s="1708"/>
      <c r="S193" s="1713"/>
      <c r="T193" s="26">
        <v>1</v>
      </c>
      <c r="U193" s="26">
        <v>2</v>
      </c>
      <c r="V193" s="26">
        <v>3</v>
      </c>
      <c r="W193" s="26">
        <v>4</v>
      </c>
      <c r="X193" s="26">
        <v>5</v>
      </c>
      <c r="Y193" s="26">
        <v>6</v>
      </c>
      <c r="Z193" s="26">
        <v>7</v>
      </c>
      <c r="AA193" s="26">
        <v>8</v>
      </c>
      <c r="AB193" s="26">
        <v>9</v>
      </c>
      <c r="AC193" s="26">
        <v>10</v>
      </c>
      <c r="AD193" s="26">
        <v>11</v>
      </c>
      <c r="AE193" s="26">
        <v>12</v>
      </c>
      <c r="AF193" s="1713"/>
      <c r="AG193" s="26">
        <v>1</v>
      </c>
      <c r="AH193" s="26">
        <v>2</v>
      </c>
      <c r="AI193" s="26">
        <v>3</v>
      </c>
      <c r="AJ193" s="26">
        <v>4</v>
      </c>
      <c r="AK193" s="26">
        <v>5</v>
      </c>
      <c r="AL193" s="26">
        <v>6</v>
      </c>
      <c r="AM193" s="26">
        <v>7</v>
      </c>
      <c r="AN193" s="26">
        <v>8</v>
      </c>
      <c r="AO193" s="26">
        <v>9</v>
      </c>
      <c r="AP193" s="26">
        <v>10</v>
      </c>
      <c r="AQ193" s="26">
        <v>11</v>
      </c>
      <c r="AR193" s="26">
        <v>12</v>
      </c>
      <c r="AS193" s="26" t="s">
        <v>13</v>
      </c>
      <c r="AT193" s="173">
        <v>1</v>
      </c>
      <c r="AU193" s="173">
        <v>2</v>
      </c>
      <c r="AV193" s="173">
        <v>3</v>
      </c>
      <c r="AW193" s="173">
        <v>4</v>
      </c>
      <c r="AX193" s="173">
        <v>5</v>
      </c>
      <c r="AY193" s="173">
        <v>6</v>
      </c>
      <c r="AZ193" s="173">
        <v>7</v>
      </c>
      <c r="BA193" s="173">
        <v>8</v>
      </c>
      <c r="BB193" s="173">
        <v>9</v>
      </c>
      <c r="BC193" s="173">
        <v>10</v>
      </c>
      <c r="BD193" s="173">
        <v>11</v>
      </c>
      <c r="BE193" s="173">
        <v>12</v>
      </c>
      <c r="BF193" s="26" t="s">
        <v>13</v>
      </c>
      <c r="BG193" s="1708"/>
      <c r="BH193" s="1708"/>
      <c r="BI193" s="1711"/>
      <c r="BJ193" s="7"/>
      <c r="BK193" s="1743" t="s">
        <v>19</v>
      </c>
      <c r="BL193" s="1744"/>
      <c r="BM193" s="1745"/>
      <c r="BN193" s="621"/>
      <c r="BO193" s="173">
        <v>1</v>
      </c>
      <c r="BP193" s="173">
        <v>2</v>
      </c>
      <c r="BQ193" s="173">
        <v>3</v>
      </c>
      <c r="BR193" s="173">
        <v>4</v>
      </c>
      <c r="BS193" s="173">
        <v>5</v>
      </c>
      <c r="BT193" s="173">
        <v>6</v>
      </c>
      <c r="BU193" s="173">
        <v>7</v>
      </c>
      <c r="BV193" s="173">
        <v>8</v>
      </c>
      <c r="BW193" s="173">
        <v>9</v>
      </c>
      <c r="BX193" s="173">
        <v>10</v>
      </c>
      <c r="BY193" s="173">
        <v>11</v>
      </c>
      <c r="BZ193" s="173">
        <v>12</v>
      </c>
      <c r="CA193" s="26" t="s">
        <v>13</v>
      </c>
      <c r="CB193" s="173">
        <v>1</v>
      </c>
      <c r="CC193" s="173">
        <v>2</v>
      </c>
      <c r="CD193" s="173">
        <v>3</v>
      </c>
      <c r="CE193" s="173">
        <v>4</v>
      </c>
      <c r="CF193" s="173">
        <v>5</v>
      </c>
      <c r="CG193" s="173">
        <v>6</v>
      </c>
      <c r="CH193" s="173">
        <v>7</v>
      </c>
      <c r="CI193" s="173">
        <v>8</v>
      </c>
      <c r="CJ193" s="173">
        <v>9</v>
      </c>
      <c r="CK193" s="173">
        <v>10</v>
      </c>
      <c r="CL193" s="173">
        <v>11</v>
      </c>
      <c r="CM193" s="173">
        <v>12</v>
      </c>
      <c r="CN193" s="26" t="s">
        <v>13</v>
      </c>
    </row>
    <row r="194" spans="1:92" s="7" customFormat="1" ht="24.75" customHeight="1" x14ac:dyDescent="0.2">
      <c r="A194" s="41"/>
      <c r="B194" s="198" t="s">
        <v>589</v>
      </c>
      <c r="C194" s="829" t="s">
        <v>25</v>
      </c>
      <c r="D194" s="147">
        <v>0</v>
      </c>
      <c r="E194" s="82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1">
        <f>SUM(E194:P194)</f>
        <v>0</v>
      </c>
      <c r="R194" s="594" t="s">
        <v>50</v>
      </c>
      <c r="S194" s="595">
        <v>7451000</v>
      </c>
      <c r="T194" s="84"/>
      <c r="U194" s="84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69">
        <f>SUM(Q194*S194)</f>
        <v>0</v>
      </c>
      <c r="AG194" s="70">
        <f>T194*E194</f>
        <v>0</v>
      </c>
      <c r="AH194" s="70">
        <f>U194*F194</f>
        <v>0</v>
      </c>
      <c r="AI194" s="70">
        <f>V194*G194</f>
        <v>0</v>
      </c>
      <c r="AJ194" s="70">
        <f t="shared" ref="AJ194:AJ195" si="948">W194*H194</f>
        <v>0</v>
      </c>
      <c r="AK194" s="70">
        <f t="shared" ref="AK194:AK195" si="949">X194*I194</f>
        <v>0</v>
      </c>
      <c r="AL194" s="70">
        <f t="shared" ref="AL194:AL195" si="950">Y194*J194</f>
        <v>0</v>
      </c>
      <c r="AM194" s="70">
        <f t="shared" ref="AM194:AM195" si="951">Z194*K194</f>
        <v>0</v>
      </c>
      <c r="AN194" s="70">
        <f t="shared" ref="AN194:AN195" si="952">AA194*L194</f>
        <v>0</v>
      </c>
      <c r="AO194" s="70">
        <f t="shared" ref="AO194:AO195" si="953">AB194*M194</f>
        <v>0</v>
      </c>
      <c r="AP194" s="70">
        <f t="shared" ref="AP194:AP195" si="954">AC194*N194</f>
        <v>0</v>
      </c>
      <c r="AQ194" s="70">
        <f t="shared" ref="AQ194:AQ195" si="955">AD194*O194</f>
        <v>0</v>
      </c>
      <c r="AR194" s="70">
        <f t="shared" ref="AR194:AR195" si="956">AE194*P194</f>
        <v>0</v>
      </c>
      <c r="AS194" s="71">
        <f>SUM(AG194:AR194)</f>
        <v>0</v>
      </c>
      <c r="AT194" s="70">
        <f>SUM(AG194*4%)</f>
        <v>0</v>
      </c>
      <c r="AU194" s="70">
        <f>SUM(AH194*4%)</f>
        <v>0</v>
      </c>
      <c r="AV194" s="70">
        <f t="shared" ref="AV194:AV195" si="957">SUM(AI194*14%)</f>
        <v>0</v>
      </c>
      <c r="AW194" s="70">
        <f t="shared" ref="AW194:AW195" si="958">SUM(AJ194*14%)</f>
        <v>0</v>
      </c>
      <c r="AX194" s="70">
        <f t="shared" ref="AX194:AX195" si="959">SUM(AK194*14%)</f>
        <v>0</v>
      </c>
      <c r="AY194" s="70">
        <f t="shared" ref="AY194:AY195" si="960">SUM(AL194*14%)</f>
        <v>0</v>
      </c>
      <c r="AZ194" s="70">
        <f t="shared" ref="AZ194:AZ195" si="961">SUM(AM194*14%)</f>
        <v>0</v>
      </c>
      <c r="BA194" s="70">
        <f t="shared" ref="BA194:BA195" si="962">SUM(AN194*14%)</f>
        <v>0</v>
      </c>
      <c r="BB194" s="70">
        <f t="shared" ref="BB194:BB195" si="963">SUM(AO194*14%)</f>
        <v>0</v>
      </c>
      <c r="BC194" s="70">
        <f t="shared" ref="BC194:BC195" si="964">SUM(AP194*14%)</f>
        <v>0</v>
      </c>
      <c r="BD194" s="70">
        <f t="shared" ref="BD194:BD195" si="965">SUM(AQ194*14%)</f>
        <v>0</v>
      </c>
      <c r="BE194" s="70">
        <f t="shared" ref="BE194:BE195" si="966">SUM(AR194*14%)</f>
        <v>0</v>
      </c>
      <c r="BF194" s="72">
        <f t="shared" ref="BF194:BF195" si="967">SUM(AT194:BE194)</f>
        <v>0</v>
      </c>
      <c r="BG194" s="73">
        <f>AF194-AS194-BF194</f>
        <v>0</v>
      </c>
      <c r="BH194" s="74">
        <f>S194*D194</f>
        <v>0</v>
      </c>
      <c r="BI194" s="75">
        <f t="shared" ref="BI194:BI195" si="968">BH194-AS194-BF194</f>
        <v>0</v>
      </c>
      <c r="BJ194" s="163" t="e">
        <f>SUM(Q194/D194)</f>
        <v>#DIV/0!</v>
      </c>
      <c r="BK194" s="1081"/>
      <c r="BL194" s="1081"/>
      <c r="BM194" s="1083"/>
      <c r="BN194" s="1084"/>
      <c r="BO194" s="862"/>
      <c r="BP194" s="862"/>
      <c r="BQ194" s="862"/>
      <c r="BR194" s="862"/>
      <c r="BS194" s="862"/>
      <c r="BT194" s="862"/>
      <c r="BU194" s="862"/>
      <c r="BV194" s="862"/>
      <c r="BW194" s="1081">
        <f t="shared" ref="BW194:BW196" si="969">SUM(AN194*12.5%)</f>
        <v>0</v>
      </c>
      <c r="BX194" s="862"/>
      <c r="BY194" s="862"/>
      <c r="BZ194" s="862"/>
      <c r="CA194" s="73">
        <f t="shared" ref="CA194" si="970">SUM(BO194:BZ194)</f>
        <v>0</v>
      </c>
      <c r="CB194" s="862"/>
      <c r="CC194" s="862"/>
      <c r="CD194" s="862"/>
      <c r="CE194" s="862"/>
      <c r="CF194" s="862"/>
      <c r="CG194" s="862"/>
      <c r="CH194" s="862"/>
      <c r="CI194" s="862"/>
      <c r="CJ194" s="1081"/>
      <c r="CK194" s="862"/>
      <c r="CL194" s="862"/>
      <c r="CM194" s="862"/>
      <c r="CN194" s="73">
        <f t="shared" ref="CN194:CN196" si="971">SUM(CB194:CM194)</f>
        <v>0</v>
      </c>
    </row>
    <row r="195" spans="1:92" s="7" customFormat="1" ht="24.75" customHeight="1" thickBot="1" x14ac:dyDescent="0.25">
      <c r="A195" s="41"/>
      <c r="B195" s="198" t="s">
        <v>695</v>
      </c>
      <c r="C195" s="829" t="s">
        <v>25</v>
      </c>
      <c r="D195" s="147">
        <v>0</v>
      </c>
      <c r="E195" s="82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1">
        <f t="shared" ref="Q195" si="972">SUM(E195:P195)</f>
        <v>0</v>
      </c>
      <c r="R195" s="594" t="s">
        <v>50</v>
      </c>
      <c r="S195" s="595">
        <v>5000000</v>
      </c>
      <c r="T195" s="84"/>
      <c r="U195" s="84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69">
        <f t="shared" ref="AF195" si="973">SUM(Q195*S195)</f>
        <v>0</v>
      </c>
      <c r="AG195" s="70">
        <f t="shared" ref="AG195" si="974">T195*E195</f>
        <v>0</v>
      </c>
      <c r="AH195" s="70">
        <f t="shared" ref="AH195" si="975">U195*F195</f>
        <v>0</v>
      </c>
      <c r="AI195" s="70">
        <f t="shared" ref="AI195" si="976">V195*G195</f>
        <v>0</v>
      </c>
      <c r="AJ195" s="70">
        <f t="shared" si="948"/>
        <v>0</v>
      </c>
      <c r="AK195" s="70">
        <f t="shared" si="949"/>
        <v>0</v>
      </c>
      <c r="AL195" s="70">
        <f t="shared" si="950"/>
        <v>0</v>
      </c>
      <c r="AM195" s="70">
        <f t="shared" si="951"/>
        <v>0</v>
      </c>
      <c r="AN195" s="70">
        <f t="shared" si="952"/>
        <v>0</v>
      </c>
      <c r="AO195" s="70">
        <f t="shared" si="953"/>
        <v>0</v>
      </c>
      <c r="AP195" s="70">
        <f t="shared" si="954"/>
        <v>0</v>
      </c>
      <c r="AQ195" s="70">
        <f t="shared" si="955"/>
        <v>0</v>
      </c>
      <c r="AR195" s="70">
        <f t="shared" si="956"/>
        <v>0</v>
      </c>
      <c r="AS195" s="71">
        <f t="shared" ref="AS195" si="977">SUM(AG195:AR195)</f>
        <v>0</v>
      </c>
      <c r="AT195" s="70">
        <f t="shared" ref="AT195" si="978">SUM(AG195*4%)</f>
        <v>0</v>
      </c>
      <c r="AU195" s="70">
        <f t="shared" ref="AU195" si="979">SUM(AH195*4%)</f>
        <v>0</v>
      </c>
      <c r="AV195" s="70">
        <f t="shared" si="957"/>
        <v>0</v>
      </c>
      <c r="AW195" s="70">
        <f t="shared" si="958"/>
        <v>0</v>
      </c>
      <c r="AX195" s="70">
        <f t="shared" si="959"/>
        <v>0</v>
      </c>
      <c r="AY195" s="70">
        <f t="shared" si="960"/>
        <v>0</v>
      </c>
      <c r="AZ195" s="70">
        <f t="shared" si="961"/>
        <v>0</v>
      </c>
      <c r="BA195" s="70">
        <f t="shared" si="962"/>
        <v>0</v>
      </c>
      <c r="BB195" s="70">
        <f t="shared" si="963"/>
        <v>0</v>
      </c>
      <c r="BC195" s="70">
        <f t="shared" si="964"/>
        <v>0</v>
      </c>
      <c r="BD195" s="70">
        <f t="shared" si="965"/>
        <v>0</v>
      </c>
      <c r="BE195" s="70">
        <f t="shared" si="966"/>
        <v>0</v>
      </c>
      <c r="BF195" s="72">
        <f t="shared" si="967"/>
        <v>0</v>
      </c>
      <c r="BG195" s="73">
        <f t="shared" ref="BG195" si="980">AF195-AS195-BF195</f>
        <v>0</v>
      </c>
      <c r="BH195" s="74">
        <f t="shared" ref="BH195" si="981">S195*D195</f>
        <v>0</v>
      </c>
      <c r="BI195" s="75">
        <f t="shared" si="968"/>
        <v>0</v>
      </c>
      <c r="BJ195" s="163" t="e">
        <f t="shared" ref="BJ195" si="982">SUM(Q195/D195)</f>
        <v>#DIV/0!</v>
      </c>
      <c r="BK195" s="1081"/>
      <c r="BL195" s="1081"/>
      <c r="BM195" s="1083"/>
      <c r="BN195" s="1084"/>
      <c r="BO195" s="862"/>
      <c r="BP195" s="862"/>
      <c r="BQ195" s="862"/>
      <c r="BR195" s="862"/>
      <c r="BS195" s="862"/>
      <c r="BT195" s="862"/>
      <c r="BU195" s="862"/>
      <c r="BV195" s="862"/>
      <c r="BW195" s="1081">
        <f t="shared" si="969"/>
        <v>0</v>
      </c>
      <c r="BX195" s="862"/>
      <c r="BY195" s="862"/>
      <c r="BZ195" s="862"/>
      <c r="CA195" s="73">
        <f t="shared" ref="CA195:CA196" si="983">SUM(BO195:BZ195)</f>
        <v>0</v>
      </c>
      <c r="CB195" s="862"/>
      <c r="CC195" s="862"/>
      <c r="CD195" s="862"/>
      <c r="CE195" s="862"/>
      <c r="CF195" s="862"/>
      <c r="CG195" s="862"/>
      <c r="CH195" s="862"/>
      <c r="CI195" s="862"/>
      <c r="CJ195" s="1081"/>
      <c r="CK195" s="862"/>
      <c r="CL195" s="862"/>
      <c r="CM195" s="862"/>
      <c r="CN195" s="73">
        <f t="shared" si="971"/>
        <v>0</v>
      </c>
    </row>
    <row r="196" spans="1:92" s="38" customFormat="1" ht="24.75" customHeight="1" thickBot="1" x14ac:dyDescent="0.25">
      <c r="A196" s="577">
        <v>16</v>
      </c>
      <c r="B196" s="44" t="s">
        <v>4</v>
      </c>
      <c r="C196" s="44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7"/>
      <c r="R196" s="77"/>
      <c r="S196" s="45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78">
        <f>SUM(AF194:AF195)</f>
        <v>0</v>
      </c>
      <c r="AG196" s="78">
        <f t="shared" ref="AG196" si="984">SUM(AG194:AG195)</f>
        <v>0</v>
      </c>
      <c r="AH196" s="78">
        <f t="shared" ref="AH196" si="985">SUM(AH194:AH195)</f>
        <v>0</v>
      </c>
      <c r="AI196" s="78">
        <f t="shared" ref="AI196" si="986">SUM(AI194:AI195)</f>
        <v>0</v>
      </c>
      <c r="AJ196" s="78">
        <f t="shared" ref="AJ196" si="987">SUM(AJ194:AJ195)</f>
        <v>0</v>
      </c>
      <c r="AK196" s="78">
        <f t="shared" ref="AK196" si="988">SUM(AK194:AK195)</f>
        <v>0</v>
      </c>
      <c r="AL196" s="78">
        <f t="shared" ref="AL196" si="989">SUM(AL194:AL195)</f>
        <v>0</v>
      </c>
      <c r="AM196" s="78">
        <f t="shared" ref="AM196" si="990">SUM(AM194:AM195)</f>
        <v>0</v>
      </c>
      <c r="AN196" s="78">
        <f t="shared" ref="AN196" si="991">SUM(AN194:AN195)</f>
        <v>0</v>
      </c>
      <c r="AO196" s="78">
        <f t="shared" ref="AO196" si="992">SUM(AO194:AO195)</f>
        <v>0</v>
      </c>
      <c r="AP196" s="78">
        <f t="shared" ref="AP196" si="993">SUM(AP194:AP195)</f>
        <v>0</v>
      </c>
      <c r="AQ196" s="78">
        <f t="shared" ref="AQ196" si="994">SUM(AQ194:AQ195)</f>
        <v>0</v>
      </c>
      <c r="AR196" s="78">
        <f t="shared" ref="AR196" si="995">SUM(AR194:AR195)</f>
        <v>0</v>
      </c>
      <c r="AS196" s="78">
        <f t="shared" ref="AS196" si="996">SUM(AS194:AS195)</f>
        <v>0</v>
      </c>
      <c r="AT196" s="78">
        <f t="shared" ref="AT196" si="997">SUM(AT194:AT195)</f>
        <v>0</v>
      </c>
      <c r="AU196" s="78">
        <f t="shared" ref="AU196" si="998">SUM(AU194:AU195)</f>
        <v>0</v>
      </c>
      <c r="AV196" s="78">
        <f t="shared" ref="AV196" si="999">SUM(AV194:AV195)</f>
        <v>0</v>
      </c>
      <c r="AW196" s="78">
        <f t="shared" ref="AW196" si="1000">SUM(AW194:AW195)</f>
        <v>0</v>
      </c>
      <c r="AX196" s="78">
        <f t="shared" ref="AX196" si="1001">SUM(AX194:AX195)</f>
        <v>0</v>
      </c>
      <c r="AY196" s="78">
        <f t="shared" ref="AY196" si="1002">SUM(AY194:AY195)</f>
        <v>0</v>
      </c>
      <c r="AZ196" s="78">
        <f t="shared" ref="AZ196" si="1003">SUM(AZ194:AZ195)</f>
        <v>0</v>
      </c>
      <c r="BA196" s="78">
        <f t="shared" ref="BA196" si="1004">SUM(BA194:BA195)</f>
        <v>0</v>
      </c>
      <c r="BB196" s="78">
        <f t="shared" ref="BB196" si="1005">SUM(BB194:BB195)</f>
        <v>0</v>
      </c>
      <c r="BC196" s="78">
        <f t="shared" ref="BC196" si="1006">SUM(BC194:BC195)</f>
        <v>0</v>
      </c>
      <c r="BD196" s="78">
        <f t="shared" ref="BD196" si="1007">SUM(BD194:BD195)</f>
        <v>0</v>
      </c>
      <c r="BE196" s="78">
        <f t="shared" ref="BE196" si="1008">SUM(BE194:BE195)</f>
        <v>0</v>
      </c>
      <c r="BF196" s="78">
        <f t="shared" ref="BF196" si="1009">SUM(BF194:BF195)</f>
        <v>0</v>
      </c>
      <c r="BG196" s="78">
        <f t="shared" ref="BG196" si="1010">SUM(BG194:BG195)</f>
        <v>0</v>
      </c>
      <c r="BH196" s="78">
        <f>SUM(BH194:BH195)</f>
        <v>0</v>
      </c>
      <c r="BI196" s="78">
        <f>SUM(BI194:BI195)</f>
        <v>0</v>
      </c>
      <c r="BJ196" s="164" t="e">
        <f>SUM(BJ194:BJ195)/2</f>
        <v>#DIV/0!</v>
      </c>
      <c r="BK196" s="1081"/>
      <c r="BL196" s="1081"/>
      <c r="BM196" s="1083"/>
      <c r="BN196" s="1084"/>
      <c r="BO196" s="862"/>
      <c r="BP196" s="862"/>
      <c r="BQ196" s="862"/>
      <c r="BR196" s="862"/>
      <c r="BS196" s="862"/>
      <c r="BT196" s="862"/>
      <c r="BU196" s="862"/>
      <c r="BV196" s="862"/>
      <c r="BW196" s="1081">
        <f t="shared" si="969"/>
        <v>0</v>
      </c>
      <c r="BX196" s="862"/>
      <c r="BY196" s="862"/>
      <c r="BZ196" s="862"/>
      <c r="CA196" s="73">
        <f t="shared" si="983"/>
        <v>0</v>
      </c>
      <c r="CB196" s="862"/>
      <c r="CC196" s="862"/>
      <c r="CD196" s="862"/>
      <c r="CE196" s="862"/>
      <c r="CF196" s="862"/>
      <c r="CG196" s="862"/>
      <c r="CH196" s="862"/>
      <c r="CI196" s="862"/>
      <c r="CJ196" s="1081"/>
      <c r="CK196" s="862"/>
      <c r="CL196" s="862"/>
      <c r="CM196" s="862"/>
      <c r="CN196" s="73">
        <f t="shared" si="971"/>
        <v>0</v>
      </c>
    </row>
    <row r="197" spans="1:92" s="20" customFormat="1" ht="24.75" customHeight="1" x14ac:dyDescent="0.2">
      <c r="A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AE197" s="40"/>
      <c r="AS197" s="51"/>
      <c r="BF197" s="52">
        <f>SUM(AS196+BF196)</f>
        <v>0</v>
      </c>
      <c r="BG197" s="53">
        <f>AF196-AS196-BF196</f>
        <v>0</v>
      </c>
      <c r="BH197" s="54">
        <f>SUM(BI196+AS196+BF196)</f>
        <v>0</v>
      </c>
      <c r="BI197" s="55">
        <f>SUM(BG196)</f>
        <v>0</v>
      </c>
      <c r="BJ197" s="40" t="s">
        <v>38</v>
      </c>
      <c r="BK197" s="171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</row>
    <row r="198" spans="1:92" s="20" customFormat="1" ht="24.75" customHeight="1" x14ac:dyDescent="0.2">
      <c r="A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AE198" s="40"/>
      <c r="AS198" s="40"/>
      <c r="AT198" s="388">
        <f>SUM(AG196+AT196)</f>
        <v>0</v>
      </c>
      <c r="AU198" s="388">
        <f t="shared" ref="AU198" si="1011">SUM(AH196+AU196)</f>
        <v>0</v>
      </c>
      <c r="AV198" s="388">
        <f t="shared" ref="AV198" si="1012">SUM(AI196+AV196)</f>
        <v>0</v>
      </c>
      <c r="AW198" s="388">
        <f t="shared" ref="AW198" si="1013">SUM(AJ196+AW196)</f>
        <v>0</v>
      </c>
      <c r="AX198" s="388">
        <f t="shared" ref="AX198" si="1014">SUM(AK196+AX196)</f>
        <v>0</v>
      </c>
      <c r="AY198" s="388">
        <f t="shared" ref="AY198" si="1015">SUM(AL196+AY196)</f>
        <v>0</v>
      </c>
      <c r="AZ198" s="388">
        <f t="shared" ref="AZ198" si="1016">SUM(AM196+AZ196)</f>
        <v>0</v>
      </c>
      <c r="BA198" s="388">
        <f t="shared" ref="BA198" si="1017">SUM(AN196+BA196)</f>
        <v>0</v>
      </c>
      <c r="BB198" s="388">
        <f t="shared" ref="BB198" si="1018">SUM(AO196+BB196)</f>
        <v>0</v>
      </c>
      <c r="BC198" s="388">
        <f t="shared" ref="BC198" si="1019">SUM(AP196+BC196)</f>
        <v>0</v>
      </c>
      <c r="BD198" s="388">
        <f t="shared" ref="BD198" si="1020">SUM(AQ196+BD196)</f>
        <v>0</v>
      </c>
      <c r="BE198" s="388">
        <f t="shared" ref="BE198" si="1021">SUM(AR196+BE196)</f>
        <v>0</v>
      </c>
      <c r="BF198" s="388">
        <f>SUM(AT198:BE198)</f>
        <v>0</v>
      </c>
      <c r="BG198" s="40"/>
      <c r="BH198" s="56"/>
      <c r="BI198" s="57">
        <f>SUM(BI196-BI197)</f>
        <v>0</v>
      </c>
      <c r="BJ198" s="165" t="s">
        <v>37</v>
      </c>
      <c r="BK198" s="171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</row>
    <row r="199" spans="1:92" s="6" customFormat="1" ht="15.75" x14ac:dyDescent="0.2">
      <c r="A199" s="58"/>
      <c r="C199" s="5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50"/>
      <c r="R199" s="8"/>
      <c r="AE199" s="66"/>
      <c r="AF199" s="62"/>
      <c r="AS199" s="67"/>
      <c r="BF199" s="67"/>
      <c r="BG199" s="67"/>
      <c r="BH199" s="185"/>
      <c r="BI199" s="185"/>
      <c r="BJ199" s="58"/>
      <c r="BK199" s="170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</row>
    <row r="200" spans="1:92" s="6" customFormat="1" ht="15.75" x14ac:dyDescent="0.2">
      <c r="A200" s="58"/>
      <c r="C200" s="5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50"/>
      <c r="R200" s="8"/>
      <c r="AE200" s="66"/>
      <c r="AF200" s="62"/>
      <c r="AS200" s="67"/>
      <c r="BF200" s="67"/>
      <c r="BG200" s="67"/>
      <c r="BH200" s="185"/>
      <c r="BI200" s="185"/>
      <c r="BJ200" s="58"/>
      <c r="BK200" s="170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</row>
    <row r="201" spans="1:92" s="6" customFormat="1" ht="15.75" x14ac:dyDescent="0.2">
      <c r="A201" s="58"/>
      <c r="C201" s="5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0"/>
      <c r="R201" s="8"/>
      <c r="AE201" s="66"/>
      <c r="AF201" s="62"/>
      <c r="AS201" s="67"/>
      <c r="BF201" s="67"/>
      <c r="BG201" s="67"/>
      <c r="BH201" s="185"/>
      <c r="BI201" s="185"/>
      <c r="BJ201" s="58"/>
      <c r="BK201" s="170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</row>
    <row r="202" spans="1:92" s="6" customFormat="1" ht="15.75" x14ac:dyDescent="0.2">
      <c r="A202" s="58"/>
      <c r="C202" s="5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50"/>
      <c r="R202" s="8"/>
      <c r="AE202" s="66"/>
      <c r="AF202" s="62"/>
      <c r="AS202" s="67"/>
      <c r="BF202" s="67"/>
      <c r="BG202" s="67"/>
      <c r="BH202" s="185"/>
      <c r="BI202" s="185"/>
      <c r="BJ202" s="58"/>
      <c r="BK202" s="170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</row>
    <row r="203" spans="1:92" s="6" customFormat="1" ht="15.75" x14ac:dyDescent="0.2">
      <c r="A203" s="58"/>
      <c r="C203" s="5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50"/>
      <c r="R203" s="8"/>
      <c r="AE203" s="66"/>
      <c r="AF203" s="62"/>
      <c r="AS203" s="67"/>
      <c r="BF203" s="67"/>
      <c r="BG203" s="67"/>
      <c r="BH203" s="185"/>
      <c r="BI203" s="185"/>
      <c r="BJ203" s="58"/>
      <c r="BK203" s="170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</row>
    <row r="204" spans="1:92" s="6" customFormat="1" ht="15.75" x14ac:dyDescent="0.2">
      <c r="A204" s="58"/>
      <c r="C204" s="5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50"/>
      <c r="R204" s="8"/>
      <c r="AE204" s="66"/>
      <c r="AF204" s="62"/>
      <c r="AS204" s="67"/>
      <c r="BF204" s="67"/>
      <c r="BG204" s="67"/>
      <c r="BH204" s="185"/>
      <c r="BI204" s="185"/>
      <c r="BJ204" s="58"/>
      <c r="BK204" s="170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</row>
    <row r="205" spans="1:92" s="6" customFormat="1" ht="15.75" x14ac:dyDescent="0.2">
      <c r="A205" s="58"/>
      <c r="C205" s="5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50"/>
      <c r="R205" s="8"/>
      <c r="AE205" s="66"/>
      <c r="AF205" s="62"/>
      <c r="AS205" s="67"/>
      <c r="BF205" s="67"/>
      <c r="BG205" s="67"/>
      <c r="BH205" s="185"/>
      <c r="BI205" s="185"/>
      <c r="BJ205" s="58"/>
      <c r="BK205" s="170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</row>
    <row r="206" spans="1:92" s="6" customFormat="1" ht="15.75" x14ac:dyDescent="0.2">
      <c r="A206" s="58"/>
      <c r="C206" s="5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50"/>
      <c r="R206" s="8"/>
      <c r="AE206" s="66"/>
      <c r="AF206" s="62"/>
      <c r="AS206" s="67"/>
      <c r="BF206" s="67"/>
      <c r="BG206" s="67"/>
      <c r="BH206" s="185"/>
      <c r="BI206" s="185"/>
      <c r="BJ206" s="58"/>
      <c r="BK206" s="170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</row>
    <row r="207" spans="1:92" s="6" customFormat="1" ht="15.75" x14ac:dyDescent="0.2">
      <c r="A207" s="58"/>
      <c r="C207" s="5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0"/>
      <c r="R207" s="8"/>
      <c r="AE207" s="66"/>
      <c r="AF207" s="62"/>
      <c r="AS207" s="67"/>
      <c r="BF207" s="67"/>
      <c r="BG207" s="67"/>
      <c r="BH207" s="185"/>
      <c r="BI207" s="185"/>
      <c r="BJ207" s="58"/>
      <c r="BK207" s="170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</row>
    <row r="208" spans="1:92" s="6" customFormat="1" ht="15.75" x14ac:dyDescent="0.2">
      <c r="A208" s="58"/>
      <c r="C208" s="5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50"/>
      <c r="R208" s="8"/>
      <c r="AE208" s="66"/>
      <c r="AF208" s="62"/>
      <c r="AS208" s="67"/>
      <c r="BF208" s="67"/>
      <c r="BG208" s="67"/>
      <c r="BH208" s="185"/>
      <c r="BI208" s="185"/>
      <c r="BJ208" s="58"/>
      <c r="BK208" s="170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</row>
    <row r="209" spans="1:80" s="6" customFormat="1" ht="15.75" x14ac:dyDescent="0.2">
      <c r="A209" s="58"/>
      <c r="C209" s="5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50"/>
      <c r="R209" s="8"/>
      <c r="AE209" s="66"/>
      <c r="AF209" s="62"/>
      <c r="AS209" s="67"/>
      <c r="BF209" s="67"/>
      <c r="BG209" s="67"/>
      <c r="BH209" s="185"/>
      <c r="BI209" s="185"/>
      <c r="BJ209" s="58"/>
      <c r="BK209" s="170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</row>
    <row r="210" spans="1:80" s="6" customFormat="1" ht="15.75" x14ac:dyDescent="0.2">
      <c r="A210" s="58"/>
      <c r="C210" s="5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50"/>
      <c r="R210" s="8"/>
      <c r="AE210" s="66"/>
      <c r="AF210" s="62"/>
      <c r="AS210" s="67"/>
      <c r="BF210" s="67"/>
      <c r="BG210" s="67"/>
      <c r="BH210" s="185"/>
      <c r="BI210" s="185"/>
      <c r="BJ210" s="58"/>
      <c r="BK210" s="170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</row>
    <row r="211" spans="1:80" s="6" customFormat="1" ht="15.75" x14ac:dyDescent="0.2">
      <c r="A211" s="58"/>
      <c r="C211" s="5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50"/>
      <c r="R211" s="8"/>
      <c r="AE211" s="66"/>
      <c r="AF211" s="62"/>
      <c r="AS211" s="67"/>
      <c r="BF211" s="67"/>
      <c r="BG211" s="67"/>
      <c r="BH211" s="185"/>
      <c r="BI211" s="185"/>
      <c r="BJ211" s="58"/>
      <c r="BK211" s="170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</row>
    <row r="212" spans="1:80" s="6" customFormat="1" ht="15.75" x14ac:dyDescent="0.2">
      <c r="A212" s="58"/>
      <c r="C212" s="5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50"/>
      <c r="R212" s="8"/>
      <c r="AE212" s="66"/>
      <c r="AF212" s="62"/>
      <c r="AS212" s="67"/>
      <c r="BF212" s="67"/>
      <c r="BG212" s="67"/>
      <c r="BH212" s="185"/>
      <c r="BI212" s="185"/>
      <c r="BJ212" s="58"/>
      <c r="BK212" s="170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</row>
    <row r="213" spans="1:80" s="6" customFormat="1" ht="15.75" x14ac:dyDescent="0.2">
      <c r="A213" s="58"/>
      <c r="C213" s="5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50"/>
      <c r="R213" s="8"/>
      <c r="AE213" s="66"/>
      <c r="AF213" s="62"/>
      <c r="AS213" s="67"/>
      <c r="BF213" s="67"/>
      <c r="BG213" s="67"/>
      <c r="BH213" s="185"/>
      <c r="BI213" s="185"/>
      <c r="BJ213" s="58"/>
      <c r="BK213" s="170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</row>
    <row r="214" spans="1:80" s="6" customFormat="1" ht="15.75" x14ac:dyDescent="0.2">
      <c r="A214" s="58"/>
      <c r="C214" s="5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0"/>
      <c r="R214" s="8"/>
      <c r="AE214" s="66"/>
      <c r="AF214" s="62"/>
      <c r="AS214" s="67"/>
      <c r="BF214" s="67"/>
      <c r="BG214" s="67"/>
      <c r="BH214" s="185"/>
      <c r="BI214" s="185"/>
      <c r="BJ214" s="58"/>
      <c r="BK214" s="170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</row>
    <row r="215" spans="1:80" s="6" customFormat="1" ht="15.75" x14ac:dyDescent="0.2">
      <c r="A215" s="58"/>
      <c r="C215" s="5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50"/>
      <c r="R215" s="8"/>
      <c r="AE215" s="66"/>
      <c r="AF215" s="62"/>
      <c r="AS215" s="67"/>
      <c r="BF215" s="67"/>
      <c r="BG215" s="67"/>
      <c r="BH215" s="185"/>
      <c r="BI215" s="185"/>
      <c r="BJ215" s="58"/>
      <c r="BK215" s="170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</row>
    <row r="216" spans="1:80" s="6" customFormat="1" ht="15.75" x14ac:dyDescent="0.2">
      <c r="A216" s="58"/>
      <c r="C216" s="5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50"/>
      <c r="R216" s="8"/>
      <c r="AE216" s="66"/>
      <c r="AF216" s="62"/>
      <c r="AS216" s="67"/>
      <c r="BF216" s="67"/>
      <c r="BG216" s="67"/>
      <c r="BH216" s="185"/>
      <c r="BI216" s="185"/>
      <c r="BJ216" s="58"/>
      <c r="BK216" s="170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</row>
    <row r="217" spans="1:80" s="6" customFormat="1" ht="15.75" x14ac:dyDescent="0.2">
      <c r="A217" s="58"/>
      <c r="C217" s="5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50"/>
      <c r="R217" s="8"/>
      <c r="AE217" s="66"/>
      <c r="AF217" s="62"/>
      <c r="AS217" s="67"/>
      <c r="BF217" s="67"/>
      <c r="BG217" s="67"/>
      <c r="BH217" s="185"/>
      <c r="BI217" s="185"/>
      <c r="BJ217" s="58"/>
      <c r="BK217" s="170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</row>
    <row r="218" spans="1:80" s="6" customFormat="1" ht="15.75" x14ac:dyDescent="0.2">
      <c r="A218" s="58"/>
      <c r="C218" s="5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50"/>
      <c r="R218" s="8"/>
      <c r="AE218" s="66"/>
      <c r="AF218" s="62"/>
      <c r="AS218" s="67"/>
      <c r="BF218" s="67"/>
      <c r="BG218" s="67"/>
      <c r="BH218" s="185"/>
      <c r="BI218" s="185"/>
      <c r="BJ218" s="58"/>
      <c r="BK218" s="170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</row>
    <row r="219" spans="1:80" s="6" customFormat="1" ht="15.75" x14ac:dyDescent="0.2">
      <c r="A219" s="58"/>
      <c r="C219" s="5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50"/>
      <c r="R219" s="8"/>
      <c r="AE219" s="66"/>
      <c r="AF219" s="62"/>
      <c r="AS219" s="67"/>
      <c r="BF219" s="67"/>
      <c r="BG219" s="67"/>
      <c r="BH219" s="185"/>
      <c r="BI219" s="185"/>
      <c r="BJ219" s="58"/>
      <c r="BK219" s="170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</row>
    <row r="220" spans="1:80" s="6" customFormat="1" ht="15.75" x14ac:dyDescent="0.2">
      <c r="A220" s="58"/>
      <c r="C220" s="5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50"/>
      <c r="R220" s="8"/>
      <c r="AE220" s="66"/>
      <c r="AF220" s="62"/>
      <c r="AS220" s="67"/>
      <c r="BF220" s="67"/>
      <c r="BG220" s="67"/>
      <c r="BH220" s="185"/>
      <c r="BI220" s="185"/>
      <c r="BJ220" s="58"/>
      <c r="BK220" s="170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</row>
    <row r="221" spans="1:80" s="6" customFormat="1" ht="15.75" x14ac:dyDescent="0.2">
      <c r="A221" s="58"/>
      <c r="C221" s="5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50"/>
      <c r="R221" s="8"/>
      <c r="AE221" s="66"/>
      <c r="AF221" s="62"/>
      <c r="AS221" s="67"/>
      <c r="BF221" s="67"/>
      <c r="BG221" s="67"/>
      <c r="BH221" s="185"/>
      <c r="BI221" s="185"/>
      <c r="BJ221" s="58"/>
      <c r="BK221" s="170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</row>
    <row r="222" spans="1:80" s="6" customFormat="1" ht="15.75" x14ac:dyDescent="0.2">
      <c r="A222" s="58"/>
      <c r="C222" s="5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50"/>
      <c r="R222" s="8"/>
      <c r="AE222" s="66"/>
      <c r="AF222" s="62"/>
      <c r="AS222" s="67"/>
      <c r="BF222" s="67"/>
      <c r="BG222" s="67"/>
      <c r="BH222" s="185"/>
      <c r="BI222" s="185"/>
      <c r="BJ222" s="58"/>
      <c r="BK222" s="170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</row>
    <row r="223" spans="1:80" s="6" customFormat="1" ht="15.75" x14ac:dyDescent="0.2">
      <c r="A223" s="58"/>
      <c r="C223" s="5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50"/>
      <c r="R223" s="8"/>
      <c r="AE223" s="66"/>
      <c r="AF223" s="62"/>
      <c r="AS223" s="67"/>
      <c r="BF223" s="67"/>
      <c r="BG223" s="67"/>
      <c r="BH223" s="185"/>
      <c r="BI223" s="185"/>
      <c r="BJ223" s="58"/>
      <c r="BK223" s="170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</row>
    <row r="224" spans="1:80" s="6" customFormat="1" ht="15.75" x14ac:dyDescent="0.2">
      <c r="A224" s="58"/>
      <c r="C224" s="5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50"/>
      <c r="R224" s="8"/>
      <c r="AE224" s="66"/>
      <c r="AF224" s="62"/>
      <c r="AS224" s="67"/>
      <c r="BF224" s="67"/>
      <c r="BG224" s="67"/>
      <c r="BH224" s="185"/>
      <c r="BI224" s="185"/>
      <c r="BJ224" s="58"/>
      <c r="BK224" s="170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</row>
    <row r="225" spans="1:80" s="6" customFormat="1" ht="15.75" x14ac:dyDescent="0.2">
      <c r="A225" s="58"/>
      <c r="C225" s="5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50"/>
      <c r="R225" s="8"/>
      <c r="AE225" s="66"/>
      <c r="AF225" s="62"/>
      <c r="AS225" s="67"/>
      <c r="BF225" s="67"/>
      <c r="BG225" s="67"/>
      <c r="BH225" s="185"/>
      <c r="BI225" s="185"/>
      <c r="BJ225" s="58"/>
      <c r="BK225" s="170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</row>
    <row r="226" spans="1:80" s="6" customFormat="1" ht="15.75" x14ac:dyDescent="0.2">
      <c r="A226" s="58"/>
      <c r="C226" s="5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50"/>
      <c r="R226" s="8"/>
      <c r="AE226" s="66"/>
      <c r="AF226" s="62"/>
      <c r="AS226" s="67"/>
      <c r="BF226" s="67"/>
      <c r="BG226" s="67"/>
      <c r="BH226" s="185"/>
      <c r="BI226" s="185"/>
      <c r="BJ226" s="58"/>
      <c r="BK226" s="170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</row>
    <row r="227" spans="1:80" s="6" customFormat="1" ht="15.75" x14ac:dyDescent="0.2">
      <c r="A227" s="58"/>
      <c r="C227" s="5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50"/>
      <c r="R227" s="8"/>
      <c r="AE227" s="66"/>
      <c r="AF227" s="62"/>
      <c r="AS227" s="67"/>
      <c r="BF227" s="67"/>
      <c r="BG227" s="67"/>
      <c r="BH227" s="185"/>
      <c r="BI227" s="185"/>
      <c r="BJ227" s="58"/>
      <c r="BK227" s="170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</row>
    <row r="228" spans="1:80" s="6" customFormat="1" ht="15.75" x14ac:dyDescent="0.2">
      <c r="A228" s="58"/>
      <c r="C228" s="5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50"/>
      <c r="R228" s="8"/>
      <c r="AE228" s="66"/>
      <c r="AF228" s="62"/>
      <c r="AS228" s="67"/>
      <c r="BF228" s="67"/>
      <c r="BG228" s="67"/>
      <c r="BH228" s="185"/>
      <c r="BI228" s="185"/>
      <c r="BJ228" s="58"/>
      <c r="BK228" s="170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</row>
    <row r="229" spans="1:80" s="6" customFormat="1" ht="15.75" x14ac:dyDescent="0.2">
      <c r="A229" s="58"/>
      <c r="C229" s="5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50"/>
      <c r="R229" s="8"/>
      <c r="AE229" s="66"/>
      <c r="AF229" s="62"/>
      <c r="AS229" s="67"/>
      <c r="BF229" s="67"/>
      <c r="BG229" s="67"/>
      <c r="BH229" s="185"/>
      <c r="BI229" s="185"/>
      <c r="BJ229" s="58"/>
      <c r="BK229" s="170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</row>
    <row r="230" spans="1:80" s="6" customFormat="1" ht="15.75" x14ac:dyDescent="0.2">
      <c r="A230" s="58"/>
      <c r="C230" s="5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50"/>
      <c r="R230" s="8"/>
      <c r="AE230" s="66"/>
      <c r="AF230" s="62"/>
      <c r="AS230" s="67"/>
      <c r="BF230" s="67"/>
      <c r="BG230" s="67"/>
      <c r="BH230" s="185"/>
      <c r="BI230" s="185"/>
      <c r="BJ230" s="58"/>
      <c r="BK230" s="170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</row>
    <row r="231" spans="1:80" s="6" customFormat="1" ht="15.75" x14ac:dyDescent="0.2">
      <c r="A231" s="58"/>
      <c r="C231" s="5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50"/>
      <c r="R231" s="8"/>
      <c r="AE231" s="66"/>
      <c r="AF231" s="62"/>
      <c r="AS231" s="67"/>
      <c r="BF231" s="67"/>
      <c r="BG231" s="67"/>
      <c r="BH231" s="185"/>
      <c r="BI231" s="185"/>
      <c r="BJ231" s="58"/>
      <c r="BK231" s="170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</row>
    <row r="232" spans="1:80" s="6" customFormat="1" ht="15.75" x14ac:dyDescent="0.2">
      <c r="A232" s="58"/>
      <c r="C232" s="5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50"/>
      <c r="R232" s="8"/>
      <c r="AE232" s="66"/>
      <c r="AF232" s="62"/>
      <c r="AS232" s="67"/>
      <c r="BF232" s="67"/>
      <c r="BG232" s="67"/>
      <c r="BH232" s="185"/>
      <c r="BI232" s="185"/>
      <c r="BJ232" s="58"/>
      <c r="BK232" s="170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</row>
    <row r="233" spans="1:80" s="6" customFormat="1" ht="15.75" x14ac:dyDescent="0.2">
      <c r="A233" s="58"/>
      <c r="C233" s="5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50"/>
      <c r="R233" s="8"/>
      <c r="AE233" s="66"/>
      <c r="AF233" s="62"/>
      <c r="AS233" s="67"/>
      <c r="BF233" s="67"/>
      <c r="BG233" s="67"/>
      <c r="BH233" s="185"/>
      <c r="BI233" s="185"/>
      <c r="BJ233" s="58"/>
      <c r="BK233" s="170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</row>
    <row r="234" spans="1:80" s="6" customFormat="1" ht="15.75" x14ac:dyDescent="0.2">
      <c r="A234" s="58"/>
      <c r="C234" s="5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50"/>
      <c r="R234" s="8"/>
      <c r="AE234" s="66"/>
      <c r="AF234" s="62"/>
      <c r="AS234" s="67"/>
      <c r="BF234" s="67"/>
      <c r="BG234" s="67"/>
      <c r="BH234" s="185"/>
      <c r="BI234" s="185"/>
      <c r="BJ234" s="58"/>
      <c r="BK234" s="170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</row>
    <row r="235" spans="1:80" s="6" customFormat="1" ht="15.75" x14ac:dyDescent="0.2">
      <c r="A235" s="58"/>
      <c r="C235" s="5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50"/>
      <c r="R235" s="8"/>
      <c r="AE235" s="66"/>
      <c r="AF235" s="62"/>
      <c r="AS235" s="67"/>
      <c r="BF235" s="67"/>
      <c r="BG235" s="67"/>
      <c r="BH235" s="185"/>
      <c r="BI235" s="185"/>
      <c r="BJ235" s="58"/>
      <c r="BK235" s="170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</row>
    <row r="236" spans="1:80" s="6" customFormat="1" ht="15.75" x14ac:dyDescent="0.2">
      <c r="A236" s="58"/>
      <c r="C236" s="5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50"/>
      <c r="R236" s="8"/>
      <c r="AE236" s="66"/>
      <c r="AF236" s="62"/>
      <c r="AS236" s="67"/>
      <c r="BF236" s="67"/>
      <c r="BG236" s="67"/>
      <c r="BH236" s="185"/>
      <c r="BI236" s="185"/>
      <c r="BJ236" s="58"/>
      <c r="BK236" s="170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</row>
    <row r="237" spans="1:80" s="6" customFormat="1" ht="15.75" x14ac:dyDescent="0.2">
      <c r="A237" s="58"/>
      <c r="C237" s="5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50"/>
      <c r="R237" s="8"/>
      <c r="AE237" s="66"/>
      <c r="AF237" s="62"/>
      <c r="AS237" s="67"/>
      <c r="BF237" s="67"/>
      <c r="BG237" s="67"/>
      <c r="BH237" s="185"/>
      <c r="BI237" s="185"/>
      <c r="BJ237" s="58"/>
      <c r="BK237" s="170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</row>
    <row r="238" spans="1:80" s="6" customFormat="1" ht="15.75" x14ac:dyDescent="0.2">
      <c r="A238" s="58"/>
      <c r="C238" s="5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0"/>
      <c r="R238" s="8"/>
      <c r="AE238" s="66"/>
      <c r="AF238" s="62"/>
      <c r="AS238" s="67"/>
      <c r="BF238" s="67"/>
      <c r="BG238" s="67"/>
      <c r="BH238" s="185"/>
      <c r="BI238" s="185"/>
      <c r="BJ238" s="58"/>
      <c r="BK238" s="170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</row>
    <row r="239" spans="1:80" s="6" customFormat="1" ht="15.75" x14ac:dyDescent="0.2">
      <c r="A239" s="58"/>
      <c r="C239" s="5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50"/>
      <c r="R239" s="8"/>
      <c r="AE239" s="66"/>
      <c r="AF239" s="62"/>
      <c r="AS239" s="67"/>
      <c r="BF239" s="67"/>
      <c r="BG239" s="67"/>
      <c r="BH239" s="185"/>
      <c r="BI239" s="185"/>
      <c r="BJ239" s="58"/>
      <c r="BK239" s="170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</row>
    <row r="240" spans="1:80" s="6" customFormat="1" ht="15.75" x14ac:dyDescent="0.2">
      <c r="A240" s="58"/>
      <c r="C240" s="5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50"/>
      <c r="R240" s="8"/>
      <c r="AE240" s="66"/>
      <c r="AF240" s="62"/>
      <c r="AS240" s="67"/>
      <c r="BF240" s="67"/>
      <c r="BG240" s="67"/>
      <c r="BH240" s="185"/>
      <c r="BI240" s="185"/>
      <c r="BJ240" s="58"/>
      <c r="BK240" s="170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</row>
    <row r="241" spans="1:80" s="6" customFormat="1" ht="15.75" x14ac:dyDescent="0.2">
      <c r="A241" s="58"/>
      <c r="C241" s="5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50"/>
      <c r="R241" s="8"/>
      <c r="AE241" s="66"/>
      <c r="AF241" s="62"/>
      <c r="AS241" s="67"/>
      <c r="BF241" s="67"/>
      <c r="BG241" s="67"/>
      <c r="BH241" s="185"/>
      <c r="BI241" s="185"/>
      <c r="BJ241" s="58"/>
      <c r="BK241" s="170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</row>
    <row r="242" spans="1:80" s="6" customFormat="1" ht="15.75" x14ac:dyDescent="0.2">
      <c r="A242" s="58"/>
      <c r="C242" s="5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50"/>
      <c r="R242" s="8"/>
      <c r="AE242" s="66"/>
      <c r="AF242" s="62"/>
      <c r="AS242" s="67"/>
      <c r="BF242" s="67"/>
      <c r="BG242" s="67"/>
      <c r="BH242" s="185"/>
      <c r="BI242" s="185"/>
      <c r="BJ242" s="58"/>
      <c r="BK242" s="170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</row>
    <row r="243" spans="1:80" s="6" customFormat="1" ht="15.75" x14ac:dyDescent="0.2">
      <c r="A243" s="58"/>
      <c r="C243" s="5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50"/>
      <c r="R243" s="8"/>
      <c r="AE243" s="66"/>
      <c r="AF243" s="62"/>
      <c r="AS243" s="67"/>
      <c r="BF243" s="67"/>
      <c r="BG243" s="67"/>
      <c r="BH243" s="185"/>
      <c r="BI243" s="185"/>
      <c r="BJ243" s="58"/>
      <c r="BK243" s="170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</row>
    <row r="244" spans="1:80" s="6" customFormat="1" ht="15.75" x14ac:dyDescent="0.2">
      <c r="A244" s="58"/>
      <c r="C244" s="5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0"/>
      <c r="R244" s="8"/>
      <c r="AE244" s="66"/>
      <c r="AF244" s="62"/>
      <c r="AS244" s="67"/>
      <c r="BF244" s="67"/>
      <c r="BG244" s="67"/>
      <c r="BH244" s="185"/>
      <c r="BI244" s="185"/>
      <c r="BJ244" s="58"/>
      <c r="BK244" s="170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</row>
    <row r="245" spans="1:80" s="6" customFormat="1" ht="15.75" x14ac:dyDescent="0.2">
      <c r="A245" s="58"/>
      <c r="C245" s="5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50"/>
      <c r="R245" s="8"/>
      <c r="AE245" s="66"/>
      <c r="AF245" s="62"/>
      <c r="AS245" s="67"/>
      <c r="BF245" s="67"/>
      <c r="BG245" s="67"/>
      <c r="BH245" s="185"/>
      <c r="BI245" s="185"/>
      <c r="BJ245" s="58"/>
      <c r="BK245" s="170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</row>
    <row r="246" spans="1:80" s="6" customFormat="1" ht="15.75" x14ac:dyDescent="0.2">
      <c r="A246" s="58"/>
      <c r="C246" s="5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50"/>
      <c r="R246" s="8"/>
      <c r="AE246" s="66"/>
      <c r="AF246" s="62"/>
      <c r="AS246" s="67"/>
      <c r="BF246" s="67"/>
      <c r="BG246" s="67"/>
      <c r="BH246" s="185"/>
      <c r="BI246" s="185"/>
      <c r="BJ246" s="58"/>
      <c r="BK246" s="170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</row>
    <row r="247" spans="1:80" s="6" customFormat="1" ht="15.75" x14ac:dyDescent="0.2">
      <c r="A247" s="58"/>
      <c r="C247" s="5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50"/>
      <c r="R247" s="8"/>
      <c r="AE247" s="66"/>
      <c r="AF247" s="62"/>
      <c r="AS247" s="67"/>
      <c r="BF247" s="67"/>
      <c r="BG247" s="67"/>
      <c r="BH247" s="185"/>
      <c r="BI247" s="185"/>
      <c r="BJ247" s="58"/>
      <c r="BK247" s="170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</row>
    <row r="248" spans="1:80" s="6" customFormat="1" ht="15.75" x14ac:dyDescent="0.2">
      <c r="A248" s="58"/>
      <c r="C248" s="5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50"/>
      <c r="R248" s="8"/>
      <c r="AE248" s="66"/>
      <c r="AF248" s="62"/>
      <c r="AS248" s="67"/>
      <c r="BF248" s="67"/>
      <c r="BG248" s="67"/>
      <c r="BH248" s="185"/>
      <c r="BI248" s="185"/>
      <c r="BJ248" s="58"/>
      <c r="BK248" s="170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</row>
    <row r="249" spans="1:80" s="6" customFormat="1" ht="15.75" x14ac:dyDescent="0.2">
      <c r="A249" s="58"/>
      <c r="C249" s="5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50"/>
      <c r="R249" s="8"/>
      <c r="AE249" s="66"/>
      <c r="AF249" s="62"/>
      <c r="AS249" s="67"/>
      <c r="BF249" s="67"/>
      <c r="BG249" s="67"/>
      <c r="BH249" s="185"/>
      <c r="BI249" s="185"/>
      <c r="BJ249" s="58"/>
      <c r="BK249" s="170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</row>
    <row r="250" spans="1:80" s="6" customFormat="1" ht="15.75" x14ac:dyDescent="0.2">
      <c r="A250" s="58"/>
      <c r="C250" s="5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50"/>
      <c r="R250" s="8"/>
      <c r="AE250" s="66"/>
      <c r="AF250" s="62"/>
      <c r="AS250" s="67"/>
      <c r="BF250" s="67"/>
      <c r="BG250" s="67"/>
      <c r="BH250" s="185"/>
      <c r="BI250" s="185"/>
      <c r="BJ250" s="58"/>
      <c r="BK250" s="170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</row>
    <row r="251" spans="1:80" s="6" customFormat="1" ht="15.75" x14ac:dyDescent="0.2">
      <c r="A251" s="58"/>
      <c r="C251" s="5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0"/>
      <c r="R251" s="8"/>
      <c r="AE251" s="66"/>
      <c r="AF251" s="62"/>
      <c r="AS251" s="67"/>
      <c r="BF251" s="67"/>
      <c r="BG251" s="67"/>
      <c r="BH251" s="185"/>
      <c r="BI251" s="185"/>
      <c r="BJ251" s="58"/>
      <c r="BK251" s="170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</row>
    <row r="252" spans="1:80" s="6" customFormat="1" ht="15.75" x14ac:dyDescent="0.2">
      <c r="A252" s="58"/>
      <c r="C252" s="5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50"/>
      <c r="R252" s="8"/>
      <c r="AE252" s="66"/>
      <c r="AF252" s="62"/>
      <c r="AS252" s="67"/>
      <c r="BF252" s="67"/>
      <c r="BG252" s="67"/>
      <c r="BH252" s="185"/>
      <c r="BI252" s="185"/>
      <c r="BJ252" s="58"/>
      <c r="BK252" s="170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</row>
    <row r="253" spans="1:80" s="6" customFormat="1" ht="15.75" x14ac:dyDescent="0.2">
      <c r="A253" s="58"/>
      <c r="C253" s="5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50"/>
      <c r="R253" s="8"/>
      <c r="AE253" s="66"/>
      <c r="AF253" s="62"/>
      <c r="AS253" s="67"/>
      <c r="BF253" s="67"/>
      <c r="BG253" s="67"/>
      <c r="BH253" s="185"/>
      <c r="BI253" s="185"/>
      <c r="BJ253" s="58"/>
      <c r="BK253" s="170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</row>
    <row r="254" spans="1:80" s="6" customFormat="1" ht="15.75" x14ac:dyDescent="0.2">
      <c r="A254" s="58"/>
      <c r="C254" s="5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50"/>
      <c r="R254" s="8"/>
      <c r="AE254" s="66"/>
      <c r="AF254" s="62"/>
      <c r="AS254" s="67"/>
      <c r="BF254" s="67"/>
      <c r="BG254" s="67"/>
      <c r="BH254" s="185"/>
      <c r="BI254" s="185"/>
      <c r="BJ254" s="58"/>
      <c r="BK254" s="170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</row>
    <row r="255" spans="1:80" s="6" customFormat="1" ht="15.75" x14ac:dyDescent="0.2">
      <c r="A255" s="58"/>
      <c r="C255" s="5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50"/>
      <c r="R255" s="8"/>
      <c r="AE255" s="66"/>
      <c r="AF255" s="62"/>
      <c r="AS255" s="67"/>
      <c r="BF255" s="67"/>
      <c r="BG255" s="67"/>
      <c r="BH255" s="185"/>
      <c r="BI255" s="185"/>
      <c r="BJ255" s="58"/>
      <c r="BK255" s="170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</row>
    <row r="256" spans="1:80" s="6" customFormat="1" ht="15.75" x14ac:dyDescent="0.2">
      <c r="A256" s="58"/>
      <c r="C256" s="5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50"/>
      <c r="R256" s="8"/>
      <c r="AE256" s="66"/>
      <c r="AF256" s="62"/>
      <c r="AS256" s="67"/>
      <c r="BF256" s="67"/>
      <c r="BG256" s="67"/>
      <c r="BH256" s="185"/>
      <c r="BI256" s="185"/>
      <c r="BJ256" s="58"/>
      <c r="BK256" s="170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</row>
    <row r="257" spans="1:80" s="6" customFormat="1" ht="15.75" x14ac:dyDescent="0.2">
      <c r="A257" s="58"/>
      <c r="C257" s="5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50"/>
      <c r="R257" s="8"/>
      <c r="AE257" s="66"/>
      <c r="AF257" s="62"/>
      <c r="AS257" s="67"/>
      <c r="BF257" s="67"/>
      <c r="BG257" s="67"/>
      <c r="BH257" s="185"/>
      <c r="BI257" s="185"/>
      <c r="BJ257" s="58"/>
      <c r="BK257" s="170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</row>
    <row r="258" spans="1:80" s="6" customFormat="1" ht="15.75" x14ac:dyDescent="0.2">
      <c r="A258" s="58"/>
      <c r="C258" s="5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50"/>
      <c r="R258" s="8"/>
      <c r="AE258" s="66"/>
      <c r="AF258" s="62"/>
      <c r="AS258" s="67"/>
      <c r="BF258" s="67"/>
      <c r="BG258" s="67"/>
      <c r="BH258" s="185"/>
      <c r="BI258" s="185"/>
      <c r="BJ258" s="58"/>
      <c r="BK258" s="170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</row>
    <row r="259" spans="1:80" s="6" customFormat="1" ht="15.75" x14ac:dyDescent="0.2">
      <c r="A259" s="58"/>
      <c r="C259" s="5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50"/>
      <c r="R259" s="8"/>
      <c r="AE259" s="66"/>
      <c r="AF259" s="62"/>
      <c r="AS259" s="67"/>
      <c r="BF259" s="67"/>
      <c r="BG259" s="67"/>
      <c r="BH259" s="185"/>
      <c r="BI259" s="185"/>
      <c r="BJ259" s="58"/>
      <c r="BK259" s="170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</row>
    <row r="260" spans="1:80" s="6" customFormat="1" ht="15.75" x14ac:dyDescent="0.2">
      <c r="A260" s="58"/>
      <c r="C260" s="5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50"/>
      <c r="R260" s="8"/>
      <c r="AE260" s="66"/>
      <c r="AF260" s="62"/>
      <c r="AS260" s="67"/>
      <c r="BF260" s="67"/>
      <c r="BG260" s="67"/>
      <c r="BH260" s="185"/>
      <c r="BI260" s="185"/>
      <c r="BJ260" s="58"/>
      <c r="BK260" s="170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</row>
    <row r="261" spans="1:80" s="6" customFormat="1" ht="15.75" x14ac:dyDescent="0.2">
      <c r="A261" s="58"/>
      <c r="C261" s="5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50"/>
      <c r="R261" s="8"/>
      <c r="AE261" s="66"/>
      <c r="AF261" s="62"/>
      <c r="AS261" s="67"/>
      <c r="BF261" s="67"/>
      <c r="BG261" s="67"/>
      <c r="BH261" s="185"/>
      <c r="BI261" s="185"/>
      <c r="BJ261" s="58"/>
      <c r="BK261" s="170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</row>
    <row r="262" spans="1:80" s="6" customFormat="1" ht="15.75" x14ac:dyDescent="0.2">
      <c r="A262" s="58"/>
      <c r="C262" s="5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50"/>
      <c r="R262" s="8"/>
      <c r="AE262" s="66"/>
      <c r="AF262" s="62"/>
      <c r="AS262" s="67"/>
      <c r="BF262" s="67"/>
      <c r="BG262" s="67"/>
      <c r="BH262" s="185"/>
      <c r="BI262" s="185"/>
      <c r="BJ262" s="58"/>
      <c r="BK262" s="170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</row>
    <row r="263" spans="1:80" s="6" customFormat="1" ht="15.75" x14ac:dyDescent="0.2">
      <c r="A263" s="58"/>
      <c r="C263" s="5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50"/>
      <c r="R263" s="8"/>
      <c r="AE263" s="66"/>
      <c r="AF263" s="62"/>
      <c r="AS263" s="67"/>
      <c r="BF263" s="67"/>
      <c r="BG263" s="67"/>
      <c r="BH263" s="185"/>
      <c r="BI263" s="185"/>
      <c r="BJ263" s="58"/>
      <c r="BK263" s="170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</row>
    <row r="264" spans="1:80" s="6" customFormat="1" ht="15.75" x14ac:dyDescent="0.2">
      <c r="A264" s="58"/>
      <c r="C264" s="5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50"/>
      <c r="R264" s="8"/>
      <c r="AE264" s="66"/>
      <c r="AF264" s="62"/>
      <c r="AS264" s="67"/>
      <c r="BF264" s="67"/>
      <c r="BG264" s="67"/>
      <c r="BH264" s="185"/>
      <c r="BI264" s="185"/>
      <c r="BJ264" s="58"/>
      <c r="BK264" s="170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</row>
    <row r="265" spans="1:80" s="6" customFormat="1" ht="15.75" x14ac:dyDescent="0.2">
      <c r="A265" s="58"/>
      <c r="C265" s="5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50"/>
      <c r="R265" s="8"/>
      <c r="AE265" s="66"/>
      <c r="AF265" s="62"/>
      <c r="AS265" s="67"/>
      <c r="BF265" s="67"/>
      <c r="BG265" s="67"/>
      <c r="BH265" s="185"/>
      <c r="BI265" s="185"/>
      <c r="BJ265" s="58"/>
      <c r="BK265" s="170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</row>
    <row r="266" spans="1:80" s="6" customFormat="1" ht="15.75" x14ac:dyDescent="0.2">
      <c r="A266" s="58"/>
      <c r="C266" s="5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50"/>
      <c r="R266" s="8"/>
      <c r="AE266" s="66"/>
      <c r="AF266" s="62"/>
      <c r="AS266" s="67"/>
      <c r="BF266" s="67"/>
      <c r="BG266" s="67"/>
      <c r="BH266" s="185"/>
      <c r="BI266" s="185"/>
      <c r="BJ266" s="58"/>
      <c r="BK266" s="170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</row>
    <row r="267" spans="1:80" s="6" customFormat="1" ht="15.75" x14ac:dyDescent="0.2">
      <c r="A267" s="58"/>
      <c r="C267" s="5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50"/>
      <c r="R267" s="8"/>
      <c r="AE267" s="66"/>
      <c r="AF267" s="62"/>
      <c r="AS267" s="67"/>
      <c r="BF267" s="67"/>
      <c r="BG267" s="67"/>
      <c r="BH267" s="185"/>
      <c r="BI267" s="185"/>
      <c r="BJ267" s="58"/>
      <c r="BK267" s="170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</row>
    <row r="268" spans="1:80" s="6" customFormat="1" ht="15.75" x14ac:dyDescent="0.2">
      <c r="A268" s="58"/>
      <c r="C268" s="5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50"/>
      <c r="R268" s="8"/>
      <c r="AE268" s="66"/>
      <c r="AF268" s="62"/>
      <c r="AS268" s="67"/>
      <c r="BF268" s="67"/>
      <c r="BG268" s="67"/>
      <c r="BH268" s="185"/>
      <c r="BI268" s="185"/>
      <c r="BJ268" s="58"/>
      <c r="BK268" s="170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</row>
    <row r="269" spans="1:80" s="6" customFormat="1" ht="15.75" x14ac:dyDescent="0.2">
      <c r="A269" s="58"/>
      <c r="C269" s="5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50"/>
      <c r="R269" s="8"/>
      <c r="AE269" s="66"/>
      <c r="AF269" s="62"/>
      <c r="AS269" s="67"/>
      <c r="BF269" s="67"/>
      <c r="BG269" s="67"/>
      <c r="BH269" s="185"/>
      <c r="BI269" s="185"/>
      <c r="BJ269" s="58"/>
      <c r="BK269" s="170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</row>
    <row r="270" spans="1:80" s="6" customFormat="1" ht="15.75" x14ac:dyDescent="0.2">
      <c r="A270" s="58"/>
      <c r="C270" s="5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50"/>
      <c r="R270" s="8"/>
      <c r="AE270" s="66"/>
      <c r="AF270" s="62"/>
      <c r="AS270" s="67"/>
      <c r="BF270" s="67"/>
      <c r="BG270" s="67"/>
      <c r="BH270" s="185"/>
      <c r="BI270" s="185"/>
      <c r="BJ270" s="58"/>
      <c r="BK270" s="170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</row>
    <row r="271" spans="1:80" s="6" customFormat="1" ht="15.75" x14ac:dyDescent="0.2">
      <c r="A271" s="58"/>
      <c r="C271" s="5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50"/>
      <c r="R271" s="8"/>
      <c r="AE271" s="66"/>
      <c r="AF271" s="62"/>
      <c r="AS271" s="67"/>
      <c r="BF271" s="67"/>
      <c r="BG271" s="67"/>
      <c r="BH271" s="185"/>
      <c r="BI271" s="185"/>
      <c r="BJ271" s="58"/>
      <c r="BK271" s="170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</row>
    <row r="272" spans="1:80" s="6" customFormat="1" ht="15.75" x14ac:dyDescent="0.2">
      <c r="A272" s="58"/>
      <c r="C272" s="5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50"/>
      <c r="R272" s="8"/>
      <c r="AE272" s="66"/>
      <c r="AF272" s="62"/>
      <c r="AS272" s="67"/>
      <c r="BF272" s="67"/>
      <c r="BG272" s="67"/>
      <c r="BH272" s="185"/>
      <c r="BI272" s="185"/>
      <c r="BJ272" s="58"/>
      <c r="BK272" s="170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</row>
    <row r="273" spans="1:80" s="6" customFormat="1" ht="15.75" x14ac:dyDescent="0.2">
      <c r="A273" s="58"/>
      <c r="C273" s="5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50"/>
      <c r="R273" s="8"/>
      <c r="AE273" s="66"/>
      <c r="AF273" s="62"/>
      <c r="AS273" s="67"/>
      <c r="BF273" s="67"/>
      <c r="BG273" s="67"/>
      <c r="BH273" s="185"/>
      <c r="BI273" s="185"/>
      <c r="BJ273" s="58"/>
      <c r="BK273" s="170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</row>
    <row r="274" spans="1:80" s="6" customFormat="1" ht="15.75" x14ac:dyDescent="0.2">
      <c r="A274" s="58"/>
      <c r="C274" s="5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50"/>
      <c r="R274" s="8"/>
      <c r="AE274" s="66"/>
      <c r="AF274" s="62"/>
      <c r="AS274" s="67"/>
      <c r="BF274" s="67"/>
      <c r="BG274" s="67"/>
      <c r="BH274" s="185"/>
      <c r="BI274" s="185"/>
      <c r="BJ274" s="58"/>
      <c r="BK274" s="170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</row>
    <row r="275" spans="1:80" s="6" customFormat="1" ht="15.75" x14ac:dyDescent="0.2">
      <c r="A275" s="58"/>
      <c r="C275" s="5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50"/>
      <c r="R275" s="8"/>
      <c r="AE275" s="66"/>
      <c r="AF275" s="62"/>
      <c r="AS275" s="67"/>
      <c r="BF275" s="67"/>
      <c r="BG275" s="67"/>
      <c r="BH275" s="185"/>
      <c r="BI275" s="185"/>
      <c r="BJ275" s="58"/>
      <c r="BK275" s="170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</row>
    <row r="276" spans="1:80" s="6" customFormat="1" ht="15.75" x14ac:dyDescent="0.2">
      <c r="A276" s="58"/>
      <c r="C276" s="5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50"/>
      <c r="R276" s="8"/>
      <c r="AE276" s="66"/>
      <c r="AF276" s="62"/>
      <c r="AS276" s="67"/>
      <c r="BF276" s="67"/>
      <c r="BG276" s="67"/>
      <c r="BH276" s="185"/>
      <c r="BI276" s="185"/>
      <c r="BJ276" s="58"/>
      <c r="BK276" s="170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</row>
    <row r="277" spans="1:80" s="6" customFormat="1" ht="15.75" x14ac:dyDescent="0.2">
      <c r="A277" s="58"/>
      <c r="C277" s="5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50"/>
      <c r="R277" s="8"/>
      <c r="AE277" s="66"/>
      <c r="AF277" s="62"/>
      <c r="AS277" s="67"/>
      <c r="BF277" s="67"/>
      <c r="BG277" s="67"/>
      <c r="BH277" s="185"/>
      <c r="BI277" s="185"/>
      <c r="BJ277" s="58"/>
      <c r="BK277" s="170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</row>
    <row r="278" spans="1:80" s="6" customFormat="1" ht="15.75" x14ac:dyDescent="0.2">
      <c r="A278" s="58"/>
      <c r="C278" s="5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50"/>
      <c r="R278" s="8"/>
      <c r="AE278" s="66"/>
      <c r="AF278" s="62"/>
      <c r="AS278" s="67"/>
      <c r="BF278" s="67"/>
      <c r="BG278" s="67"/>
      <c r="BH278" s="185"/>
      <c r="BI278" s="185"/>
      <c r="BJ278" s="58"/>
      <c r="BK278" s="170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</row>
    <row r="279" spans="1:80" s="6" customFormat="1" ht="15.75" x14ac:dyDescent="0.2">
      <c r="A279" s="58"/>
      <c r="C279" s="5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50"/>
      <c r="R279" s="8"/>
      <c r="AE279" s="66"/>
      <c r="AF279" s="62"/>
      <c r="AS279" s="67"/>
      <c r="BF279" s="67"/>
      <c r="BG279" s="67"/>
      <c r="BH279" s="185"/>
      <c r="BI279" s="185"/>
      <c r="BJ279" s="58"/>
      <c r="BK279" s="170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</row>
    <row r="280" spans="1:80" s="6" customFormat="1" ht="15.75" x14ac:dyDescent="0.2">
      <c r="A280" s="58"/>
      <c r="C280" s="5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50"/>
      <c r="R280" s="8"/>
      <c r="AE280" s="66"/>
      <c r="AF280" s="62"/>
      <c r="AS280" s="67"/>
      <c r="BF280" s="67"/>
      <c r="BG280" s="67"/>
      <c r="BH280" s="185"/>
      <c r="BI280" s="185"/>
      <c r="BJ280" s="58"/>
      <c r="BK280" s="170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</row>
    <row r="281" spans="1:80" s="6" customFormat="1" ht="15.75" x14ac:dyDescent="0.2">
      <c r="A281" s="58"/>
      <c r="C281" s="5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50"/>
      <c r="R281" s="8"/>
      <c r="AE281" s="66"/>
      <c r="AF281" s="62"/>
      <c r="AS281" s="67"/>
      <c r="BF281" s="67"/>
      <c r="BG281" s="67"/>
      <c r="BH281" s="185"/>
      <c r="BI281" s="185"/>
      <c r="BJ281" s="58"/>
      <c r="BK281" s="170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</row>
    <row r="282" spans="1:80" s="6" customFormat="1" ht="15.75" x14ac:dyDescent="0.2">
      <c r="A282" s="58"/>
      <c r="C282" s="5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50"/>
      <c r="R282" s="8"/>
      <c r="AE282" s="66"/>
      <c r="AF282" s="62"/>
      <c r="AS282" s="67"/>
      <c r="BF282" s="67"/>
      <c r="BG282" s="67"/>
      <c r="BH282" s="185"/>
      <c r="BI282" s="185"/>
      <c r="BJ282" s="58"/>
      <c r="BK282" s="170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</row>
    <row r="283" spans="1:80" s="6" customFormat="1" ht="15.75" x14ac:dyDescent="0.2">
      <c r="A283" s="58"/>
      <c r="C283" s="5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50"/>
      <c r="R283" s="8"/>
      <c r="AE283" s="66"/>
      <c r="AF283" s="62"/>
      <c r="AS283" s="67"/>
      <c r="BF283" s="67"/>
      <c r="BG283" s="67"/>
      <c r="BH283" s="185"/>
      <c r="BI283" s="185"/>
      <c r="BJ283" s="58"/>
      <c r="BK283" s="170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</row>
    <row r="284" spans="1:80" s="6" customFormat="1" ht="15.75" x14ac:dyDescent="0.2">
      <c r="A284" s="58"/>
      <c r="C284" s="5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50"/>
      <c r="R284" s="8"/>
      <c r="AE284" s="66"/>
      <c r="AF284" s="62"/>
      <c r="AS284" s="67"/>
      <c r="BF284" s="67"/>
      <c r="BG284" s="67"/>
      <c r="BH284" s="185"/>
      <c r="BI284" s="185"/>
      <c r="BJ284" s="58"/>
      <c r="BK284" s="170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</row>
    <row r="285" spans="1:80" s="6" customFormat="1" ht="15.75" x14ac:dyDescent="0.2">
      <c r="A285" s="58"/>
      <c r="C285" s="5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50"/>
      <c r="R285" s="8"/>
      <c r="AE285" s="66"/>
      <c r="AF285" s="62"/>
      <c r="AS285" s="67"/>
      <c r="BF285" s="67"/>
      <c r="BG285" s="67"/>
      <c r="BH285" s="185"/>
      <c r="BI285" s="185"/>
      <c r="BJ285" s="58"/>
      <c r="BK285" s="170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</row>
    <row r="286" spans="1:80" s="6" customFormat="1" ht="15.75" x14ac:dyDescent="0.2">
      <c r="A286" s="58"/>
      <c r="C286" s="5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50"/>
      <c r="R286" s="8"/>
      <c r="AE286" s="66"/>
      <c r="AF286" s="62"/>
      <c r="AS286" s="67"/>
      <c r="BF286" s="67"/>
      <c r="BG286" s="67"/>
      <c r="BH286" s="185"/>
      <c r="BI286" s="185"/>
      <c r="BJ286" s="58"/>
      <c r="BK286" s="170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</row>
    <row r="287" spans="1:80" s="6" customFormat="1" ht="15.75" x14ac:dyDescent="0.2">
      <c r="A287" s="58"/>
      <c r="C287" s="5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50"/>
      <c r="R287" s="8"/>
      <c r="AE287" s="66"/>
      <c r="AF287" s="62"/>
      <c r="AS287" s="67"/>
      <c r="BF287" s="67"/>
      <c r="BG287" s="67"/>
      <c r="BH287" s="185"/>
      <c r="BI287" s="185"/>
      <c r="BJ287" s="58"/>
      <c r="BK287" s="170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</row>
    <row r="288" spans="1:80" s="6" customFormat="1" ht="15.75" x14ac:dyDescent="0.2">
      <c r="A288" s="58"/>
      <c r="C288" s="5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50"/>
      <c r="R288" s="8"/>
      <c r="AE288" s="66"/>
      <c r="AF288" s="62"/>
      <c r="AS288" s="67"/>
      <c r="BF288" s="67"/>
      <c r="BG288" s="67"/>
      <c r="BH288" s="185"/>
      <c r="BI288" s="185"/>
      <c r="BJ288" s="58"/>
      <c r="BK288" s="170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</row>
    <row r="289" spans="1:80" s="6" customFormat="1" ht="15.75" x14ac:dyDescent="0.2">
      <c r="A289" s="58"/>
      <c r="C289" s="5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50"/>
      <c r="R289" s="8"/>
      <c r="AE289" s="66"/>
      <c r="AF289" s="62"/>
      <c r="AS289" s="67"/>
      <c r="BF289" s="67"/>
      <c r="BG289" s="67"/>
      <c r="BH289" s="185"/>
      <c r="BI289" s="185"/>
      <c r="BJ289" s="58"/>
      <c r="BK289" s="170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</row>
    <row r="290" spans="1:80" s="6" customFormat="1" ht="15.75" x14ac:dyDescent="0.2">
      <c r="A290" s="58"/>
      <c r="C290" s="5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50"/>
      <c r="R290" s="8"/>
      <c r="AE290" s="66"/>
      <c r="AF290" s="62"/>
      <c r="AS290" s="67"/>
      <c r="BF290" s="67"/>
      <c r="BG290" s="67"/>
      <c r="BH290" s="185"/>
      <c r="BI290" s="185"/>
      <c r="BJ290" s="58"/>
      <c r="BK290" s="170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</row>
    <row r="291" spans="1:80" s="6" customFormat="1" ht="15.75" x14ac:dyDescent="0.2">
      <c r="A291" s="58"/>
      <c r="C291" s="5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50"/>
      <c r="R291" s="8"/>
      <c r="AE291" s="66"/>
      <c r="AF291" s="62"/>
      <c r="AS291" s="67"/>
      <c r="BF291" s="67"/>
      <c r="BG291" s="67"/>
      <c r="BH291" s="185"/>
      <c r="BI291" s="185"/>
      <c r="BJ291" s="58"/>
      <c r="BK291" s="170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</row>
    <row r="292" spans="1:80" s="6" customFormat="1" ht="15.75" x14ac:dyDescent="0.2">
      <c r="A292" s="58"/>
      <c r="C292" s="5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50"/>
      <c r="R292" s="8"/>
      <c r="AE292" s="66"/>
      <c r="AF292" s="62"/>
      <c r="AS292" s="67"/>
      <c r="BF292" s="67"/>
      <c r="BG292" s="67"/>
      <c r="BH292" s="185"/>
      <c r="BI292" s="185"/>
      <c r="BJ292" s="58"/>
      <c r="BK292" s="170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</row>
    <row r="293" spans="1:80" s="6" customFormat="1" ht="15.75" x14ac:dyDescent="0.2">
      <c r="A293" s="58"/>
      <c r="C293" s="5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50"/>
      <c r="R293" s="8"/>
      <c r="AE293" s="66"/>
      <c r="AF293" s="62"/>
      <c r="AS293" s="67"/>
      <c r="BF293" s="67"/>
      <c r="BG293" s="67"/>
      <c r="BH293" s="185"/>
      <c r="BI293" s="185"/>
      <c r="BJ293" s="58"/>
      <c r="BK293" s="170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</row>
    <row r="294" spans="1:80" s="6" customFormat="1" ht="15.75" x14ac:dyDescent="0.2">
      <c r="A294" s="58"/>
      <c r="C294" s="5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50"/>
      <c r="R294" s="8"/>
      <c r="AE294" s="66"/>
      <c r="AF294" s="62"/>
      <c r="AS294" s="67"/>
      <c r="BF294" s="67"/>
      <c r="BG294" s="67"/>
      <c r="BH294" s="185"/>
      <c r="BI294" s="185"/>
      <c r="BJ294" s="58"/>
      <c r="BK294" s="170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</row>
    <row r="295" spans="1:80" s="6" customFormat="1" ht="15.75" x14ac:dyDescent="0.2">
      <c r="A295" s="58"/>
      <c r="C295" s="5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50"/>
      <c r="R295" s="8"/>
      <c r="AE295" s="66"/>
      <c r="AF295" s="62"/>
      <c r="AS295" s="67"/>
      <c r="BF295" s="67"/>
      <c r="BG295" s="67"/>
      <c r="BH295" s="185"/>
      <c r="BI295" s="185"/>
      <c r="BJ295" s="58"/>
      <c r="BK295" s="170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</row>
    <row r="296" spans="1:80" s="6" customFormat="1" ht="15.75" x14ac:dyDescent="0.2">
      <c r="A296" s="58"/>
      <c r="C296" s="5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50"/>
      <c r="R296" s="8"/>
      <c r="AE296" s="66"/>
      <c r="AF296" s="62"/>
      <c r="AS296" s="67"/>
      <c r="BF296" s="67"/>
      <c r="BG296" s="67"/>
      <c r="BH296" s="185"/>
      <c r="BI296" s="185"/>
      <c r="BJ296" s="58"/>
      <c r="BK296" s="170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</row>
    <row r="297" spans="1:80" s="6" customFormat="1" ht="15.75" x14ac:dyDescent="0.2">
      <c r="A297" s="58"/>
      <c r="C297" s="5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50"/>
      <c r="R297" s="8"/>
      <c r="AE297" s="66"/>
      <c r="AF297" s="62"/>
      <c r="AS297" s="67"/>
      <c r="BF297" s="67"/>
      <c r="BG297" s="67"/>
      <c r="BH297" s="185"/>
      <c r="BI297" s="185"/>
      <c r="BJ297" s="58"/>
      <c r="BK297" s="170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</row>
    <row r="298" spans="1:80" s="6" customFormat="1" ht="15.75" x14ac:dyDescent="0.2">
      <c r="A298" s="58"/>
      <c r="C298" s="5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50"/>
      <c r="R298" s="8"/>
      <c r="AE298" s="66"/>
      <c r="AF298" s="62"/>
      <c r="AS298" s="67"/>
      <c r="BF298" s="67"/>
      <c r="BG298" s="67"/>
      <c r="BH298" s="185"/>
      <c r="BI298" s="185"/>
      <c r="BJ298" s="58"/>
      <c r="BK298" s="170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</row>
    <row r="299" spans="1:80" s="6" customFormat="1" ht="15.75" x14ac:dyDescent="0.2">
      <c r="A299" s="58"/>
      <c r="C299" s="5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50"/>
      <c r="R299" s="8"/>
      <c r="AE299" s="66"/>
      <c r="AF299" s="62"/>
      <c r="AS299" s="67"/>
      <c r="BF299" s="67"/>
      <c r="BG299" s="67"/>
      <c r="BH299" s="185"/>
      <c r="BI299" s="185"/>
      <c r="BJ299" s="58"/>
      <c r="BK299" s="170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</row>
    <row r="300" spans="1:80" s="6" customFormat="1" ht="15.75" x14ac:dyDescent="0.2">
      <c r="A300" s="58"/>
      <c r="C300" s="5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50"/>
      <c r="R300" s="8"/>
      <c r="AE300" s="66"/>
      <c r="AF300" s="62"/>
      <c r="AS300" s="67"/>
      <c r="BF300" s="67"/>
      <c r="BG300" s="67"/>
      <c r="BH300" s="185"/>
      <c r="BI300" s="185"/>
      <c r="BJ300" s="58"/>
      <c r="BK300" s="170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</row>
    <row r="301" spans="1:80" s="6" customFormat="1" ht="15.75" x14ac:dyDescent="0.2">
      <c r="A301" s="58"/>
      <c r="C301" s="5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50"/>
      <c r="R301" s="8"/>
      <c r="AE301" s="66"/>
      <c r="AF301" s="62"/>
      <c r="AS301" s="67"/>
      <c r="BF301" s="67"/>
      <c r="BG301" s="67"/>
      <c r="BH301" s="185"/>
      <c r="BI301" s="185"/>
      <c r="BJ301" s="58"/>
      <c r="BK301" s="170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</row>
    <row r="302" spans="1:80" s="6" customFormat="1" ht="15.75" x14ac:dyDescent="0.2">
      <c r="A302" s="58"/>
      <c r="C302" s="5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50"/>
      <c r="R302" s="8"/>
      <c r="AE302" s="66"/>
      <c r="AF302" s="62"/>
      <c r="AS302" s="67"/>
      <c r="BF302" s="67"/>
      <c r="BG302" s="67"/>
      <c r="BH302" s="185"/>
      <c r="BI302" s="185"/>
      <c r="BJ302" s="58"/>
      <c r="BK302" s="170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</row>
    <row r="303" spans="1:80" s="6" customFormat="1" ht="15.75" x14ac:dyDescent="0.2">
      <c r="A303" s="58"/>
      <c r="C303" s="5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50"/>
      <c r="R303" s="8"/>
      <c r="AE303" s="66"/>
      <c r="AF303" s="62"/>
      <c r="AS303" s="67"/>
      <c r="BF303" s="67"/>
      <c r="BG303" s="67"/>
      <c r="BH303" s="185"/>
      <c r="BI303" s="185"/>
      <c r="BJ303" s="58"/>
      <c r="BK303" s="170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</row>
    <row r="304" spans="1:80" s="6" customFormat="1" ht="15.75" x14ac:dyDescent="0.2">
      <c r="A304" s="58"/>
      <c r="C304" s="5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50"/>
      <c r="R304" s="8"/>
      <c r="AE304" s="66"/>
      <c r="AF304" s="62"/>
      <c r="AS304" s="67"/>
      <c r="BF304" s="67"/>
      <c r="BG304" s="67"/>
      <c r="BH304" s="185"/>
      <c r="BI304" s="185"/>
      <c r="BJ304" s="58"/>
      <c r="BK304" s="170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</row>
    <row r="305" spans="1:80" s="6" customFormat="1" ht="15.75" x14ac:dyDescent="0.2">
      <c r="A305" s="58"/>
      <c r="C305" s="5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50"/>
      <c r="R305" s="8"/>
      <c r="AE305" s="66"/>
      <c r="AF305" s="62"/>
      <c r="AS305" s="67"/>
      <c r="BF305" s="67"/>
      <c r="BG305" s="67"/>
      <c r="BH305" s="185"/>
      <c r="BI305" s="185"/>
      <c r="BJ305" s="58"/>
      <c r="BK305" s="170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</row>
    <row r="306" spans="1:80" s="6" customFormat="1" ht="15.75" x14ac:dyDescent="0.2">
      <c r="A306" s="58"/>
      <c r="C306" s="5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50"/>
      <c r="R306" s="8"/>
      <c r="AE306" s="66"/>
      <c r="AF306" s="62"/>
      <c r="AS306" s="67"/>
      <c r="BF306" s="67"/>
      <c r="BG306" s="67"/>
      <c r="BH306" s="185"/>
      <c r="BI306" s="185"/>
      <c r="BJ306" s="58"/>
      <c r="BK306" s="170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</row>
    <row r="307" spans="1:80" s="6" customFormat="1" ht="15.75" x14ac:dyDescent="0.2">
      <c r="A307" s="58"/>
      <c r="C307" s="5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50"/>
      <c r="R307" s="8"/>
      <c r="AE307" s="66"/>
      <c r="AF307" s="62"/>
      <c r="AS307" s="67"/>
      <c r="BF307" s="67"/>
      <c r="BG307" s="67"/>
      <c r="BH307" s="185"/>
      <c r="BI307" s="185"/>
      <c r="BJ307" s="58"/>
      <c r="BK307" s="170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</row>
    <row r="308" spans="1:80" s="6" customFormat="1" ht="15.75" x14ac:dyDescent="0.2">
      <c r="A308" s="58"/>
      <c r="C308" s="5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50"/>
      <c r="R308" s="8"/>
      <c r="AE308" s="66"/>
      <c r="AF308" s="62"/>
      <c r="AS308" s="67"/>
      <c r="BF308" s="67"/>
      <c r="BG308" s="67"/>
      <c r="BH308" s="185"/>
      <c r="BI308" s="185"/>
      <c r="BJ308" s="58"/>
      <c r="BK308" s="170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</row>
    <row r="309" spans="1:80" s="6" customFormat="1" ht="15.75" x14ac:dyDescent="0.2">
      <c r="A309" s="58"/>
      <c r="C309" s="5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50"/>
      <c r="R309" s="8"/>
      <c r="AE309" s="66"/>
      <c r="AF309" s="62"/>
      <c r="AS309" s="67"/>
      <c r="BF309" s="67"/>
      <c r="BG309" s="67"/>
      <c r="BH309" s="185"/>
      <c r="BI309" s="185"/>
      <c r="BJ309" s="58"/>
      <c r="BK309" s="170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</row>
    <row r="310" spans="1:80" s="6" customFormat="1" ht="15.75" x14ac:dyDescent="0.2">
      <c r="A310" s="58"/>
      <c r="C310" s="5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50"/>
      <c r="R310" s="8"/>
      <c r="AE310" s="66"/>
      <c r="AF310" s="62"/>
      <c r="AS310" s="67"/>
      <c r="BF310" s="67"/>
      <c r="BG310" s="67"/>
      <c r="BH310" s="185"/>
      <c r="BI310" s="185"/>
      <c r="BJ310" s="58"/>
      <c r="BK310" s="170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</row>
    <row r="311" spans="1:80" s="6" customFormat="1" ht="15.75" x14ac:dyDescent="0.2">
      <c r="A311" s="58"/>
      <c r="C311" s="5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50"/>
      <c r="R311" s="8"/>
      <c r="AE311" s="66"/>
      <c r="AF311" s="62"/>
      <c r="AS311" s="67"/>
      <c r="BF311" s="67"/>
      <c r="BG311" s="67"/>
      <c r="BH311" s="185"/>
      <c r="BI311" s="185"/>
      <c r="BJ311" s="58"/>
      <c r="BK311" s="170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</row>
    <row r="312" spans="1:80" s="6" customFormat="1" ht="15.75" x14ac:dyDescent="0.2">
      <c r="A312" s="58"/>
      <c r="C312" s="5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50"/>
      <c r="R312" s="8"/>
      <c r="AE312" s="66"/>
      <c r="AF312" s="62"/>
      <c r="AS312" s="67"/>
      <c r="BF312" s="67"/>
      <c r="BG312" s="67"/>
      <c r="BH312" s="185"/>
      <c r="BI312" s="185"/>
      <c r="BJ312" s="58"/>
      <c r="BK312" s="170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</row>
    <row r="313" spans="1:80" s="6" customFormat="1" ht="15.75" x14ac:dyDescent="0.2">
      <c r="A313" s="58"/>
      <c r="C313" s="5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50"/>
      <c r="R313" s="8"/>
      <c r="AE313" s="66"/>
      <c r="AF313" s="62"/>
      <c r="AS313" s="67"/>
      <c r="BF313" s="67"/>
      <c r="BG313" s="67"/>
      <c r="BH313" s="185"/>
      <c r="BI313" s="185"/>
      <c r="BJ313" s="58"/>
      <c r="BK313" s="170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</row>
    <row r="314" spans="1:80" s="6" customFormat="1" ht="15.75" x14ac:dyDescent="0.2">
      <c r="A314" s="58"/>
      <c r="C314" s="5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50"/>
      <c r="R314" s="8"/>
      <c r="AE314" s="66"/>
      <c r="AF314" s="62"/>
      <c r="AS314" s="67"/>
      <c r="BF314" s="67"/>
      <c r="BG314" s="67"/>
      <c r="BH314" s="185"/>
      <c r="BI314" s="185"/>
      <c r="BJ314" s="58"/>
      <c r="BK314" s="170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</row>
    <row r="315" spans="1:80" s="6" customFormat="1" ht="15.75" x14ac:dyDescent="0.2">
      <c r="A315" s="58"/>
      <c r="C315" s="5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50"/>
      <c r="R315" s="8"/>
      <c r="AE315" s="66"/>
      <c r="AF315" s="62"/>
      <c r="AS315" s="67"/>
      <c r="BF315" s="67"/>
      <c r="BG315" s="67"/>
      <c r="BH315" s="185"/>
      <c r="BI315" s="185"/>
      <c r="BJ315" s="58"/>
      <c r="BK315" s="170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</row>
    <row r="316" spans="1:80" s="6" customFormat="1" ht="15.75" x14ac:dyDescent="0.2">
      <c r="A316" s="58"/>
      <c r="C316" s="5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50"/>
      <c r="R316" s="8"/>
      <c r="AE316" s="66"/>
      <c r="AF316" s="62"/>
      <c r="AS316" s="67"/>
      <c r="BF316" s="67"/>
      <c r="BG316" s="67"/>
      <c r="BH316" s="185"/>
      <c r="BI316" s="185"/>
      <c r="BJ316" s="58"/>
      <c r="BK316" s="170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</row>
    <row r="317" spans="1:80" s="6" customFormat="1" ht="15.75" x14ac:dyDescent="0.2">
      <c r="A317" s="58"/>
      <c r="C317" s="5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50"/>
      <c r="R317" s="8"/>
      <c r="AE317" s="66"/>
      <c r="AF317" s="62"/>
      <c r="AS317" s="67"/>
      <c r="BF317" s="67"/>
      <c r="BG317" s="67"/>
      <c r="BH317" s="185"/>
      <c r="BI317" s="185"/>
      <c r="BJ317" s="58"/>
      <c r="BK317" s="170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</row>
    <row r="318" spans="1:80" s="6" customFormat="1" ht="15.75" x14ac:dyDescent="0.2">
      <c r="A318" s="58"/>
      <c r="C318" s="5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50"/>
      <c r="R318" s="8"/>
      <c r="AE318" s="66"/>
      <c r="AF318" s="62"/>
      <c r="AS318" s="67"/>
      <c r="BF318" s="67"/>
      <c r="BG318" s="67"/>
      <c r="BH318" s="185"/>
      <c r="BI318" s="185"/>
      <c r="BJ318" s="58"/>
      <c r="BK318" s="170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</row>
    <row r="319" spans="1:80" s="6" customFormat="1" ht="15.75" x14ac:dyDescent="0.2">
      <c r="A319" s="58"/>
      <c r="C319" s="5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50"/>
      <c r="R319" s="8"/>
      <c r="AE319" s="66"/>
      <c r="AF319" s="62"/>
      <c r="AS319" s="67"/>
      <c r="BF319" s="67"/>
      <c r="BG319" s="67"/>
      <c r="BH319" s="185"/>
      <c r="BI319" s="185"/>
      <c r="BJ319" s="58"/>
      <c r="BK319" s="170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</row>
    <row r="320" spans="1:80" s="6" customFormat="1" ht="15.75" x14ac:dyDescent="0.2">
      <c r="A320" s="58"/>
      <c r="C320" s="5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50"/>
      <c r="R320" s="8"/>
      <c r="AE320" s="66"/>
      <c r="AF320" s="62"/>
      <c r="AS320" s="67"/>
      <c r="BF320" s="67"/>
      <c r="BG320" s="67"/>
      <c r="BH320" s="185"/>
      <c r="BI320" s="185"/>
      <c r="BJ320" s="58"/>
      <c r="BK320" s="170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</row>
    <row r="321" spans="1:80" s="6" customFormat="1" ht="15.75" x14ac:dyDescent="0.2">
      <c r="A321" s="58"/>
      <c r="C321" s="5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50"/>
      <c r="R321" s="8"/>
      <c r="AE321" s="66"/>
      <c r="AF321" s="62"/>
      <c r="AS321" s="67"/>
      <c r="BF321" s="67"/>
      <c r="BG321" s="67"/>
      <c r="BH321" s="185"/>
      <c r="BI321" s="185"/>
      <c r="BJ321" s="58"/>
      <c r="BK321" s="170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</row>
  </sheetData>
  <mergeCells count="368">
    <mergeCell ref="BK193:BM193"/>
    <mergeCell ref="BK175:BM175"/>
    <mergeCell ref="BO182:CN182"/>
    <mergeCell ref="BK183:BM183"/>
    <mergeCell ref="BO183:CA183"/>
    <mergeCell ref="CB183:CN183"/>
    <mergeCell ref="BK184:BM184"/>
    <mergeCell ref="BO191:CN191"/>
    <mergeCell ref="BK192:BM192"/>
    <mergeCell ref="BO192:CA192"/>
    <mergeCell ref="CB192:CN192"/>
    <mergeCell ref="BK142:BM142"/>
    <mergeCell ref="BO165:CN165"/>
    <mergeCell ref="BK166:BM166"/>
    <mergeCell ref="BO166:CA166"/>
    <mergeCell ref="CB166:CN166"/>
    <mergeCell ref="BK167:BM167"/>
    <mergeCell ref="BO173:CN173"/>
    <mergeCell ref="BK174:BM174"/>
    <mergeCell ref="BO174:CA174"/>
    <mergeCell ref="CB174:CN174"/>
    <mergeCell ref="BK109:BM109"/>
    <mergeCell ref="BO124:CN124"/>
    <mergeCell ref="BK125:BM125"/>
    <mergeCell ref="BO125:CA125"/>
    <mergeCell ref="CB125:CN125"/>
    <mergeCell ref="BK126:BM126"/>
    <mergeCell ref="BO140:CN140"/>
    <mergeCell ref="BK141:BM141"/>
    <mergeCell ref="BO141:CA141"/>
    <mergeCell ref="CB141:CN141"/>
    <mergeCell ref="BK79:BM79"/>
    <mergeCell ref="BO91:CN91"/>
    <mergeCell ref="BK92:BM92"/>
    <mergeCell ref="BO92:CA92"/>
    <mergeCell ref="CB92:CN92"/>
    <mergeCell ref="BK93:BM93"/>
    <mergeCell ref="BO107:CN107"/>
    <mergeCell ref="BK108:BM108"/>
    <mergeCell ref="BO108:CA108"/>
    <mergeCell ref="CB108:CN108"/>
    <mergeCell ref="BK61:BM61"/>
    <mergeCell ref="BO67:CN67"/>
    <mergeCell ref="BK68:BM68"/>
    <mergeCell ref="BO68:CA68"/>
    <mergeCell ref="CB68:CN68"/>
    <mergeCell ref="BK69:BM69"/>
    <mergeCell ref="BO77:CN77"/>
    <mergeCell ref="BK78:BM78"/>
    <mergeCell ref="BO78:CA78"/>
    <mergeCell ref="CB78:CN78"/>
    <mergeCell ref="BK44:BM44"/>
    <mergeCell ref="BO51:CN51"/>
    <mergeCell ref="BK52:BM52"/>
    <mergeCell ref="BO52:CA52"/>
    <mergeCell ref="CB52:CN52"/>
    <mergeCell ref="BK53:BM53"/>
    <mergeCell ref="BO59:CN59"/>
    <mergeCell ref="BK60:BM60"/>
    <mergeCell ref="BO60:CA60"/>
    <mergeCell ref="CB60:CN60"/>
    <mergeCell ref="BO22:CN22"/>
    <mergeCell ref="BK23:BM23"/>
    <mergeCell ref="BO23:CA23"/>
    <mergeCell ref="CB23:CN23"/>
    <mergeCell ref="BK24:BM24"/>
    <mergeCell ref="BO42:CN42"/>
    <mergeCell ref="BK43:BM43"/>
    <mergeCell ref="BO43:CA43"/>
    <mergeCell ref="CB43:CN43"/>
    <mergeCell ref="BO11:CN11"/>
    <mergeCell ref="BK12:BM12"/>
    <mergeCell ref="BO12:CA12"/>
    <mergeCell ref="CB12:CN12"/>
    <mergeCell ref="BK13:BM13"/>
    <mergeCell ref="BO3:CN3"/>
    <mergeCell ref="BK4:BM4"/>
    <mergeCell ref="BO4:CA4"/>
    <mergeCell ref="CB4:CN4"/>
    <mergeCell ref="BK5:BM5"/>
    <mergeCell ref="BG107:BG109"/>
    <mergeCell ref="BH107:BH109"/>
    <mergeCell ref="BG124:BG126"/>
    <mergeCell ref="BH124:BH126"/>
    <mergeCell ref="R140:R142"/>
    <mergeCell ref="S140:AE140"/>
    <mergeCell ref="AF140:AS140"/>
    <mergeCell ref="AT140:BF141"/>
    <mergeCell ref="BG140:BG142"/>
    <mergeCell ref="BH140:BH142"/>
    <mergeCell ref="BI107:BI109"/>
    <mergeCell ref="D108:D109"/>
    <mergeCell ref="E108:Q108"/>
    <mergeCell ref="S108:S109"/>
    <mergeCell ref="T108:AE108"/>
    <mergeCell ref="AF108:AF109"/>
    <mergeCell ref="AG108:AS108"/>
    <mergeCell ref="D77:Q77"/>
    <mergeCell ref="R77:R79"/>
    <mergeCell ref="S77:AE77"/>
    <mergeCell ref="AF77:AS77"/>
    <mergeCell ref="AT77:BF78"/>
    <mergeCell ref="BG77:BG79"/>
    <mergeCell ref="BH77:BH79"/>
    <mergeCell ref="BI77:BI79"/>
    <mergeCell ref="D78:D79"/>
    <mergeCell ref="E78:Q78"/>
    <mergeCell ref="S78:S79"/>
    <mergeCell ref="T78:AE78"/>
    <mergeCell ref="AF78:AF79"/>
    <mergeCell ref="AG78:AS78"/>
    <mergeCell ref="BH91:BH93"/>
    <mergeCell ref="BI91:BI93"/>
    <mergeCell ref="D107:Q107"/>
    <mergeCell ref="BH182:BH184"/>
    <mergeCell ref="BI182:BI184"/>
    <mergeCell ref="D183:D184"/>
    <mergeCell ref="E183:Q183"/>
    <mergeCell ref="S183:S184"/>
    <mergeCell ref="T183:AE183"/>
    <mergeCell ref="AF183:AF184"/>
    <mergeCell ref="AG183:AS183"/>
    <mergeCell ref="AT182:BF183"/>
    <mergeCell ref="A181:B181"/>
    <mergeCell ref="A182:A184"/>
    <mergeCell ref="B182:B184"/>
    <mergeCell ref="C182:C184"/>
    <mergeCell ref="D182:Q182"/>
    <mergeCell ref="R182:R184"/>
    <mergeCell ref="S182:AE182"/>
    <mergeCell ref="AF182:AS182"/>
    <mergeCell ref="BG182:BG184"/>
    <mergeCell ref="BI124:BI126"/>
    <mergeCell ref="D125:D126"/>
    <mergeCell ref="E125:Q125"/>
    <mergeCell ref="S125:S126"/>
    <mergeCell ref="T125:AE125"/>
    <mergeCell ref="AF125:AF126"/>
    <mergeCell ref="AG125:AS125"/>
    <mergeCell ref="AT124:BF125"/>
    <mergeCell ref="A123:B123"/>
    <mergeCell ref="A124:A126"/>
    <mergeCell ref="B124:B126"/>
    <mergeCell ref="C124:C126"/>
    <mergeCell ref="D124:Q124"/>
    <mergeCell ref="R124:R126"/>
    <mergeCell ref="S124:AE124"/>
    <mergeCell ref="AF124:AS124"/>
    <mergeCell ref="D173:Q173"/>
    <mergeCell ref="R173:R175"/>
    <mergeCell ref="S173:AE173"/>
    <mergeCell ref="AF173:AS173"/>
    <mergeCell ref="BG173:BG175"/>
    <mergeCell ref="BH173:BH175"/>
    <mergeCell ref="BI173:BI175"/>
    <mergeCell ref="D174:D175"/>
    <mergeCell ref="E174:Q174"/>
    <mergeCell ref="S174:S175"/>
    <mergeCell ref="T174:AE174"/>
    <mergeCell ref="AF174:AF175"/>
    <mergeCell ref="AG174:AS174"/>
    <mergeCell ref="AT173:BF174"/>
    <mergeCell ref="A50:B50"/>
    <mergeCell ref="A51:A53"/>
    <mergeCell ref="B51:B53"/>
    <mergeCell ref="C51:C53"/>
    <mergeCell ref="A172:B172"/>
    <mergeCell ref="A173:A175"/>
    <mergeCell ref="B173:B175"/>
    <mergeCell ref="C173:C175"/>
    <mergeCell ref="A76:B76"/>
    <mergeCell ref="A77:A79"/>
    <mergeCell ref="B77:B79"/>
    <mergeCell ref="C77:C79"/>
    <mergeCell ref="A106:B106"/>
    <mergeCell ref="A107:A109"/>
    <mergeCell ref="B107:B109"/>
    <mergeCell ref="C107:C109"/>
    <mergeCell ref="A139:B139"/>
    <mergeCell ref="A140:A142"/>
    <mergeCell ref="A164:B164"/>
    <mergeCell ref="A165:A167"/>
    <mergeCell ref="B165:B167"/>
    <mergeCell ref="C165:C167"/>
    <mergeCell ref="B67:B69"/>
    <mergeCell ref="B140:B142"/>
    <mergeCell ref="C140:C142"/>
    <mergeCell ref="D140:Q140"/>
    <mergeCell ref="D141:D142"/>
    <mergeCell ref="E141:Q141"/>
    <mergeCell ref="A10:B10"/>
    <mergeCell ref="A11:A13"/>
    <mergeCell ref="B11:B13"/>
    <mergeCell ref="C11:C13"/>
    <mergeCell ref="A21:B21"/>
    <mergeCell ref="A22:A24"/>
    <mergeCell ref="B22:B24"/>
    <mergeCell ref="C22:C24"/>
    <mergeCell ref="A58:B58"/>
    <mergeCell ref="A59:A61"/>
    <mergeCell ref="B59:B61"/>
    <mergeCell ref="C59:C61"/>
    <mergeCell ref="A41:B41"/>
    <mergeCell ref="A42:A44"/>
    <mergeCell ref="B42:B44"/>
    <mergeCell ref="D11:Q11"/>
    <mergeCell ref="A66:B66"/>
    <mergeCell ref="A67:A69"/>
    <mergeCell ref="C42:C44"/>
    <mergeCell ref="C67:C69"/>
    <mergeCell ref="A2:B2"/>
    <mergeCell ref="BH3:BH5"/>
    <mergeCell ref="BI3:BI5"/>
    <mergeCell ref="D4:D5"/>
    <mergeCell ref="E4:Q4"/>
    <mergeCell ref="S4:S5"/>
    <mergeCell ref="T4:AE4"/>
    <mergeCell ref="AF4:AF5"/>
    <mergeCell ref="AG4:AS4"/>
    <mergeCell ref="A3:A5"/>
    <mergeCell ref="B3:B5"/>
    <mergeCell ref="C3:C5"/>
    <mergeCell ref="D3:Q3"/>
    <mergeCell ref="R3:R5"/>
    <mergeCell ref="S3:AE3"/>
    <mergeCell ref="AF3:AS3"/>
    <mergeCell ref="BG3:BG5"/>
    <mergeCell ref="AT3:BF4"/>
    <mergeCell ref="R11:R13"/>
    <mergeCell ref="S11:AE11"/>
    <mergeCell ref="AF11:AS11"/>
    <mergeCell ref="BG11:BG13"/>
    <mergeCell ref="BH11:BH13"/>
    <mergeCell ref="BI11:BI13"/>
    <mergeCell ref="D12:D13"/>
    <mergeCell ref="E12:Q12"/>
    <mergeCell ref="S12:S13"/>
    <mergeCell ref="T12:AE12"/>
    <mergeCell ref="AF12:AF13"/>
    <mergeCell ref="AG12:AS12"/>
    <mergeCell ref="AT11:BF12"/>
    <mergeCell ref="BI140:BI142"/>
    <mergeCell ref="S141:S142"/>
    <mergeCell ref="T141:AE141"/>
    <mergeCell ref="R165:R167"/>
    <mergeCell ref="S165:AE165"/>
    <mergeCell ref="AF165:AS165"/>
    <mergeCell ref="BG165:BG167"/>
    <mergeCell ref="BH165:BH167"/>
    <mergeCell ref="BI165:BI167"/>
    <mergeCell ref="AF141:AF142"/>
    <mergeCell ref="AG141:AS141"/>
    <mergeCell ref="D166:D167"/>
    <mergeCell ref="E166:Q166"/>
    <mergeCell ref="S166:S167"/>
    <mergeCell ref="T166:AE166"/>
    <mergeCell ref="AF166:AF167"/>
    <mergeCell ref="AG166:AS166"/>
    <mergeCell ref="AT165:BF166"/>
    <mergeCell ref="D42:Q42"/>
    <mergeCell ref="R42:R44"/>
    <mergeCell ref="S42:AE42"/>
    <mergeCell ref="AF42:AS42"/>
    <mergeCell ref="AT59:BF60"/>
    <mergeCell ref="D165:Q165"/>
    <mergeCell ref="R107:R109"/>
    <mergeCell ref="S107:AE107"/>
    <mergeCell ref="AF107:AS107"/>
    <mergeCell ref="AT107:BF108"/>
    <mergeCell ref="D67:Q67"/>
    <mergeCell ref="R67:R69"/>
    <mergeCell ref="S67:AE67"/>
    <mergeCell ref="AF67:AS67"/>
    <mergeCell ref="D59:Q59"/>
    <mergeCell ref="R59:R61"/>
    <mergeCell ref="S59:AE59"/>
    <mergeCell ref="BG42:BG44"/>
    <mergeCell ref="BH42:BH44"/>
    <mergeCell ref="BI42:BI44"/>
    <mergeCell ref="D43:D44"/>
    <mergeCell ref="E43:Q43"/>
    <mergeCell ref="S43:S44"/>
    <mergeCell ref="T43:AE43"/>
    <mergeCell ref="AF43:AF44"/>
    <mergeCell ref="AG43:AS43"/>
    <mergeCell ref="AT42:BF43"/>
    <mergeCell ref="BG51:BG53"/>
    <mergeCell ref="BH51:BH53"/>
    <mergeCell ref="BI51:BI53"/>
    <mergeCell ref="D52:D53"/>
    <mergeCell ref="E52:Q52"/>
    <mergeCell ref="S52:S53"/>
    <mergeCell ref="T52:AE52"/>
    <mergeCell ref="AF52:AF53"/>
    <mergeCell ref="AG52:AS52"/>
    <mergeCell ref="AT51:BF52"/>
    <mergeCell ref="D51:Q51"/>
    <mergeCell ref="R51:R53"/>
    <mergeCell ref="S51:AE51"/>
    <mergeCell ref="AF51:AS51"/>
    <mergeCell ref="AF59:AS59"/>
    <mergeCell ref="BG67:BG69"/>
    <mergeCell ref="BH67:BH69"/>
    <mergeCell ref="BI67:BI69"/>
    <mergeCell ref="D68:D69"/>
    <mergeCell ref="E68:Q68"/>
    <mergeCell ref="S68:S69"/>
    <mergeCell ref="T68:AE68"/>
    <mergeCell ref="AF68:AF69"/>
    <mergeCell ref="AG68:AS68"/>
    <mergeCell ref="AT67:BF68"/>
    <mergeCell ref="BG59:BG61"/>
    <mergeCell ref="BH59:BH61"/>
    <mergeCell ref="BI59:BI61"/>
    <mergeCell ref="D60:D61"/>
    <mergeCell ref="E60:Q60"/>
    <mergeCell ref="S60:S61"/>
    <mergeCell ref="T60:AE60"/>
    <mergeCell ref="AF60:AF61"/>
    <mergeCell ref="AG60:AS60"/>
    <mergeCell ref="A90:B90"/>
    <mergeCell ref="A91:A93"/>
    <mergeCell ref="B91:B93"/>
    <mergeCell ref="C91:C93"/>
    <mergeCell ref="D91:Q91"/>
    <mergeCell ref="R91:R93"/>
    <mergeCell ref="S91:AE91"/>
    <mergeCell ref="AF91:AS91"/>
    <mergeCell ref="BG91:BG93"/>
    <mergeCell ref="D92:D93"/>
    <mergeCell ref="E92:Q92"/>
    <mergeCell ref="S92:S93"/>
    <mergeCell ref="T92:AE92"/>
    <mergeCell ref="AF92:AF93"/>
    <mergeCell ref="AG92:AS92"/>
    <mergeCell ref="AT91:BF92"/>
    <mergeCell ref="D22:Q22"/>
    <mergeCell ref="R22:R24"/>
    <mergeCell ref="S22:AE22"/>
    <mergeCell ref="AF22:AS22"/>
    <mergeCell ref="AT22:BF23"/>
    <mergeCell ref="BG22:BG24"/>
    <mergeCell ref="BH22:BH24"/>
    <mergeCell ref="BI22:BI24"/>
    <mergeCell ref="D23:D24"/>
    <mergeCell ref="E23:Q23"/>
    <mergeCell ref="S23:S24"/>
    <mergeCell ref="T23:AE23"/>
    <mergeCell ref="AF23:AF24"/>
    <mergeCell ref="AG23:AS23"/>
    <mergeCell ref="A190:B190"/>
    <mergeCell ref="A191:A193"/>
    <mergeCell ref="B191:B193"/>
    <mergeCell ref="C191:C193"/>
    <mergeCell ref="D191:Q191"/>
    <mergeCell ref="R191:R193"/>
    <mergeCell ref="S191:AE191"/>
    <mergeCell ref="AF191:AS191"/>
    <mergeCell ref="AT191:BF192"/>
    <mergeCell ref="BG191:BG193"/>
    <mergeCell ref="BH191:BH193"/>
    <mergeCell ref="BI191:BI193"/>
    <mergeCell ref="D192:D193"/>
    <mergeCell ref="E192:Q192"/>
    <mergeCell ref="S192:S193"/>
    <mergeCell ref="T192:AE192"/>
    <mergeCell ref="AF192:AF193"/>
    <mergeCell ref="AG192:AS192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DU394"/>
  <sheetViews>
    <sheetView topLeftCell="A94" zoomScale="80" zoomScaleNormal="80" workbookViewId="0">
      <selection activeCell="BX102" sqref="BX102:CB104"/>
    </sheetView>
  </sheetViews>
  <sheetFormatPr defaultRowHeight="15" x14ac:dyDescent="0.2"/>
  <cols>
    <col min="1" max="1" width="7.5" style="10" customWidth="1"/>
    <col min="2" max="2" width="63.1640625" style="9" customWidth="1"/>
    <col min="3" max="3" width="9.33203125" style="10" customWidth="1"/>
    <col min="4" max="4" width="10.83203125" style="242" customWidth="1"/>
    <col min="5" max="13" width="11.6640625" style="4" customWidth="1"/>
    <col min="14" max="14" width="11.6640625" style="1270" customWidth="1"/>
    <col min="15" max="21" width="11.6640625" style="4" customWidth="1"/>
    <col min="22" max="22" width="11.6640625" style="15" customWidth="1"/>
    <col min="23" max="23" width="14.33203125" style="167" customWidth="1"/>
    <col min="24" max="24" width="18.5" style="9" customWidth="1"/>
    <col min="25" max="34" width="16" customWidth="1"/>
    <col min="35" max="41" width="16" style="2" customWidth="1"/>
    <col min="42" max="42" width="18.83203125" style="1311" customWidth="1"/>
    <col min="43" max="43" width="17.83203125" customWidth="1"/>
    <col min="44" max="45" width="18.83203125" customWidth="1"/>
    <col min="46" max="46" width="20.83203125" customWidth="1"/>
    <col min="47" max="50" width="18.83203125" customWidth="1"/>
    <col min="51" max="51" width="17.83203125" customWidth="1"/>
    <col min="52" max="52" width="17.6640625" customWidth="1"/>
    <col min="53" max="59" width="18.6640625" customWidth="1"/>
    <col min="60" max="60" width="18.6640625" style="13" customWidth="1"/>
    <col min="61" max="62" width="16" customWidth="1"/>
    <col min="63" max="63" width="19.5" customWidth="1"/>
    <col min="64" max="67" width="16" customWidth="1"/>
    <col min="68" max="68" width="19.33203125" customWidth="1"/>
    <col min="69" max="69" width="18.83203125" customWidth="1"/>
    <col min="70" max="70" width="16" customWidth="1"/>
    <col min="71" max="77" width="16" style="2" customWidth="1"/>
    <col min="78" max="78" width="18.5" style="13" customWidth="1"/>
    <col min="79" max="79" width="17.5" style="13" customWidth="1"/>
    <col min="80" max="81" width="22.1640625" style="14" customWidth="1"/>
    <col min="82" max="82" width="16.33203125" bestFit="1" customWidth="1"/>
    <col min="83" max="83" width="19.5" style="172" customWidth="1"/>
    <col min="84" max="85" width="19.5" style="3" customWidth="1"/>
    <col min="86" max="86" width="20.83203125" style="3" customWidth="1"/>
    <col min="87" max="100" width="19.5" style="3" customWidth="1"/>
    <col min="101" max="112" width="19.5" customWidth="1"/>
  </cols>
  <sheetData>
    <row r="1" spans="1:125" s="20" customFormat="1" ht="24.75" customHeight="1" x14ac:dyDescent="0.2">
      <c r="A1" s="1730" t="s">
        <v>8</v>
      </c>
      <c r="B1" s="1731"/>
      <c r="C1" s="124" t="s">
        <v>673</v>
      </c>
      <c r="D1" s="136"/>
      <c r="E1" s="23"/>
      <c r="F1" s="23"/>
      <c r="G1" s="23"/>
      <c r="H1" s="23"/>
      <c r="I1" s="23"/>
      <c r="J1" s="23"/>
      <c r="K1" s="23"/>
      <c r="L1" s="23"/>
      <c r="M1" s="23"/>
      <c r="N1" s="1090"/>
      <c r="O1" s="23"/>
      <c r="P1" s="23"/>
      <c r="Q1" s="23"/>
      <c r="R1" s="23"/>
      <c r="S1" s="23"/>
      <c r="T1" s="23"/>
      <c r="U1" s="23"/>
      <c r="V1" s="23"/>
      <c r="W1" s="23"/>
      <c r="X1" s="23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7"/>
      <c r="AJ1" s="137"/>
      <c r="AK1" s="137"/>
      <c r="AL1" s="137"/>
      <c r="AM1" s="137"/>
      <c r="AN1" s="137"/>
      <c r="AO1" s="137"/>
      <c r="AP1" s="23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8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7"/>
      <c r="BT1" s="137"/>
      <c r="BU1" s="137"/>
      <c r="BV1" s="137"/>
      <c r="BW1" s="137"/>
      <c r="BX1" s="137"/>
      <c r="BY1" s="137"/>
      <c r="BZ1" s="138"/>
      <c r="CA1" s="138"/>
      <c r="CB1" s="135"/>
      <c r="CC1" s="139"/>
      <c r="CD1" s="23"/>
      <c r="CE1" s="1081">
        <f>SUM(AR1-CK1)</f>
        <v>0</v>
      </c>
      <c r="CF1" s="1081">
        <f>SUM(F1*X1)</f>
        <v>0</v>
      </c>
      <c r="CG1" s="1083">
        <f>SUM(CE1-CF1)</f>
        <v>0</v>
      </c>
      <c r="CH1" s="1084"/>
      <c r="CI1" s="862"/>
      <c r="CJ1" s="862"/>
      <c r="CK1" s="1081">
        <f t="shared" ref="CK1:CT1" si="0">SUM(AR1*12.5%)</f>
        <v>0</v>
      </c>
      <c r="CL1" s="862">
        <f t="shared" si="0"/>
        <v>0</v>
      </c>
      <c r="CM1" s="862">
        <f t="shared" si="0"/>
        <v>0</v>
      </c>
      <c r="CN1" s="862">
        <f t="shared" si="0"/>
        <v>0</v>
      </c>
      <c r="CO1" s="862">
        <f t="shared" si="0"/>
        <v>0</v>
      </c>
      <c r="CP1" s="862">
        <f t="shared" si="0"/>
        <v>0</v>
      </c>
      <c r="CQ1" s="862">
        <f t="shared" si="0"/>
        <v>0</v>
      </c>
      <c r="CR1" s="862">
        <f t="shared" si="0"/>
        <v>0</v>
      </c>
      <c r="CS1" s="862">
        <f t="shared" si="0"/>
        <v>0</v>
      </c>
      <c r="CT1" s="862">
        <f t="shared" si="0"/>
        <v>0</v>
      </c>
      <c r="CU1" s="73">
        <f t="shared" ref="CU1" si="1">SUM(CI1:CT1)</f>
        <v>0</v>
      </c>
      <c r="CV1" s="862"/>
      <c r="CW1" s="862"/>
      <c r="CX1" s="862"/>
      <c r="CY1" s="862"/>
      <c r="CZ1" s="862"/>
      <c r="DA1" s="862"/>
      <c r="DB1" s="862"/>
      <c r="DC1" s="862"/>
      <c r="DD1" s="862"/>
      <c r="DE1" s="862"/>
      <c r="DF1" s="862"/>
      <c r="DG1" s="862"/>
      <c r="DH1" s="73">
        <f t="shared" ref="DH1" si="2">SUM(CV1:DG1)</f>
        <v>0</v>
      </c>
      <c r="DI1" s="1085"/>
      <c r="DJ1" s="1085"/>
      <c r="DK1" s="1085"/>
      <c r="DL1" s="1085"/>
      <c r="DM1" s="1086"/>
      <c r="DN1" s="1087"/>
      <c r="DO1" s="1088"/>
      <c r="DP1" s="136"/>
      <c r="DQ1" s="136"/>
      <c r="DR1" s="135"/>
      <c r="DS1" s="135"/>
      <c r="DT1" s="135"/>
      <c r="DU1" s="135"/>
    </row>
    <row r="2" spans="1:125" s="8" customFormat="1" ht="48.75" customHeight="1" x14ac:dyDescent="0.2">
      <c r="A2" s="1703" t="s">
        <v>10</v>
      </c>
      <c r="B2" s="1706" t="s">
        <v>11</v>
      </c>
      <c r="C2" s="1706" t="s">
        <v>22</v>
      </c>
      <c r="D2" s="1721" t="s">
        <v>12</v>
      </c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1"/>
      <c r="P2" s="1721"/>
      <c r="Q2" s="1721"/>
      <c r="R2" s="1721"/>
      <c r="S2" s="1721"/>
      <c r="T2" s="1721"/>
      <c r="U2" s="1721"/>
      <c r="V2" s="1721"/>
      <c r="W2" s="1706" t="s">
        <v>20</v>
      </c>
      <c r="X2" s="1717" t="s">
        <v>17</v>
      </c>
      <c r="Y2" s="1718"/>
      <c r="Z2" s="1718"/>
      <c r="AA2" s="1718"/>
      <c r="AB2" s="1718"/>
      <c r="AC2" s="1718"/>
      <c r="AD2" s="1718"/>
      <c r="AE2" s="1718"/>
      <c r="AF2" s="1718"/>
      <c r="AG2" s="1718"/>
      <c r="AH2" s="1718"/>
      <c r="AI2" s="1718"/>
      <c r="AJ2" s="1718"/>
      <c r="AK2" s="1718"/>
      <c r="AL2" s="1718"/>
      <c r="AM2" s="1718"/>
      <c r="AN2" s="1718"/>
      <c r="AO2" s="1719"/>
      <c r="AP2" s="1720" t="s">
        <v>6</v>
      </c>
      <c r="AQ2" s="1720"/>
      <c r="AR2" s="1720"/>
      <c r="AS2" s="1720"/>
      <c r="AT2" s="1720"/>
      <c r="AU2" s="1720"/>
      <c r="AV2" s="1720"/>
      <c r="AW2" s="1720"/>
      <c r="AX2" s="1720"/>
      <c r="AY2" s="1720"/>
      <c r="AZ2" s="1720"/>
      <c r="BA2" s="1720"/>
      <c r="BB2" s="1720"/>
      <c r="BC2" s="1720"/>
      <c r="BD2" s="1720"/>
      <c r="BE2" s="1720"/>
      <c r="BF2" s="1720"/>
      <c r="BG2" s="1720"/>
      <c r="BH2" s="1720"/>
      <c r="BI2" s="1722" t="s">
        <v>41</v>
      </c>
      <c r="BJ2" s="1723"/>
      <c r="BK2" s="1723"/>
      <c r="BL2" s="1723"/>
      <c r="BM2" s="1723"/>
      <c r="BN2" s="1723"/>
      <c r="BO2" s="1723"/>
      <c r="BP2" s="1723"/>
      <c r="BQ2" s="1723"/>
      <c r="BR2" s="1723"/>
      <c r="BS2" s="1723"/>
      <c r="BT2" s="1723"/>
      <c r="BU2" s="1723"/>
      <c r="BV2" s="1723"/>
      <c r="BW2" s="1723"/>
      <c r="BX2" s="1723"/>
      <c r="BY2" s="1723"/>
      <c r="BZ2" s="1724"/>
      <c r="CA2" s="1706" t="s">
        <v>38</v>
      </c>
      <c r="CB2" s="1706" t="s">
        <v>256</v>
      </c>
      <c r="CC2" s="1794" t="s">
        <v>39</v>
      </c>
      <c r="CD2" s="135"/>
      <c r="CE2" s="135"/>
      <c r="CF2" s="135"/>
      <c r="CG2" s="135"/>
      <c r="CH2" s="135"/>
      <c r="CI2" s="1733" t="s">
        <v>41</v>
      </c>
      <c r="CJ2" s="1734"/>
      <c r="CK2" s="1734"/>
      <c r="CL2" s="1734"/>
      <c r="CM2" s="1734"/>
      <c r="CN2" s="1734"/>
      <c r="CO2" s="1734"/>
      <c r="CP2" s="1734"/>
      <c r="CQ2" s="1734"/>
      <c r="CR2" s="1734"/>
      <c r="CS2" s="1734"/>
      <c r="CT2" s="1734"/>
      <c r="CU2" s="1734"/>
      <c r="CV2" s="1734"/>
      <c r="CW2" s="1734"/>
      <c r="CX2" s="1734"/>
      <c r="CY2" s="1734"/>
      <c r="CZ2" s="1734"/>
      <c r="DA2" s="1734"/>
      <c r="DB2" s="1734"/>
      <c r="DC2" s="1734"/>
      <c r="DD2" s="1734"/>
      <c r="DE2" s="1734"/>
      <c r="DF2" s="1734"/>
      <c r="DG2" s="1734"/>
      <c r="DH2" s="1735"/>
      <c r="DI2" s="1089"/>
      <c r="DJ2" s="1089"/>
      <c r="DK2" s="1089"/>
      <c r="DL2" s="1089"/>
      <c r="DM2" s="23"/>
      <c r="DN2" s="1090"/>
      <c r="DO2" s="1088"/>
      <c r="DP2" s="23"/>
      <c r="DQ2" s="23"/>
      <c r="DR2" s="23"/>
      <c r="DS2" s="23"/>
      <c r="DT2" s="23"/>
      <c r="DU2" s="23"/>
    </row>
    <row r="3" spans="1:125" s="8" customFormat="1" ht="48.75" customHeight="1" x14ac:dyDescent="0.2">
      <c r="A3" s="1704"/>
      <c r="B3" s="1707"/>
      <c r="C3" s="1707"/>
      <c r="D3" s="1712" t="s">
        <v>18</v>
      </c>
      <c r="E3" s="1714" t="s">
        <v>19</v>
      </c>
      <c r="F3" s="1715"/>
      <c r="G3" s="1715"/>
      <c r="H3" s="1715"/>
      <c r="I3" s="1715"/>
      <c r="J3" s="1715"/>
      <c r="K3" s="1715"/>
      <c r="L3" s="1715"/>
      <c r="M3" s="1715"/>
      <c r="N3" s="1715"/>
      <c r="O3" s="1715"/>
      <c r="P3" s="1715"/>
      <c r="Q3" s="1715"/>
      <c r="R3" s="1715"/>
      <c r="S3" s="1715"/>
      <c r="T3" s="1715"/>
      <c r="U3" s="1715"/>
      <c r="V3" s="1715"/>
      <c r="W3" s="1707"/>
      <c r="X3" s="1712" t="s">
        <v>18</v>
      </c>
      <c r="Y3" s="1714" t="s">
        <v>19</v>
      </c>
      <c r="Z3" s="1715"/>
      <c r="AA3" s="1715"/>
      <c r="AB3" s="1715"/>
      <c r="AC3" s="1715"/>
      <c r="AD3" s="1715"/>
      <c r="AE3" s="1715"/>
      <c r="AF3" s="1715"/>
      <c r="AG3" s="1715"/>
      <c r="AH3" s="1715"/>
      <c r="AI3" s="1715"/>
      <c r="AJ3" s="1715"/>
      <c r="AK3" s="1715"/>
      <c r="AL3" s="1715"/>
      <c r="AM3" s="1715"/>
      <c r="AN3" s="1715"/>
      <c r="AO3" s="1716"/>
      <c r="AP3" s="1712" t="s">
        <v>18</v>
      </c>
      <c r="AQ3" s="1714" t="s">
        <v>19</v>
      </c>
      <c r="AR3" s="1715"/>
      <c r="AS3" s="1715"/>
      <c r="AT3" s="1715"/>
      <c r="AU3" s="1715"/>
      <c r="AV3" s="1715"/>
      <c r="AW3" s="1715"/>
      <c r="AX3" s="1715"/>
      <c r="AY3" s="1715"/>
      <c r="AZ3" s="1715"/>
      <c r="BA3" s="1715"/>
      <c r="BB3" s="1715"/>
      <c r="BC3" s="1715"/>
      <c r="BD3" s="1715"/>
      <c r="BE3" s="1715"/>
      <c r="BF3" s="1715"/>
      <c r="BG3" s="1715"/>
      <c r="BH3" s="1716"/>
      <c r="BI3" s="1725"/>
      <c r="BJ3" s="1726"/>
      <c r="BK3" s="1726"/>
      <c r="BL3" s="1726"/>
      <c r="BM3" s="1726"/>
      <c r="BN3" s="1726"/>
      <c r="BO3" s="1726"/>
      <c r="BP3" s="1726"/>
      <c r="BQ3" s="1726"/>
      <c r="BR3" s="1726"/>
      <c r="BS3" s="1726"/>
      <c r="BT3" s="1726"/>
      <c r="BU3" s="1726"/>
      <c r="BV3" s="1726"/>
      <c r="BW3" s="1726"/>
      <c r="BX3" s="1726"/>
      <c r="BY3" s="1726"/>
      <c r="BZ3" s="1727"/>
      <c r="CA3" s="1707"/>
      <c r="CB3" s="1707"/>
      <c r="CC3" s="1795"/>
      <c r="CD3" s="135"/>
      <c r="CE3" s="1736">
        <f>SUM(CE5/60)</f>
        <v>0</v>
      </c>
      <c r="CF3" s="1736"/>
      <c r="CG3" s="1736"/>
      <c r="CH3" s="23"/>
      <c r="CI3" s="1737" t="s">
        <v>686</v>
      </c>
      <c r="CJ3" s="1738"/>
      <c r="CK3" s="1738"/>
      <c r="CL3" s="1738"/>
      <c r="CM3" s="1738"/>
      <c r="CN3" s="1738"/>
      <c r="CO3" s="1738"/>
      <c r="CP3" s="1738"/>
      <c r="CQ3" s="1738"/>
      <c r="CR3" s="1738"/>
      <c r="CS3" s="1738"/>
      <c r="CT3" s="1738"/>
      <c r="CU3" s="1739"/>
      <c r="CV3" s="1740" t="s">
        <v>687</v>
      </c>
      <c r="CW3" s="1741"/>
      <c r="CX3" s="1741"/>
      <c r="CY3" s="1741"/>
      <c r="CZ3" s="1741"/>
      <c r="DA3" s="1741"/>
      <c r="DB3" s="1741"/>
      <c r="DC3" s="1741"/>
      <c r="DD3" s="1741"/>
      <c r="DE3" s="1741"/>
      <c r="DF3" s="1741"/>
      <c r="DG3" s="1741"/>
      <c r="DH3" s="1742"/>
      <c r="DI3" s="1089"/>
      <c r="DJ3" s="1089"/>
      <c r="DK3" s="1089"/>
      <c r="DL3" s="1089"/>
      <c r="DM3" s="23"/>
      <c r="DN3" s="1090"/>
      <c r="DO3" s="1088"/>
      <c r="DP3" s="23"/>
      <c r="DQ3" s="23"/>
      <c r="DR3" s="23"/>
      <c r="DS3" s="23"/>
      <c r="DT3" s="23"/>
      <c r="DU3" s="23"/>
    </row>
    <row r="4" spans="1:125" s="6" customFormat="1" ht="28.5" customHeight="1" x14ac:dyDescent="0.2">
      <c r="A4" s="1704"/>
      <c r="B4" s="1707"/>
      <c r="C4" s="1707"/>
      <c r="D4" s="1784"/>
      <c r="E4" s="26">
        <v>1</v>
      </c>
      <c r="F4" s="26">
        <v>2</v>
      </c>
      <c r="G4" s="26">
        <v>3</v>
      </c>
      <c r="H4" s="26">
        <v>4</v>
      </c>
      <c r="I4" s="26">
        <v>5</v>
      </c>
      <c r="J4" s="26">
        <v>6</v>
      </c>
      <c r="K4" s="26">
        <v>7</v>
      </c>
      <c r="L4" s="26">
        <v>8</v>
      </c>
      <c r="M4" s="26">
        <v>9</v>
      </c>
      <c r="N4" s="26">
        <v>10</v>
      </c>
      <c r="O4" s="26">
        <v>11</v>
      </c>
      <c r="P4" s="26">
        <v>12</v>
      </c>
      <c r="Q4" s="26">
        <v>13</v>
      </c>
      <c r="R4" s="26">
        <v>14</v>
      </c>
      <c r="S4" s="26">
        <v>15</v>
      </c>
      <c r="T4" s="26">
        <v>16</v>
      </c>
      <c r="U4" s="26">
        <v>17</v>
      </c>
      <c r="V4" s="26" t="s">
        <v>21</v>
      </c>
      <c r="W4" s="1707"/>
      <c r="X4" s="1784"/>
      <c r="Y4" s="26">
        <v>1</v>
      </c>
      <c r="Z4" s="26">
        <v>2</v>
      </c>
      <c r="AA4" s="26">
        <v>3</v>
      </c>
      <c r="AB4" s="26">
        <v>4</v>
      </c>
      <c r="AC4" s="26">
        <v>5</v>
      </c>
      <c r="AD4" s="26">
        <v>6</v>
      </c>
      <c r="AE4" s="26">
        <v>7</v>
      </c>
      <c r="AF4" s="26">
        <v>8</v>
      </c>
      <c r="AG4" s="26">
        <v>9</v>
      </c>
      <c r="AH4" s="26">
        <v>10</v>
      </c>
      <c r="AI4" s="26">
        <v>11</v>
      </c>
      <c r="AJ4" s="26">
        <v>12</v>
      </c>
      <c r="AK4" s="26">
        <v>13</v>
      </c>
      <c r="AL4" s="26">
        <v>14</v>
      </c>
      <c r="AM4" s="26">
        <v>15</v>
      </c>
      <c r="AN4" s="26">
        <v>16</v>
      </c>
      <c r="AO4" s="26">
        <v>17</v>
      </c>
      <c r="AP4" s="1784"/>
      <c r="AQ4" s="26">
        <v>1</v>
      </c>
      <c r="AR4" s="26">
        <v>2</v>
      </c>
      <c r="AS4" s="26">
        <v>3</v>
      </c>
      <c r="AT4" s="26">
        <v>4</v>
      </c>
      <c r="AU4" s="26">
        <v>5</v>
      </c>
      <c r="AV4" s="26">
        <v>6</v>
      </c>
      <c r="AW4" s="26">
        <v>7</v>
      </c>
      <c r="AX4" s="26">
        <v>8</v>
      </c>
      <c r="AY4" s="26">
        <v>9</v>
      </c>
      <c r="AZ4" s="26">
        <v>10</v>
      </c>
      <c r="BA4" s="26">
        <v>11</v>
      </c>
      <c r="BB4" s="26">
        <v>12</v>
      </c>
      <c r="BC4" s="26">
        <v>13</v>
      </c>
      <c r="BD4" s="26">
        <v>14</v>
      </c>
      <c r="BE4" s="26">
        <v>15</v>
      </c>
      <c r="BF4" s="26">
        <v>16</v>
      </c>
      <c r="BG4" s="26">
        <v>17</v>
      </c>
      <c r="BH4" s="26" t="s">
        <v>13</v>
      </c>
      <c r="BI4" s="173">
        <v>1</v>
      </c>
      <c r="BJ4" s="173">
        <v>2</v>
      </c>
      <c r="BK4" s="173">
        <v>3</v>
      </c>
      <c r="BL4" s="173">
        <v>4</v>
      </c>
      <c r="BM4" s="173">
        <v>5</v>
      </c>
      <c r="BN4" s="173">
        <v>6</v>
      </c>
      <c r="BO4" s="173">
        <v>7</v>
      </c>
      <c r="BP4" s="173">
        <v>8</v>
      </c>
      <c r="BQ4" s="173">
        <v>9</v>
      </c>
      <c r="BR4" s="173">
        <v>10</v>
      </c>
      <c r="BS4" s="173">
        <v>11</v>
      </c>
      <c r="BT4" s="173">
        <v>12</v>
      </c>
      <c r="BU4" s="173">
        <v>13</v>
      </c>
      <c r="BV4" s="173">
        <v>14</v>
      </c>
      <c r="BW4" s="173">
        <v>15</v>
      </c>
      <c r="BX4" s="173">
        <v>16</v>
      </c>
      <c r="BY4" s="173">
        <v>17</v>
      </c>
      <c r="BZ4" s="26" t="s">
        <v>13</v>
      </c>
      <c r="CA4" s="1707"/>
      <c r="CB4" s="1707"/>
      <c r="CC4" s="1795"/>
      <c r="CD4" s="7"/>
      <c r="CE4" s="1743" t="s">
        <v>19</v>
      </c>
      <c r="CF4" s="1744"/>
      <c r="CG4" s="1745"/>
      <c r="CH4" s="621"/>
      <c r="CI4" s="173">
        <v>1</v>
      </c>
      <c r="CJ4" s="173">
        <v>2</v>
      </c>
      <c r="CK4" s="173">
        <v>3</v>
      </c>
      <c r="CL4" s="173">
        <v>4</v>
      </c>
      <c r="CM4" s="173">
        <v>5</v>
      </c>
      <c r="CN4" s="173">
        <v>6</v>
      </c>
      <c r="CO4" s="173">
        <v>7</v>
      </c>
      <c r="CP4" s="173">
        <v>8</v>
      </c>
      <c r="CQ4" s="173">
        <v>9</v>
      </c>
      <c r="CR4" s="173">
        <v>10</v>
      </c>
      <c r="CS4" s="173">
        <v>11</v>
      </c>
      <c r="CT4" s="173">
        <v>12</v>
      </c>
      <c r="CU4" s="26" t="s">
        <v>13</v>
      </c>
      <c r="CV4" s="173">
        <v>1</v>
      </c>
      <c r="CW4" s="173">
        <v>2</v>
      </c>
      <c r="CX4" s="173">
        <v>3</v>
      </c>
      <c r="CY4" s="173">
        <v>4</v>
      </c>
      <c r="CZ4" s="173">
        <v>5</v>
      </c>
      <c r="DA4" s="173">
        <v>6</v>
      </c>
      <c r="DB4" s="173">
        <v>7</v>
      </c>
      <c r="DC4" s="173">
        <v>8</v>
      </c>
      <c r="DD4" s="173">
        <v>9</v>
      </c>
      <c r="DE4" s="173">
        <v>10</v>
      </c>
      <c r="DF4" s="173">
        <v>11</v>
      </c>
      <c r="DG4" s="173">
        <v>12</v>
      </c>
      <c r="DH4" s="26" t="s">
        <v>13</v>
      </c>
      <c r="DI4" s="1091"/>
      <c r="DJ4" s="1091"/>
      <c r="DK4" s="1091"/>
      <c r="DL4" s="1091"/>
      <c r="DM4" s="1092"/>
      <c r="DN4" s="1093"/>
      <c r="DO4" s="1094"/>
      <c r="DP4" s="27"/>
      <c r="DQ4" s="27"/>
      <c r="DR4" s="27"/>
      <c r="DS4" s="27"/>
      <c r="DT4" s="27"/>
      <c r="DU4" s="27"/>
    </row>
    <row r="5" spans="1:125" s="6" customFormat="1" ht="28.5" customHeight="1" x14ac:dyDescent="0.2">
      <c r="A5" s="617"/>
      <c r="B5" s="135" t="s">
        <v>454</v>
      </c>
      <c r="C5" s="618"/>
      <c r="D5" s="136"/>
      <c r="E5" s="619"/>
      <c r="F5" s="619"/>
      <c r="G5" s="619"/>
      <c r="H5" s="619"/>
      <c r="I5" s="619"/>
      <c r="J5" s="619"/>
      <c r="K5" s="619"/>
      <c r="L5" s="619"/>
      <c r="M5" s="1126"/>
      <c r="N5" s="1126"/>
      <c r="O5" s="619"/>
      <c r="P5" s="1275"/>
      <c r="Q5" s="619"/>
      <c r="R5" s="619"/>
      <c r="S5" s="619"/>
      <c r="T5" s="619"/>
      <c r="U5" s="619"/>
      <c r="V5" s="619"/>
      <c r="W5" s="23"/>
      <c r="X5" s="23"/>
      <c r="Y5" s="620"/>
      <c r="Z5" s="620"/>
      <c r="AA5" s="620"/>
      <c r="AB5" s="620"/>
      <c r="AC5" s="620"/>
      <c r="AD5" s="620"/>
      <c r="AE5" s="620"/>
      <c r="AF5" s="620"/>
      <c r="AG5" s="1275"/>
      <c r="AH5" s="1371"/>
      <c r="AI5" s="1376"/>
      <c r="AJ5" s="1376"/>
      <c r="AK5" s="1376"/>
      <c r="AL5" s="1376"/>
      <c r="AM5" s="1376"/>
      <c r="AN5" s="1376"/>
      <c r="AO5" s="620"/>
      <c r="AP5" s="618"/>
      <c r="AQ5" s="619"/>
      <c r="AR5" s="619"/>
      <c r="AS5" s="619"/>
      <c r="AT5" s="619"/>
      <c r="AU5" s="619"/>
      <c r="AV5" s="619"/>
      <c r="AW5" s="619"/>
      <c r="AX5" s="619"/>
      <c r="AY5" s="1275"/>
      <c r="AZ5" s="1275"/>
      <c r="BA5" s="619"/>
      <c r="BB5" s="1275"/>
      <c r="BC5" s="619"/>
      <c r="BD5" s="619"/>
      <c r="BE5" s="619"/>
      <c r="BF5" s="619"/>
      <c r="BG5" s="619"/>
      <c r="BH5" s="619"/>
      <c r="BI5" s="621"/>
      <c r="BJ5" s="621"/>
      <c r="BK5" s="621"/>
      <c r="BL5" s="621"/>
      <c r="BM5" s="621"/>
      <c r="BN5" s="621"/>
      <c r="BO5" s="621"/>
      <c r="BP5" s="621"/>
      <c r="BQ5" s="1275"/>
      <c r="BR5" s="621"/>
      <c r="BS5" s="1271"/>
      <c r="BT5" s="1271"/>
      <c r="BU5" s="1271"/>
      <c r="BV5" s="1271"/>
      <c r="BW5" s="1271"/>
      <c r="BX5" s="1271"/>
      <c r="BY5" s="1271"/>
      <c r="BZ5" s="620"/>
      <c r="CA5" s="622"/>
      <c r="CB5" s="618"/>
      <c r="CC5" s="667"/>
      <c r="CD5" s="7"/>
      <c r="CE5" s="1081"/>
      <c r="CF5" s="1081"/>
      <c r="CG5" s="1083"/>
      <c r="CH5" s="1084"/>
      <c r="CI5" s="862"/>
      <c r="CJ5" s="862"/>
      <c r="CK5" s="862"/>
      <c r="CL5" s="862"/>
      <c r="CM5" s="862"/>
      <c r="CN5" s="862"/>
      <c r="CO5" s="862"/>
      <c r="CP5" s="862"/>
      <c r="CQ5" s="1103">
        <f t="shared" ref="CQ5:CQ11" si="3">SUM(AX5*12.5%)</f>
        <v>0</v>
      </c>
      <c r="CR5" s="862"/>
      <c r="CS5" s="862"/>
      <c r="CT5" s="862"/>
      <c r="CU5" s="73">
        <f t="shared" ref="CU5" si="4">SUM(CI5:CT5)</f>
        <v>0</v>
      </c>
      <c r="CV5" s="862"/>
      <c r="CW5" s="862"/>
      <c r="CX5" s="862"/>
      <c r="CY5" s="862"/>
      <c r="CZ5" s="862"/>
      <c r="DA5" s="862"/>
      <c r="DB5" s="862"/>
      <c r="DC5" s="862"/>
      <c r="DD5" s="1103"/>
      <c r="DE5" s="862"/>
      <c r="DF5" s="862"/>
      <c r="DG5" s="862"/>
      <c r="DH5" s="73">
        <f t="shared" ref="DH5:DH7" si="5">SUM(CV5:DG5)</f>
        <v>0</v>
      </c>
      <c r="DI5" s="1085"/>
      <c r="DJ5" s="1085"/>
      <c r="DK5" s="1085"/>
      <c r="DL5" s="1085"/>
      <c r="DM5" s="1086"/>
      <c r="DN5" s="1087"/>
      <c r="DO5" s="1095"/>
      <c r="DP5" s="91"/>
      <c r="DQ5" s="91"/>
      <c r="DR5" s="91"/>
      <c r="DS5" s="91"/>
      <c r="DT5" s="91"/>
      <c r="DU5" s="91"/>
    </row>
    <row r="6" spans="1:125" s="37" customFormat="1" ht="24.75" customHeight="1" x14ac:dyDescent="0.2">
      <c r="A6" s="28">
        <v>1</v>
      </c>
      <c r="B6" s="752" t="s">
        <v>46</v>
      </c>
      <c r="C6" s="29" t="s">
        <v>25</v>
      </c>
      <c r="D6" s="568">
        <v>5</v>
      </c>
      <c r="E6" s="30"/>
      <c r="F6" s="30"/>
      <c r="G6" s="30"/>
      <c r="H6" s="30"/>
      <c r="I6" s="30"/>
      <c r="J6" s="30"/>
      <c r="K6" s="30"/>
      <c r="L6" s="30"/>
      <c r="M6" s="1545">
        <v>5</v>
      </c>
      <c r="N6" s="30"/>
      <c r="O6" s="30"/>
      <c r="P6" s="1136"/>
      <c r="Q6" s="30"/>
      <c r="R6" s="30"/>
      <c r="S6" s="30"/>
      <c r="T6" s="30"/>
      <c r="U6" s="30"/>
      <c r="V6" s="31">
        <f t="shared" ref="V6:V16" si="6">SUM(E6:U6)</f>
        <v>5</v>
      </c>
      <c r="W6" s="744" t="s">
        <v>2</v>
      </c>
      <c r="X6" s="753">
        <v>37100</v>
      </c>
      <c r="Y6" s="884"/>
      <c r="Z6" s="884"/>
      <c r="AA6" s="884"/>
      <c r="AB6" s="884"/>
      <c r="AC6" s="884"/>
      <c r="AD6" s="884"/>
      <c r="AE6" s="884"/>
      <c r="AF6" s="884"/>
      <c r="AG6" s="1546">
        <v>35000</v>
      </c>
      <c r="AH6" s="1220"/>
      <c r="AI6" s="1220"/>
      <c r="AJ6" s="1220"/>
      <c r="AK6" s="1220"/>
      <c r="AL6" s="1220"/>
      <c r="AM6" s="1220"/>
      <c r="AN6" s="1220"/>
      <c r="AO6" s="884"/>
      <c r="AP6" s="1304">
        <f>SUM(V6*X6)</f>
        <v>185500</v>
      </c>
      <c r="AQ6" s="862">
        <f t="shared" ref="AQ6:AQ16" si="7">Y6*E6</f>
        <v>0</v>
      </c>
      <c r="AR6" s="862">
        <f t="shared" ref="AR6:AR16" si="8">Z6*F6</f>
        <v>0</v>
      </c>
      <c r="AS6" s="862">
        <f t="shared" ref="AS6:AS16" si="9">AA6*G6</f>
        <v>0</v>
      </c>
      <c r="AT6" s="862">
        <f t="shared" ref="AT6:BA10" si="10">AB6*H6</f>
        <v>0</v>
      </c>
      <c r="AU6" s="862">
        <f t="shared" si="10"/>
        <v>0</v>
      </c>
      <c r="AV6" s="862">
        <f t="shared" si="10"/>
        <v>0</v>
      </c>
      <c r="AW6" s="862">
        <f t="shared" si="10"/>
        <v>0</v>
      </c>
      <c r="AX6" s="862">
        <f t="shared" si="10"/>
        <v>0</v>
      </c>
      <c r="AY6" s="1128">
        <f t="shared" si="10"/>
        <v>175000</v>
      </c>
      <c r="AZ6" s="1128">
        <f t="shared" si="10"/>
        <v>0</v>
      </c>
      <c r="BA6" s="862">
        <f t="shared" si="10"/>
        <v>0</v>
      </c>
      <c r="BB6" s="1128"/>
      <c r="BC6" s="862"/>
      <c r="BD6" s="862"/>
      <c r="BE6" s="862"/>
      <c r="BF6" s="862"/>
      <c r="BG6" s="862"/>
      <c r="BH6" s="863">
        <f>SUM(AQ6:BG6)</f>
        <v>175000</v>
      </c>
      <c r="BI6" s="862">
        <f>SUM(AQ6*14%)</f>
        <v>0</v>
      </c>
      <c r="BJ6" s="862"/>
      <c r="BK6" s="862">
        <f t="shared" ref="BK6:BP10" si="11">SUM(AS6*14%)</f>
        <v>0</v>
      </c>
      <c r="BL6" s="862">
        <f t="shared" si="11"/>
        <v>0</v>
      </c>
      <c r="BM6" s="862">
        <f t="shared" si="11"/>
        <v>0</v>
      </c>
      <c r="BN6" s="862">
        <f t="shared" si="11"/>
        <v>0</v>
      </c>
      <c r="BO6" s="862">
        <f t="shared" si="11"/>
        <v>0</v>
      </c>
      <c r="BP6" s="862">
        <f t="shared" si="11"/>
        <v>0</v>
      </c>
      <c r="BQ6" s="1136"/>
      <c r="BR6" s="862"/>
      <c r="BS6" s="862"/>
      <c r="BT6" s="862"/>
      <c r="BU6" s="862"/>
      <c r="BV6" s="862"/>
      <c r="BW6" s="862"/>
      <c r="BX6" s="862"/>
      <c r="BY6" s="862"/>
      <c r="BZ6" s="73">
        <f>SUM(BI6:BY6)</f>
        <v>0</v>
      </c>
      <c r="CA6" s="686">
        <f>AP6-BH6</f>
        <v>10500</v>
      </c>
      <c r="CB6" s="687">
        <f>X6*D6</f>
        <v>185500</v>
      </c>
      <c r="CC6" s="688">
        <f>CB6-BH6-BZ6</f>
        <v>10500</v>
      </c>
      <c r="CD6" s="630">
        <f>SUM(V6/D6)</f>
        <v>1</v>
      </c>
      <c r="CE6" s="1081">
        <f>SUM(AY6-BZ6)</f>
        <v>175000</v>
      </c>
      <c r="CF6" s="1081">
        <f>35000*5</f>
        <v>175000</v>
      </c>
      <c r="CG6" s="1107">
        <f t="shared" ref="CG6" si="12">SUM(CE6-CF6)</f>
        <v>0</v>
      </c>
      <c r="CH6" s="1084"/>
      <c r="CI6" s="862">
        <f>SUM(CC6:CC10)</f>
        <v>34800</v>
      </c>
      <c r="CJ6" s="862"/>
      <c r="CK6" s="862"/>
      <c r="CL6" s="862"/>
      <c r="CM6" s="862"/>
      <c r="CN6" s="862"/>
      <c r="CO6" s="862"/>
      <c r="CP6" s="862"/>
      <c r="CQ6" s="1103">
        <f t="shared" si="3"/>
        <v>0</v>
      </c>
      <c r="CR6" s="862"/>
      <c r="CS6" s="862"/>
      <c r="CT6" s="862"/>
      <c r="CU6" s="73">
        <f t="shared" ref="CU6:CU7" si="13">SUM(CI6:CT6)</f>
        <v>34800</v>
      </c>
      <c r="CV6" s="862"/>
      <c r="CW6" s="862"/>
      <c r="CX6" s="862"/>
      <c r="CY6" s="862"/>
      <c r="CZ6" s="862"/>
      <c r="DA6" s="862"/>
      <c r="DB6" s="862"/>
      <c r="DC6" s="862"/>
      <c r="DD6" s="1103"/>
      <c r="DE6" s="862"/>
      <c r="DF6" s="862"/>
      <c r="DG6" s="862"/>
      <c r="DH6" s="73">
        <f t="shared" si="5"/>
        <v>0</v>
      </c>
      <c r="DI6" s="1547"/>
      <c r="DJ6" s="1547"/>
      <c r="DK6" s="1547"/>
      <c r="DL6" s="1547"/>
      <c r="DM6" s="1548"/>
      <c r="DN6" s="1548"/>
      <c r="DO6" s="1549"/>
      <c r="DP6" s="36"/>
      <c r="DQ6" s="36"/>
      <c r="DR6" s="36"/>
      <c r="DS6" s="36"/>
      <c r="DT6" s="36"/>
      <c r="DU6" s="36"/>
    </row>
    <row r="7" spans="1:125" s="37" customFormat="1" ht="24.75" customHeight="1" x14ac:dyDescent="0.2">
      <c r="A7" s="28">
        <v>2</v>
      </c>
      <c r="B7" s="141" t="s">
        <v>365</v>
      </c>
      <c r="C7" s="29" t="s">
        <v>25</v>
      </c>
      <c r="D7" s="568">
        <v>2</v>
      </c>
      <c r="E7" s="30"/>
      <c r="F7" s="30"/>
      <c r="G7" s="30"/>
      <c r="H7" s="30"/>
      <c r="I7" s="30"/>
      <c r="J7" s="30"/>
      <c r="K7" s="30"/>
      <c r="L7" s="30"/>
      <c r="M7" s="1545">
        <v>2</v>
      </c>
      <c r="N7" s="30"/>
      <c r="O7" s="30"/>
      <c r="P7" s="1136"/>
      <c r="Q7" s="30"/>
      <c r="R7" s="30"/>
      <c r="S7" s="30"/>
      <c r="T7" s="30"/>
      <c r="U7" s="30"/>
      <c r="V7" s="31">
        <f t="shared" si="6"/>
        <v>2</v>
      </c>
      <c r="W7" s="744" t="s">
        <v>118</v>
      </c>
      <c r="X7" s="753">
        <v>49500</v>
      </c>
      <c r="Y7" s="884"/>
      <c r="Z7" s="884"/>
      <c r="AA7" s="884"/>
      <c r="AB7" s="884"/>
      <c r="AC7" s="884"/>
      <c r="AD7" s="884"/>
      <c r="AE7" s="884"/>
      <c r="AF7" s="884"/>
      <c r="AG7" s="1546">
        <v>40000</v>
      </c>
      <c r="AH7" s="1220"/>
      <c r="AI7" s="1220"/>
      <c r="AJ7" s="1220"/>
      <c r="AK7" s="1220"/>
      <c r="AL7" s="1220"/>
      <c r="AM7" s="1220"/>
      <c r="AN7" s="1220"/>
      <c r="AO7" s="884"/>
      <c r="AP7" s="1304">
        <f t="shared" ref="AP7:AP16" si="14">SUM(V7*X7)</f>
        <v>99000</v>
      </c>
      <c r="AQ7" s="862">
        <f t="shared" si="7"/>
        <v>0</v>
      </c>
      <c r="AR7" s="862">
        <f t="shared" si="8"/>
        <v>0</v>
      </c>
      <c r="AS7" s="862">
        <f t="shared" si="9"/>
        <v>0</v>
      </c>
      <c r="AT7" s="862">
        <f t="shared" si="10"/>
        <v>0</v>
      </c>
      <c r="AU7" s="862">
        <f t="shared" si="10"/>
        <v>0</v>
      </c>
      <c r="AV7" s="862">
        <f t="shared" si="10"/>
        <v>0</v>
      </c>
      <c r="AW7" s="862">
        <f t="shared" si="10"/>
        <v>0</v>
      </c>
      <c r="AX7" s="862">
        <f t="shared" si="10"/>
        <v>0</v>
      </c>
      <c r="AY7" s="1128">
        <f t="shared" si="10"/>
        <v>80000</v>
      </c>
      <c r="AZ7" s="1128">
        <f t="shared" si="10"/>
        <v>0</v>
      </c>
      <c r="BA7" s="862">
        <f t="shared" si="10"/>
        <v>0</v>
      </c>
      <c r="BB7" s="1128"/>
      <c r="BC7" s="862"/>
      <c r="BD7" s="862"/>
      <c r="BE7" s="862"/>
      <c r="BF7" s="862"/>
      <c r="BG7" s="862"/>
      <c r="BH7" s="863">
        <f>SUM(AQ7:BG7)</f>
        <v>80000</v>
      </c>
      <c r="BI7" s="862">
        <f>SUM(AQ7*14%)</f>
        <v>0</v>
      </c>
      <c r="BJ7" s="862"/>
      <c r="BK7" s="862">
        <f t="shared" si="11"/>
        <v>0</v>
      </c>
      <c r="BL7" s="862">
        <f t="shared" si="11"/>
        <v>0</v>
      </c>
      <c r="BM7" s="862">
        <f t="shared" si="11"/>
        <v>0</v>
      </c>
      <c r="BN7" s="862">
        <f t="shared" si="11"/>
        <v>0</v>
      </c>
      <c r="BO7" s="862">
        <f t="shared" si="11"/>
        <v>0</v>
      </c>
      <c r="BP7" s="862">
        <f t="shared" si="11"/>
        <v>0</v>
      </c>
      <c r="BQ7" s="1136"/>
      <c r="BR7" s="862"/>
      <c r="BS7" s="862"/>
      <c r="BT7" s="862"/>
      <c r="BU7" s="862"/>
      <c r="BV7" s="862"/>
      <c r="BW7" s="862"/>
      <c r="BX7" s="862"/>
      <c r="BY7" s="862"/>
      <c r="BZ7" s="73">
        <f>SUM(BI7:BY7)</f>
        <v>0</v>
      </c>
      <c r="CA7" s="686">
        <f>AP7-BH7</f>
        <v>19000</v>
      </c>
      <c r="CB7" s="687">
        <f>X7*D7</f>
        <v>99000</v>
      </c>
      <c r="CC7" s="688">
        <f>CB7-BH7-BZ7</f>
        <v>19000</v>
      </c>
      <c r="CD7" s="630">
        <f>SUM(V7/D7)</f>
        <v>1</v>
      </c>
      <c r="CE7" s="1081">
        <f>SUM(AY7-BZ7)</f>
        <v>80000</v>
      </c>
      <c r="CF7" s="1081">
        <f>40000*2</f>
        <v>80000</v>
      </c>
      <c r="CG7" s="1107">
        <f t="shared" ref="CG7:CG10" si="15">SUM(CE7-CF7)</f>
        <v>0</v>
      </c>
      <c r="CH7" s="1084"/>
      <c r="CI7" s="862"/>
      <c r="CJ7" s="862"/>
      <c r="CK7" s="862"/>
      <c r="CL7" s="862"/>
      <c r="CM7" s="862"/>
      <c r="CN7" s="862"/>
      <c r="CO7" s="862"/>
      <c r="CP7" s="862"/>
      <c r="CQ7" s="1103">
        <f t="shared" si="3"/>
        <v>0</v>
      </c>
      <c r="CR7" s="862"/>
      <c r="CS7" s="862"/>
      <c r="CT7" s="862"/>
      <c r="CU7" s="73">
        <f t="shared" si="13"/>
        <v>0</v>
      </c>
      <c r="CV7" s="862"/>
      <c r="CW7" s="862"/>
      <c r="CX7" s="862"/>
      <c r="CY7" s="862"/>
      <c r="CZ7" s="862"/>
      <c r="DA7" s="862"/>
      <c r="DB7" s="862"/>
      <c r="DC7" s="862"/>
      <c r="DD7" s="1103"/>
      <c r="DE7" s="862"/>
      <c r="DF7" s="862"/>
      <c r="DG7" s="862"/>
      <c r="DH7" s="73">
        <f t="shared" si="5"/>
        <v>0</v>
      </c>
      <c r="DI7" s="1547"/>
      <c r="DJ7" s="1547"/>
      <c r="DK7" s="1547"/>
      <c r="DL7" s="1547"/>
      <c r="DM7" s="1548"/>
      <c r="DN7" s="1548"/>
      <c r="DO7" s="1549"/>
      <c r="DP7" s="36"/>
      <c r="DQ7" s="36"/>
      <c r="DR7" s="36"/>
      <c r="DS7" s="36"/>
      <c r="DT7" s="36"/>
      <c r="DU7" s="36"/>
    </row>
    <row r="8" spans="1:125" s="37" customFormat="1" ht="24.75" customHeight="1" x14ac:dyDescent="0.2">
      <c r="A8" s="28">
        <v>3</v>
      </c>
      <c r="B8" s="141" t="s">
        <v>455</v>
      </c>
      <c r="C8" s="29" t="s">
        <v>25</v>
      </c>
      <c r="D8" s="568">
        <v>1</v>
      </c>
      <c r="E8" s="30"/>
      <c r="F8" s="30"/>
      <c r="G8" s="30"/>
      <c r="H8" s="30"/>
      <c r="I8" s="30"/>
      <c r="J8" s="30"/>
      <c r="K8" s="30"/>
      <c r="L8" s="30"/>
      <c r="M8" s="1545">
        <v>1</v>
      </c>
      <c r="N8" s="30"/>
      <c r="O8" s="30"/>
      <c r="P8" s="1136"/>
      <c r="Q8" s="30"/>
      <c r="R8" s="30"/>
      <c r="S8" s="30"/>
      <c r="T8" s="30"/>
      <c r="U8" s="30"/>
      <c r="V8" s="31">
        <f t="shared" si="6"/>
        <v>1</v>
      </c>
      <c r="W8" s="744" t="s">
        <v>2</v>
      </c>
      <c r="X8" s="753">
        <v>22700</v>
      </c>
      <c r="Y8" s="884"/>
      <c r="Z8" s="884"/>
      <c r="AA8" s="884"/>
      <c r="AB8" s="884"/>
      <c r="AC8" s="884"/>
      <c r="AD8" s="884"/>
      <c r="AE8" s="884"/>
      <c r="AF8" s="884"/>
      <c r="AG8" s="1546">
        <v>20000</v>
      </c>
      <c r="AH8" s="1220"/>
      <c r="AI8" s="1220"/>
      <c r="AJ8" s="1220"/>
      <c r="AK8" s="1220"/>
      <c r="AL8" s="1220"/>
      <c r="AM8" s="1220"/>
      <c r="AN8" s="1220"/>
      <c r="AO8" s="884"/>
      <c r="AP8" s="1304">
        <f t="shared" si="14"/>
        <v>22700</v>
      </c>
      <c r="AQ8" s="862">
        <f t="shared" si="7"/>
        <v>0</v>
      </c>
      <c r="AR8" s="862">
        <f t="shared" si="8"/>
        <v>0</v>
      </c>
      <c r="AS8" s="862">
        <f t="shared" si="9"/>
        <v>0</v>
      </c>
      <c r="AT8" s="862">
        <f t="shared" si="10"/>
        <v>0</v>
      </c>
      <c r="AU8" s="862">
        <f t="shared" si="10"/>
        <v>0</v>
      </c>
      <c r="AV8" s="862">
        <f t="shared" si="10"/>
        <v>0</v>
      </c>
      <c r="AW8" s="862">
        <f t="shared" si="10"/>
        <v>0</v>
      </c>
      <c r="AX8" s="862">
        <f t="shared" si="10"/>
        <v>0</v>
      </c>
      <c r="AY8" s="1128">
        <f t="shared" si="10"/>
        <v>20000</v>
      </c>
      <c r="AZ8" s="1128">
        <f t="shared" si="10"/>
        <v>0</v>
      </c>
      <c r="BA8" s="862">
        <f t="shared" si="10"/>
        <v>0</v>
      </c>
      <c r="BB8" s="1128"/>
      <c r="BC8" s="862"/>
      <c r="BD8" s="862"/>
      <c r="BE8" s="862"/>
      <c r="BF8" s="862"/>
      <c r="BG8" s="862"/>
      <c r="BH8" s="863">
        <f>SUM(AQ8:BG8)</f>
        <v>20000</v>
      </c>
      <c r="BI8" s="862">
        <f>SUM(AQ8*14%)</f>
        <v>0</v>
      </c>
      <c r="BJ8" s="862"/>
      <c r="BK8" s="862">
        <f t="shared" si="11"/>
        <v>0</v>
      </c>
      <c r="BL8" s="862">
        <f t="shared" si="11"/>
        <v>0</v>
      </c>
      <c r="BM8" s="862">
        <f t="shared" si="11"/>
        <v>0</v>
      </c>
      <c r="BN8" s="862">
        <f t="shared" si="11"/>
        <v>0</v>
      </c>
      <c r="BO8" s="862">
        <f t="shared" si="11"/>
        <v>0</v>
      </c>
      <c r="BP8" s="862">
        <f t="shared" si="11"/>
        <v>0</v>
      </c>
      <c r="BQ8" s="1136"/>
      <c r="BR8" s="862"/>
      <c r="BS8" s="862"/>
      <c r="BT8" s="862"/>
      <c r="BU8" s="862"/>
      <c r="BV8" s="862"/>
      <c r="BW8" s="862"/>
      <c r="BX8" s="862"/>
      <c r="BY8" s="862"/>
      <c r="BZ8" s="73">
        <f>SUM(BI8:BY8)</f>
        <v>0</v>
      </c>
      <c r="CA8" s="686">
        <f>AP8-BH8</f>
        <v>2700</v>
      </c>
      <c r="CB8" s="687">
        <f>X8*D8</f>
        <v>22700</v>
      </c>
      <c r="CC8" s="688">
        <f>CB8-BH8-BZ8</f>
        <v>2700</v>
      </c>
      <c r="CD8" s="630">
        <f>SUM(V8/D8)</f>
        <v>1</v>
      </c>
      <c r="CE8" s="1081">
        <f>SUM(AY8-BZ8)</f>
        <v>20000</v>
      </c>
      <c r="CF8" s="1081">
        <f>20000*1</f>
        <v>20000</v>
      </c>
      <c r="CG8" s="1107">
        <f t="shared" si="15"/>
        <v>0</v>
      </c>
      <c r="CH8" s="1084"/>
      <c r="CI8" s="862"/>
      <c r="CJ8" s="862"/>
      <c r="CK8" s="862"/>
      <c r="CL8" s="862"/>
      <c r="CM8" s="862"/>
      <c r="CN8" s="862"/>
      <c r="CO8" s="862"/>
      <c r="CP8" s="862"/>
      <c r="CQ8" s="1103">
        <f t="shared" si="3"/>
        <v>0</v>
      </c>
      <c r="CR8" s="862"/>
      <c r="CS8" s="862"/>
      <c r="CT8" s="862"/>
      <c r="CU8" s="73">
        <f t="shared" ref="CU8:CU24" si="16">SUM(CI8:CT8)</f>
        <v>0</v>
      </c>
      <c r="CV8" s="862"/>
      <c r="CW8" s="862"/>
      <c r="CX8" s="862"/>
      <c r="CY8" s="862"/>
      <c r="CZ8" s="862"/>
      <c r="DA8" s="862"/>
      <c r="DB8" s="862"/>
      <c r="DC8" s="862"/>
      <c r="DD8" s="1103"/>
      <c r="DE8" s="862"/>
      <c r="DF8" s="862"/>
      <c r="DG8" s="862"/>
      <c r="DH8" s="73">
        <f t="shared" ref="DH8:DH24" si="17">SUM(CV8:DG8)</f>
        <v>0</v>
      </c>
    </row>
    <row r="9" spans="1:125" s="37" customFormat="1" ht="24.75" customHeight="1" x14ac:dyDescent="0.2">
      <c r="A9" s="28">
        <v>4</v>
      </c>
      <c r="B9" s="141" t="s">
        <v>47</v>
      </c>
      <c r="C9" s="29" t="s">
        <v>25</v>
      </c>
      <c r="D9" s="568">
        <v>1</v>
      </c>
      <c r="E9" s="30"/>
      <c r="F9" s="30"/>
      <c r="G9" s="30"/>
      <c r="H9" s="30"/>
      <c r="I9" s="30"/>
      <c r="J9" s="30"/>
      <c r="K9" s="30"/>
      <c r="L9" s="30"/>
      <c r="M9" s="1545">
        <v>1</v>
      </c>
      <c r="N9" s="30"/>
      <c r="O9" s="30"/>
      <c r="P9" s="1136"/>
      <c r="Q9" s="30"/>
      <c r="R9" s="30"/>
      <c r="S9" s="30"/>
      <c r="T9" s="30"/>
      <c r="U9" s="30"/>
      <c r="V9" s="31">
        <f t="shared" si="6"/>
        <v>1</v>
      </c>
      <c r="W9" s="744" t="s">
        <v>119</v>
      </c>
      <c r="X9" s="753">
        <v>17000</v>
      </c>
      <c r="Y9" s="884"/>
      <c r="Z9" s="884"/>
      <c r="AA9" s="884"/>
      <c r="AB9" s="884"/>
      <c r="AC9" s="884"/>
      <c r="AD9" s="884"/>
      <c r="AE9" s="884"/>
      <c r="AF9" s="884"/>
      <c r="AG9" s="1546">
        <v>15000</v>
      </c>
      <c r="AH9" s="1220"/>
      <c r="AI9" s="1220"/>
      <c r="AJ9" s="1220"/>
      <c r="AK9" s="1220"/>
      <c r="AL9" s="1220"/>
      <c r="AM9" s="1220"/>
      <c r="AN9" s="1220"/>
      <c r="AO9" s="884"/>
      <c r="AP9" s="1304">
        <f t="shared" si="14"/>
        <v>17000</v>
      </c>
      <c r="AQ9" s="862">
        <f t="shared" si="7"/>
        <v>0</v>
      </c>
      <c r="AR9" s="862">
        <f t="shared" si="8"/>
        <v>0</v>
      </c>
      <c r="AS9" s="862">
        <f t="shared" si="9"/>
        <v>0</v>
      </c>
      <c r="AT9" s="862">
        <f t="shared" si="10"/>
        <v>0</v>
      </c>
      <c r="AU9" s="862">
        <f t="shared" si="10"/>
        <v>0</v>
      </c>
      <c r="AV9" s="862">
        <f t="shared" si="10"/>
        <v>0</v>
      </c>
      <c r="AW9" s="862">
        <f t="shared" si="10"/>
        <v>0</v>
      </c>
      <c r="AX9" s="862">
        <f t="shared" si="10"/>
        <v>0</v>
      </c>
      <c r="AY9" s="1128">
        <f t="shared" si="10"/>
        <v>15000</v>
      </c>
      <c r="AZ9" s="1128">
        <f t="shared" si="10"/>
        <v>0</v>
      </c>
      <c r="BA9" s="862">
        <f t="shared" si="10"/>
        <v>0</v>
      </c>
      <c r="BB9" s="1128"/>
      <c r="BC9" s="862"/>
      <c r="BD9" s="862"/>
      <c r="BE9" s="862"/>
      <c r="BF9" s="862"/>
      <c r="BG9" s="862"/>
      <c r="BH9" s="863">
        <f>SUM(AQ9:BG9)</f>
        <v>15000</v>
      </c>
      <c r="BI9" s="862">
        <f>SUM(AQ9*14%)</f>
        <v>0</v>
      </c>
      <c r="BJ9" s="862"/>
      <c r="BK9" s="862">
        <f t="shared" si="11"/>
        <v>0</v>
      </c>
      <c r="BL9" s="862">
        <f t="shared" si="11"/>
        <v>0</v>
      </c>
      <c r="BM9" s="862">
        <f t="shared" si="11"/>
        <v>0</v>
      </c>
      <c r="BN9" s="862">
        <f t="shared" si="11"/>
        <v>0</v>
      </c>
      <c r="BO9" s="862">
        <f t="shared" si="11"/>
        <v>0</v>
      </c>
      <c r="BP9" s="862">
        <f t="shared" si="11"/>
        <v>0</v>
      </c>
      <c r="BQ9" s="1136"/>
      <c r="BR9" s="862"/>
      <c r="BS9" s="862"/>
      <c r="BT9" s="862"/>
      <c r="BU9" s="862"/>
      <c r="BV9" s="862"/>
      <c r="BW9" s="862"/>
      <c r="BX9" s="862"/>
      <c r="BY9" s="862"/>
      <c r="BZ9" s="73">
        <f>SUM(BI9:BY9)</f>
        <v>0</v>
      </c>
      <c r="CA9" s="686">
        <f>AP9-BH9</f>
        <v>2000</v>
      </c>
      <c r="CB9" s="687">
        <f>X9*D9</f>
        <v>17000</v>
      </c>
      <c r="CC9" s="688">
        <f>CB9-BH9-BZ9</f>
        <v>2000</v>
      </c>
      <c r="CD9" s="630">
        <f>SUM(V9/D9)</f>
        <v>1</v>
      </c>
      <c r="CE9" s="1081">
        <f>SUM(AY9-BZ9)</f>
        <v>15000</v>
      </c>
      <c r="CF9" s="1081">
        <f>15000*1</f>
        <v>15000</v>
      </c>
      <c r="CG9" s="1107">
        <f t="shared" si="15"/>
        <v>0</v>
      </c>
      <c r="CH9" s="1084"/>
      <c r="CI9" s="862"/>
      <c r="CJ9" s="862"/>
      <c r="CK9" s="862"/>
      <c r="CL9" s="862"/>
      <c r="CM9" s="862"/>
      <c r="CN9" s="862"/>
      <c r="CO9" s="862"/>
      <c r="CP9" s="862"/>
      <c r="CQ9" s="1103">
        <f t="shared" si="3"/>
        <v>0</v>
      </c>
      <c r="CR9" s="862"/>
      <c r="CS9" s="862"/>
      <c r="CT9" s="862"/>
      <c r="CU9" s="73">
        <f t="shared" si="16"/>
        <v>0</v>
      </c>
      <c r="CV9" s="862"/>
      <c r="CW9" s="862"/>
      <c r="CX9" s="862"/>
      <c r="CY9" s="862"/>
      <c r="CZ9" s="862"/>
      <c r="DA9" s="862"/>
      <c r="DB9" s="862"/>
      <c r="DC9" s="862"/>
      <c r="DD9" s="1103"/>
      <c r="DE9" s="862"/>
      <c r="DF9" s="862"/>
      <c r="DG9" s="862"/>
      <c r="DH9" s="73">
        <f t="shared" si="17"/>
        <v>0</v>
      </c>
    </row>
    <row r="10" spans="1:125" s="37" customFormat="1" ht="24.75" customHeight="1" x14ac:dyDescent="0.2">
      <c r="A10" s="28">
        <v>5</v>
      </c>
      <c r="B10" s="141" t="s">
        <v>456</v>
      </c>
      <c r="C10" s="29" t="s">
        <v>25</v>
      </c>
      <c r="D10" s="568">
        <v>1</v>
      </c>
      <c r="E10" s="30"/>
      <c r="F10" s="30"/>
      <c r="G10" s="30"/>
      <c r="H10" s="30"/>
      <c r="I10" s="30"/>
      <c r="J10" s="30"/>
      <c r="K10" s="30"/>
      <c r="L10" s="30"/>
      <c r="M10" s="1545">
        <v>1</v>
      </c>
      <c r="N10" s="30"/>
      <c r="O10" s="30"/>
      <c r="P10" s="1136"/>
      <c r="Q10" s="30"/>
      <c r="R10" s="30"/>
      <c r="S10" s="30"/>
      <c r="T10" s="30"/>
      <c r="U10" s="30"/>
      <c r="V10" s="31">
        <f t="shared" si="6"/>
        <v>1</v>
      </c>
      <c r="W10" s="744" t="s">
        <v>119</v>
      </c>
      <c r="X10" s="753">
        <v>15600</v>
      </c>
      <c r="Y10" s="884"/>
      <c r="Z10" s="884"/>
      <c r="AA10" s="884"/>
      <c r="AB10" s="884"/>
      <c r="AC10" s="884"/>
      <c r="AD10" s="884"/>
      <c r="AE10" s="884"/>
      <c r="AF10" s="884"/>
      <c r="AG10" s="1546">
        <v>15000</v>
      </c>
      <c r="AH10" s="1220"/>
      <c r="AI10" s="1220"/>
      <c r="AJ10" s="1220"/>
      <c r="AK10" s="1220"/>
      <c r="AL10" s="1220"/>
      <c r="AM10" s="1220"/>
      <c r="AN10" s="1220"/>
      <c r="AO10" s="884"/>
      <c r="AP10" s="1304">
        <f t="shared" si="14"/>
        <v>15600</v>
      </c>
      <c r="AQ10" s="862">
        <f t="shared" si="7"/>
        <v>0</v>
      </c>
      <c r="AR10" s="862">
        <f t="shared" si="8"/>
        <v>0</v>
      </c>
      <c r="AS10" s="862">
        <f t="shared" si="9"/>
        <v>0</v>
      </c>
      <c r="AT10" s="862">
        <f t="shared" si="10"/>
        <v>0</v>
      </c>
      <c r="AU10" s="862">
        <f t="shared" si="10"/>
        <v>0</v>
      </c>
      <c r="AV10" s="862">
        <f t="shared" si="10"/>
        <v>0</v>
      </c>
      <c r="AW10" s="862">
        <f t="shared" si="10"/>
        <v>0</v>
      </c>
      <c r="AX10" s="862">
        <f t="shared" si="10"/>
        <v>0</v>
      </c>
      <c r="AY10" s="1128">
        <f t="shared" si="10"/>
        <v>15000</v>
      </c>
      <c r="AZ10" s="1128">
        <f t="shared" si="10"/>
        <v>0</v>
      </c>
      <c r="BA10" s="862">
        <f t="shared" si="10"/>
        <v>0</v>
      </c>
      <c r="BB10" s="1128"/>
      <c r="BC10" s="862"/>
      <c r="BD10" s="862"/>
      <c r="BE10" s="862"/>
      <c r="BF10" s="862"/>
      <c r="BG10" s="862"/>
      <c r="BH10" s="863">
        <f>SUM(AQ10:BG10)</f>
        <v>15000</v>
      </c>
      <c r="BI10" s="862">
        <f>SUM(AQ10*14%)</f>
        <v>0</v>
      </c>
      <c r="BJ10" s="862"/>
      <c r="BK10" s="862">
        <f t="shared" si="11"/>
        <v>0</v>
      </c>
      <c r="BL10" s="862">
        <f t="shared" si="11"/>
        <v>0</v>
      </c>
      <c r="BM10" s="862">
        <f t="shared" si="11"/>
        <v>0</v>
      </c>
      <c r="BN10" s="862">
        <f t="shared" si="11"/>
        <v>0</v>
      </c>
      <c r="BO10" s="862">
        <f t="shared" si="11"/>
        <v>0</v>
      </c>
      <c r="BP10" s="862">
        <f t="shared" si="11"/>
        <v>0</v>
      </c>
      <c r="BQ10" s="1136"/>
      <c r="BR10" s="862"/>
      <c r="BS10" s="862"/>
      <c r="BT10" s="862"/>
      <c r="BU10" s="862"/>
      <c r="BV10" s="862"/>
      <c r="BW10" s="862"/>
      <c r="BX10" s="862"/>
      <c r="BY10" s="862"/>
      <c r="BZ10" s="73">
        <f>SUM(BI10:BY10)</f>
        <v>0</v>
      </c>
      <c r="CA10" s="686">
        <f>AP10-BH10</f>
        <v>600</v>
      </c>
      <c r="CB10" s="687">
        <f>X10*D10</f>
        <v>15600</v>
      </c>
      <c r="CC10" s="688">
        <f>CB10-BH10-BZ10</f>
        <v>600</v>
      </c>
      <c r="CD10" s="630">
        <f>SUM(V10/D10)</f>
        <v>1</v>
      </c>
      <c r="CE10" s="1081">
        <f>SUM(AY10-BZ10)</f>
        <v>15000</v>
      </c>
      <c r="CF10" s="1081">
        <f>15000*1</f>
        <v>15000</v>
      </c>
      <c r="CG10" s="1107">
        <f t="shared" si="15"/>
        <v>0</v>
      </c>
      <c r="CH10" s="1084"/>
      <c r="CI10" s="862"/>
      <c r="CJ10" s="862"/>
      <c r="CK10" s="862"/>
      <c r="CL10" s="862"/>
      <c r="CM10" s="862"/>
      <c r="CN10" s="862"/>
      <c r="CO10" s="862"/>
      <c r="CP10" s="862"/>
      <c r="CQ10" s="1103">
        <f t="shared" si="3"/>
        <v>0</v>
      </c>
      <c r="CR10" s="862"/>
      <c r="CS10" s="862"/>
      <c r="CT10" s="862"/>
      <c r="CU10" s="73">
        <f t="shared" si="16"/>
        <v>0</v>
      </c>
      <c r="CV10" s="862"/>
      <c r="CW10" s="862"/>
      <c r="CX10" s="862"/>
      <c r="CY10" s="862"/>
      <c r="CZ10" s="862"/>
      <c r="DA10" s="862"/>
      <c r="DB10" s="862"/>
      <c r="DC10" s="862"/>
      <c r="DD10" s="1103"/>
      <c r="DE10" s="862"/>
      <c r="DF10" s="862"/>
      <c r="DG10" s="862"/>
      <c r="DH10" s="73">
        <f t="shared" si="17"/>
        <v>0</v>
      </c>
    </row>
    <row r="11" spans="1:125" s="37" customFormat="1" ht="24.75" customHeight="1" x14ac:dyDescent="0.2">
      <c r="A11" s="28"/>
      <c r="B11" s="796" t="s">
        <v>457</v>
      </c>
      <c r="C11" s="29"/>
      <c r="D11" s="669"/>
      <c r="E11" s="30"/>
      <c r="F11" s="30"/>
      <c r="G11" s="30"/>
      <c r="H11" s="30"/>
      <c r="I11" s="30"/>
      <c r="J11" s="30"/>
      <c r="K11" s="30"/>
      <c r="L11" s="30"/>
      <c r="M11" s="1136"/>
      <c r="N11" s="30"/>
      <c r="O11" s="30"/>
      <c r="P11" s="1136"/>
      <c r="Q11" s="30"/>
      <c r="R11" s="30"/>
      <c r="S11" s="30"/>
      <c r="T11" s="30"/>
      <c r="U11" s="30"/>
      <c r="V11" s="31"/>
      <c r="W11" s="690"/>
      <c r="X11" s="750"/>
      <c r="Y11" s="884"/>
      <c r="Z11" s="884"/>
      <c r="AA11" s="884"/>
      <c r="AB11" s="884"/>
      <c r="AC11" s="884"/>
      <c r="AD11" s="884"/>
      <c r="AE11" s="884"/>
      <c r="AF11" s="884"/>
      <c r="AG11" s="1136"/>
      <c r="AH11" s="1220"/>
      <c r="AI11" s="1220"/>
      <c r="AJ11" s="1220"/>
      <c r="AK11" s="1220"/>
      <c r="AL11" s="1220"/>
      <c r="AM11" s="1220"/>
      <c r="AN11" s="1220"/>
      <c r="AO11" s="884"/>
      <c r="AP11" s="1304"/>
      <c r="AQ11" s="862"/>
      <c r="AR11" s="862"/>
      <c r="AS11" s="862"/>
      <c r="AT11" s="862"/>
      <c r="AU11" s="862"/>
      <c r="AV11" s="862"/>
      <c r="AW11" s="862"/>
      <c r="AX11" s="862"/>
      <c r="AY11" s="1136"/>
      <c r="AZ11" s="1128"/>
      <c r="BA11" s="862"/>
      <c r="BB11" s="1128"/>
      <c r="BC11" s="862"/>
      <c r="BD11" s="862"/>
      <c r="BE11" s="862"/>
      <c r="BF11" s="862"/>
      <c r="BG11" s="862"/>
      <c r="BH11" s="863"/>
      <c r="BI11" s="862"/>
      <c r="BJ11" s="862"/>
      <c r="BK11" s="862"/>
      <c r="BL11" s="862"/>
      <c r="BM11" s="862"/>
      <c r="BN11" s="862"/>
      <c r="BO11" s="862"/>
      <c r="BP11" s="862"/>
      <c r="BQ11" s="1136"/>
      <c r="BR11" s="862"/>
      <c r="BS11" s="862"/>
      <c r="BT11" s="862"/>
      <c r="BU11" s="862"/>
      <c r="BV11" s="862"/>
      <c r="BW11" s="862"/>
      <c r="BX11" s="862"/>
      <c r="BY11" s="862"/>
      <c r="BZ11" s="73"/>
      <c r="CA11" s="686"/>
      <c r="CB11" s="687"/>
      <c r="CC11" s="688"/>
      <c r="CD11" s="630"/>
      <c r="CE11" s="1081"/>
      <c r="CF11" s="1081"/>
      <c r="CG11" s="1107"/>
      <c r="CH11" s="1084"/>
      <c r="CI11" s="862"/>
      <c r="CJ11" s="862"/>
      <c r="CK11" s="862"/>
      <c r="CL11" s="862"/>
      <c r="CM11" s="862"/>
      <c r="CN11" s="862"/>
      <c r="CO11" s="862"/>
      <c r="CP11" s="862"/>
      <c r="CQ11" s="1103">
        <f t="shared" si="3"/>
        <v>0</v>
      </c>
      <c r="CR11" s="862"/>
      <c r="CS11" s="862"/>
      <c r="CT11" s="862"/>
      <c r="CU11" s="73">
        <f t="shared" si="16"/>
        <v>0</v>
      </c>
      <c r="CV11" s="862"/>
      <c r="CW11" s="862"/>
      <c r="CX11" s="862"/>
      <c r="CY11" s="862"/>
      <c r="CZ11" s="862"/>
      <c r="DA11" s="862"/>
      <c r="DB11" s="862"/>
      <c r="DC11" s="862"/>
      <c r="DD11" s="1103"/>
      <c r="DE11" s="862"/>
      <c r="DF11" s="862"/>
      <c r="DG11" s="862"/>
      <c r="DH11" s="73">
        <f t="shared" si="17"/>
        <v>0</v>
      </c>
    </row>
    <row r="12" spans="1:125" s="37" customFormat="1" ht="24.75" customHeight="1" x14ac:dyDescent="0.2">
      <c r="A12" s="28">
        <v>6</v>
      </c>
      <c r="B12" s="752" t="s">
        <v>458</v>
      </c>
      <c r="C12" s="29" t="s">
        <v>25</v>
      </c>
      <c r="D12" s="568">
        <v>350</v>
      </c>
      <c r="E12" s="30"/>
      <c r="F12" s="30"/>
      <c r="G12" s="30">
        <v>35</v>
      </c>
      <c r="H12" s="30">
        <v>35</v>
      </c>
      <c r="I12" s="30">
        <v>35</v>
      </c>
      <c r="J12" s="30"/>
      <c r="K12" s="30"/>
      <c r="L12" s="30">
        <v>70</v>
      </c>
      <c r="M12" s="1136">
        <v>35</v>
      </c>
      <c r="N12" s="30">
        <v>35</v>
      </c>
      <c r="O12" s="30">
        <v>0</v>
      </c>
      <c r="P12" s="1136"/>
      <c r="Q12" s="30"/>
      <c r="R12" s="30"/>
      <c r="S12" s="30"/>
      <c r="T12" s="30"/>
      <c r="U12" s="30"/>
      <c r="V12" s="31">
        <f t="shared" si="6"/>
        <v>245</v>
      </c>
      <c r="W12" s="744" t="s">
        <v>45</v>
      </c>
      <c r="X12" s="753">
        <v>10300</v>
      </c>
      <c r="Y12" s="884"/>
      <c r="Z12" s="884"/>
      <c r="AA12" s="884">
        <v>9000</v>
      </c>
      <c r="AB12" s="884">
        <v>9000</v>
      </c>
      <c r="AC12" s="884">
        <v>9000</v>
      </c>
      <c r="AD12" s="884"/>
      <c r="AE12" s="884"/>
      <c r="AF12" s="884">
        <v>9000</v>
      </c>
      <c r="AG12" s="1220">
        <v>10300</v>
      </c>
      <c r="AH12" s="1220">
        <v>10300</v>
      </c>
      <c r="AI12" s="1220">
        <v>10300</v>
      </c>
      <c r="AJ12" s="1220"/>
      <c r="AK12" s="1220"/>
      <c r="AL12" s="1220"/>
      <c r="AM12" s="1220"/>
      <c r="AN12" s="1220"/>
      <c r="AO12" s="884"/>
      <c r="AP12" s="1304">
        <f t="shared" si="14"/>
        <v>2523500</v>
      </c>
      <c r="AQ12" s="862">
        <f t="shared" si="7"/>
        <v>0</v>
      </c>
      <c r="AR12" s="862">
        <f t="shared" si="8"/>
        <v>0</v>
      </c>
      <c r="AS12" s="862">
        <f t="shared" si="9"/>
        <v>315000</v>
      </c>
      <c r="AT12" s="862">
        <f t="shared" ref="AT12:BA13" si="18">AB12*H12</f>
        <v>315000</v>
      </c>
      <c r="AU12" s="862">
        <f t="shared" si="18"/>
        <v>315000</v>
      </c>
      <c r="AV12" s="862">
        <f t="shared" si="18"/>
        <v>0</v>
      </c>
      <c r="AW12" s="862">
        <f t="shared" si="18"/>
        <v>0</v>
      </c>
      <c r="AX12" s="862">
        <f t="shared" si="18"/>
        <v>630000</v>
      </c>
      <c r="AY12" s="1128">
        <f t="shared" si="18"/>
        <v>360500</v>
      </c>
      <c r="AZ12" s="1128">
        <f t="shared" si="18"/>
        <v>360500</v>
      </c>
      <c r="BA12" s="862">
        <f t="shared" si="18"/>
        <v>0</v>
      </c>
      <c r="BB12" s="1128">
        <f>P12*AJ12</f>
        <v>0</v>
      </c>
      <c r="BC12" s="862"/>
      <c r="BD12" s="862"/>
      <c r="BE12" s="862"/>
      <c r="BF12" s="862"/>
      <c r="BG12" s="862"/>
      <c r="BH12" s="863">
        <f>SUM(AQ12:BG12)</f>
        <v>2296000</v>
      </c>
      <c r="BI12" s="862">
        <f>SUM(AQ12*14%)</f>
        <v>0</v>
      </c>
      <c r="BJ12" s="862"/>
      <c r="BK12" s="862">
        <f>SUM(AS12*3%)</f>
        <v>9450</v>
      </c>
      <c r="BL12" s="862">
        <f t="shared" ref="BL12:BN13" si="19">SUM(AT12*4%)</f>
        <v>12600</v>
      </c>
      <c r="BM12" s="862">
        <f t="shared" si="19"/>
        <v>12600</v>
      </c>
      <c r="BN12" s="862">
        <f t="shared" si="19"/>
        <v>0</v>
      </c>
      <c r="BO12" s="862">
        <f>SUM(AW12*14%)</f>
        <v>0</v>
      </c>
      <c r="BP12" s="862"/>
      <c r="BQ12" s="1136"/>
      <c r="BR12" s="862"/>
      <c r="BS12" s="862"/>
      <c r="BT12" s="862"/>
      <c r="BU12" s="862"/>
      <c r="BV12" s="862"/>
      <c r="BW12" s="862"/>
      <c r="BX12" s="862"/>
      <c r="BY12" s="862"/>
      <c r="BZ12" s="73">
        <f>SUM(BI12:BY12)</f>
        <v>34650</v>
      </c>
      <c r="CA12" s="686">
        <f>AP12-BH12-BZ12</f>
        <v>192850</v>
      </c>
      <c r="CB12" s="687">
        <f>X12*D12</f>
        <v>3605000</v>
      </c>
      <c r="CC12" s="1571">
        <f>CB12-BH12-BZ12</f>
        <v>1274350</v>
      </c>
      <c r="CD12" s="630">
        <f>SUM(V12/D12)</f>
        <v>0.7</v>
      </c>
      <c r="CE12" s="862">
        <f>AZ12-DE12-CR12</f>
        <v>317240</v>
      </c>
      <c r="CF12" s="862">
        <f>9000*35</f>
        <v>315000</v>
      </c>
      <c r="CG12" s="863">
        <f t="shared" ref="CG12:CG13" si="20">SUM(CE12-CF12)</f>
        <v>2240</v>
      </c>
      <c r="CH12" s="1084"/>
      <c r="CI12" s="862"/>
      <c r="CJ12" s="862"/>
      <c r="CK12" s="862">
        <f>CI12-CJ12</f>
        <v>0</v>
      </c>
      <c r="CL12" s="862"/>
      <c r="CM12" s="862"/>
      <c r="CN12" s="862"/>
      <c r="CO12" s="862"/>
      <c r="CP12" s="862"/>
      <c r="CQ12" s="862">
        <f>SUM(AY12*2%)</f>
        <v>7210</v>
      </c>
      <c r="CR12" s="862">
        <f>SUM(AZ12*2%)</f>
        <v>7210</v>
      </c>
      <c r="CS12" s="862">
        <v>7210</v>
      </c>
      <c r="CT12" s="862">
        <v>7210</v>
      </c>
      <c r="CU12" s="73">
        <f t="shared" si="16"/>
        <v>28840</v>
      </c>
      <c r="CV12" s="862"/>
      <c r="CW12" s="862"/>
      <c r="CX12" s="862"/>
      <c r="CY12" s="862"/>
      <c r="CZ12" s="862"/>
      <c r="DA12" s="862"/>
      <c r="DB12" s="862"/>
      <c r="DC12" s="862"/>
      <c r="DD12" s="862">
        <f>SUM(AY12*10%)</f>
        <v>36050</v>
      </c>
      <c r="DE12" s="862">
        <f>SUM(AZ12*10%)</f>
        <v>36050</v>
      </c>
      <c r="DF12" s="862"/>
      <c r="DG12" s="862"/>
      <c r="DH12" s="73">
        <f t="shared" si="17"/>
        <v>72100</v>
      </c>
    </row>
    <row r="13" spans="1:125" s="37" customFormat="1" ht="24.75" customHeight="1" x14ac:dyDescent="0.2">
      <c r="A13" s="28">
        <v>7</v>
      </c>
      <c r="B13" s="752" t="s">
        <v>459</v>
      </c>
      <c r="C13" s="29" t="s">
        <v>25</v>
      </c>
      <c r="D13" s="568">
        <v>350</v>
      </c>
      <c r="E13" s="30"/>
      <c r="F13" s="30"/>
      <c r="G13" s="30">
        <v>35</v>
      </c>
      <c r="H13" s="30">
        <v>35</v>
      </c>
      <c r="I13" s="30">
        <v>35</v>
      </c>
      <c r="J13" s="30"/>
      <c r="K13" s="30"/>
      <c r="L13" s="30">
        <v>70</v>
      </c>
      <c r="M13" s="1136">
        <v>35</v>
      </c>
      <c r="N13" s="30">
        <v>35</v>
      </c>
      <c r="O13" s="30">
        <v>0</v>
      </c>
      <c r="P13" s="1136"/>
      <c r="Q13" s="30"/>
      <c r="R13" s="30"/>
      <c r="S13" s="30"/>
      <c r="T13" s="30"/>
      <c r="U13" s="30"/>
      <c r="V13" s="31">
        <f t="shared" si="6"/>
        <v>245</v>
      </c>
      <c r="W13" s="744" t="s">
        <v>31</v>
      </c>
      <c r="X13" s="754">
        <v>28500</v>
      </c>
      <c r="Y13" s="884"/>
      <c r="Z13" s="884"/>
      <c r="AA13" s="884">
        <v>25000</v>
      </c>
      <c r="AB13" s="884">
        <v>25000</v>
      </c>
      <c r="AC13" s="884">
        <v>25000</v>
      </c>
      <c r="AD13" s="884"/>
      <c r="AE13" s="884"/>
      <c r="AF13" s="884">
        <v>25000</v>
      </c>
      <c r="AG13" s="1220">
        <v>28000</v>
      </c>
      <c r="AH13" s="1220">
        <v>28000</v>
      </c>
      <c r="AI13" s="1220">
        <v>28000</v>
      </c>
      <c r="AJ13" s="1220"/>
      <c r="AK13" s="1220"/>
      <c r="AL13" s="1220"/>
      <c r="AM13" s="1220"/>
      <c r="AN13" s="1220"/>
      <c r="AO13" s="884"/>
      <c r="AP13" s="1304">
        <f t="shared" si="14"/>
        <v>6982500</v>
      </c>
      <c r="AQ13" s="862">
        <f t="shared" si="7"/>
        <v>0</v>
      </c>
      <c r="AR13" s="862">
        <f t="shared" si="8"/>
        <v>0</v>
      </c>
      <c r="AS13" s="862">
        <f t="shared" si="9"/>
        <v>875000</v>
      </c>
      <c r="AT13" s="862">
        <f t="shared" si="18"/>
        <v>875000</v>
      </c>
      <c r="AU13" s="862">
        <f t="shared" si="18"/>
        <v>875000</v>
      </c>
      <c r="AV13" s="862">
        <f t="shared" si="18"/>
        <v>0</v>
      </c>
      <c r="AW13" s="862">
        <f t="shared" si="18"/>
        <v>0</v>
      </c>
      <c r="AX13" s="862">
        <f t="shared" si="18"/>
        <v>1750000</v>
      </c>
      <c r="AY13" s="1128">
        <f t="shared" si="18"/>
        <v>980000</v>
      </c>
      <c r="AZ13" s="1128">
        <f t="shared" si="18"/>
        <v>980000</v>
      </c>
      <c r="BA13" s="862">
        <f t="shared" si="18"/>
        <v>0</v>
      </c>
      <c r="BB13" s="1128">
        <f>P13*AJ13</f>
        <v>0</v>
      </c>
      <c r="BC13" s="862"/>
      <c r="BD13" s="862"/>
      <c r="BE13" s="862"/>
      <c r="BF13" s="862"/>
      <c r="BG13" s="862"/>
      <c r="BH13" s="863">
        <f>SUM(AQ13:BG13)</f>
        <v>6335000</v>
      </c>
      <c r="BI13" s="862">
        <f>SUM(AQ13*14%)</f>
        <v>0</v>
      </c>
      <c r="BJ13" s="862"/>
      <c r="BK13" s="862">
        <f>SUM(AS13*3%)</f>
        <v>26250</v>
      </c>
      <c r="BL13" s="862">
        <f t="shared" si="19"/>
        <v>35000</v>
      </c>
      <c r="BM13" s="862">
        <f t="shared" si="19"/>
        <v>35000</v>
      </c>
      <c r="BN13" s="862">
        <f t="shared" si="19"/>
        <v>0</v>
      </c>
      <c r="BO13" s="862">
        <f>SUM(AW13*14%)</f>
        <v>0</v>
      </c>
      <c r="BP13" s="862"/>
      <c r="BQ13" s="1136"/>
      <c r="BR13" s="862"/>
      <c r="BS13" s="862"/>
      <c r="BT13" s="862"/>
      <c r="BU13" s="862"/>
      <c r="BV13" s="862"/>
      <c r="BW13" s="862"/>
      <c r="BX13" s="862"/>
      <c r="BY13" s="862"/>
      <c r="BZ13" s="73">
        <f>SUM(BI13:BY13)+95200</f>
        <v>191450</v>
      </c>
      <c r="CA13" s="686">
        <f>AP13-BH13-BZ13</f>
        <v>456050</v>
      </c>
      <c r="CB13" s="687">
        <f>X13*D13</f>
        <v>9975000</v>
      </c>
      <c r="CC13" s="1571">
        <f>CB13-BH13-BZ13</f>
        <v>3448550</v>
      </c>
      <c r="CD13" s="630">
        <f>SUM(V13/D13)</f>
        <v>0.7</v>
      </c>
      <c r="CE13" s="862">
        <f>AZ13-CR13-DE13</f>
        <v>862400</v>
      </c>
      <c r="CF13" s="862">
        <f>24000*35</f>
        <v>840000</v>
      </c>
      <c r="CG13" s="863">
        <f t="shared" si="20"/>
        <v>22400</v>
      </c>
      <c r="CH13" s="1084"/>
      <c r="CI13" s="862"/>
      <c r="CJ13" s="862"/>
      <c r="CK13" s="862"/>
      <c r="CL13" s="862"/>
      <c r="CM13" s="862"/>
      <c r="CN13" s="862"/>
      <c r="CO13" s="862"/>
      <c r="CP13" s="862"/>
      <c r="CQ13" s="862">
        <f>SUM(AY13*2%)</f>
        <v>19600</v>
      </c>
      <c r="CR13" s="862">
        <f>SUM(AZ13*2%)</f>
        <v>19600</v>
      </c>
      <c r="CS13" s="862">
        <v>19600</v>
      </c>
      <c r="CT13" s="862">
        <v>19600</v>
      </c>
      <c r="CU13" s="73">
        <f t="shared" si="16"/>
        <v>78400</v>
      </c>
      <c r="CV13" s="862"/>
      <c r="CW13" s="862"/>
      <c r="CX13" s="862"/>
      <c r="CY13" s="862"/>
      <c r="CZ13" s="862"/>
      <c r="DA13" s="862"/>
      <c r="DB13" s="862"/>
      <c r="DC13" s="862"/>
      <c r="DD13" s="862">
        <f>SUM(AY13*10%)</f>
        <v>98000</v>
      </c>
      <c r="DE13" s="862">
        <f>SUM(AZ13*10%)</f>
        <v>98000</v>
      </c>
      <c r="DF13" s="862"/>
      <c r="DG13" s="862"/>
      <c r="DH13" s="73">
        <f t="shared" si="17"/>
        <v>196000</v>
      </c>
    </row>
    <row r="14" spans="1:125" s="37" customFormat="1" ht="24.75" customHeight="1" x14ac:dyDescent="0.2">
      <c r="A14" s="28"/>
      <c r="B14" s="796" t="s">
        <v>352</v>
      </c>
      <c r="C14" s="29"/>
      <c r="D14" s="669"/>
      <c r="E14" s="30"/>
      <c r="F14" s="30"/>
      <c r="G14" s="30"/>
      <c r="H14" s="30"/>
      <c r="I14" s="30"/>
      <c r="J14" s="30"/>
      <c r="K14" s="30"/>
      <c r="L14" s="30"/>
      <c r="M14" s="1136"/>
      <c r="N14" s="30"/>
      <c r="O14" s="30"/>
      <c r="P14" s="1136"/>
      <c r="Q14" s="30"/>
      <c r="R14" s="30"/>
      <c r="S14" s="30"/>
      <c r="T14" s="30"/>
      <c r="U14" s="30"/>
      <c r="V14" s="31"/>
      <c r="W14" s="690"/>
      <c r="X14" s="750"/>
      <c r="Y14" s="884"/>
      <c r="Z14" s="884"/>
      <c r="AA14" s="884"/>
      <c r="AB14" s="884"/>
      <c r="AC14" s="884"/>
      <c r="AD14" s="884"/>
      <c r="AE14" s="884"/>
      <c r="AF14" s="884"/>
      <c r="AG14" s="1136"/>
      <c r="AH14" s="1220"/>
      <c r="AI14" s="1220"/>
      <c r="AJ14" s="1220"/>
      <c r="AK14" s="1220"/>
      <c r="AL14" s="1220"/>
      <c r="AM14" s="1220"/>
      <c r="AN14" s="1220"/>
      <c r="AO14" s="884"/>
      <c r="AP14" s="1304"/>
      <c r="AQ14" s="862"/>
      <c r="AR14" s="862"/>
      <c r="AS14" s="862"/>
      <c r="AT14" s="862"/>
      <c r="AU14" s="862"/>
      <c r="AV14" s="862"/>
      <c r="AW14" s="862"/>
      <c r="AX14" s="862"/>
      <c r="AY14" s="1136"/>
      <c r="AZ14" s="1128"/>
      <c r="BA14" s="862"/>
      <c r="BB14" s="1128"/>
      <c r="BC14" s="862"/>
      <c r="BD14" s="862"/>
      <c r="BE14" s="862"/>
      <c r="BF14" s="862"/>
      <c r="BG14" s="862"/>
      <c r="BH14" s="863"/>
      <c r="BI14" s="862"/>
      <c r="BJ14" s="862"/>
      <c r="BK14" s="862"/>
      <c r="BL14" s="862"/>
      <c r="BM14" s="862"/>
      <c r="BN14" s="862"/>
      <c r="BO14" s="862"/>
      <c r="BP14" s="862"/>
      <c r="BQ14" s="1136"/>
      <c r="BR14" s="862"/>
      <c r="BS14" s="862"/>
      <c r="BT14" s="862"/>
      <c r="BU14" s="862"/>
      <c r="BV14" s="862"/>
      <c r="BW14" s="862"/>
      <c r="BX14" s="862"/>
      <c r="BY14" s="862"/>
      <c r="BZ14" s="73"/>
      <c r="CA14" s="686"/>
      <c r="CB14" s="687"/>
      <c r="CC14" s="688"/>
      <c r="CD14" s="630"/>
      <c r="CE14" s="1081"/>
      <c r="CF14" s="1081"/>
      <c r="CG14" s="1107"/>
      <c r="CH14" s="1084"/>
      <c r="CI14" s="862"/>
      <c r="CJ14" s="862"/>
      <c r="CK14" s="862"/>
      <c r="CL14" s="862"/>
      <c r="CM14" s="862"/>
      <c r="CN14" s="862"/>
      <c r="CO14" s="862"/>
      <c r="CP14" s="862"/>
      <c r="CQ14" s="1103">
        <f>SUM(AX14*12.5%)</f>
        <v>0</v>
      </c>
      <c r="CR14" s="862"/>
      <c r="CS14" s="862"/>
      <c r="CT14" s="862"/>
      <c r="CU14" s="73">
        <f t="shared" si="16"/>
        <v>0</v>
      </c>
      <c r="CV14" s="862"/>
      <c r="CW14" s="862"/>
      <c r="CX14" s="862"/>
      <c r="CY14" s="862"/>
      <c r="CZ14" s="862"/>
      <c r="DA14" s="862"/>
      <c r="DB14" s="862"/>
      <c r="DC14" s="862"/>
      <c r="DD14" s="1103"/>
      <c r="DE14" s="862"/>
      <c r="DF14" s="862"/>
      <c r="DG14" s="862"/>
      <c r="DH14" s="73">
        <f t="shared" si="17"/>
        <v>0</v>
      </c>
    </row>
    <row r="15" spans="1:125" s="37" customFormat="1" ht="24.75" customHeight="1" x14ac:dyDescent="0.2">
      <c r="A15" s="28">
        <v>8</v>
      </c>
      <c r="B15" s="141" t="s">
        <v>49</v>
      </c>
      <c r="C15" s="29" t="s">
        <v>25</v>
      </c>
      <c r="D15" s="557">
        <v>20</v>
      </c>
      <c r="E15" s="30">
        <v>6</v>
      </c>
      <c r="F15" s="30">
        <v>4</v>
      </c>
      <c r="G15" s="30">
        <v>5</v>
      </c>
      <c r="H15" s="30">
        <v>5</v>
      </c>
      <c r="I15" s="30"/>
      <c r="J15" s="30"/>
      <c r="K15" s="30"/>
      <c r="L15" s="30"/>
      <c r="M15" s="1136"/>
      <c r="N15" s="30"/>
      <c r="O15" s="30"/>
      <c r="P15" s="1136"/>
      <c r="Q15" s="30"/>
      <c r="R15" s="30"/>
      <c r="S15" s="30"/>
      <c r="T15" s="30"/>
      <c r="U15" s="30"/>
      <c r="V15" s="31">
        <f t="shared" si="6"/>
        <v>20</v>
      </c>
      <c r="W15" s="744" t="s">
        <v>464</v>
      </c>
      <c r="X15" s="559">
        <v>100000</v>
      </c>
      <c r="Y15" s="884">
        <v>100000</v>
      </c>
      <c r="Z15" s="884">
        <v>50000</v>
      </c>
      <c r="AA15" s="884">
        <v>100000</v>
      </c>
      <c r="AB15" s="884">
        <v>100000</v>
      </c>
      <c r="AC15" s="884"/>
      <c r="AD15" s="884"/>
      <c r="AE15" s="884"/>
      <c r="AF15" s="884"/>
      <c r="AG15" s="1136"/>
      <c r="AH15" s="1220"/>
      <c r="AI15" s="1220"/>
      <c r="AJ15" s="1220"/>
      <c r="AK15" s="1220"/>
      <c r="AL15" s="1220"/>
      <c r="AM15" s="1220"/>
      <c r="AN15" s="1220"/>
      <c r="AO15" s="884"/>
      <c r="AP15" s="1304">
        <f t="shared" si="14"/>
        <v>2000000</v>
      </c>
      <c r="AQ15" s="862">
        <f t="shared" si="7"/>
        <v>600000</v>
      </c>
      <c r="AR15" s="862">
        <f t="shared" si="8"/>
        <v>200000</v>
      </c>
      <c r="AS15" s="862">
        <f t="shared" si="9"/>
        <v>500000</v>
      </c>
      <c r="AT15" s="862">
        <f t="shared" ref="AT15:AX16" si="21">AB15*H15</f>
        <v>500000</v>
      </c>
      <c r="AU15" s="862">
        <f t="shared" si="21"/>
        <v>0</v>
      </c>
      <c r="AV15" s="862">
        <f t="shared" si="21"/>
        <v>0</v>
      </c>
      <c r="AW15" s="862">
        <f t="shared" si="21"/>
        <v>0</v>
      </c>
      <c r="AX15" s="862">
        <f t="shared" si="21"/>
        <v>0</v>
      </c>
      <c r="AY15" s="1136"/>
      <c r="AZ15" s="1128">
        <f>AH15*N15</f>
        <v>0</v>
      </c>
      <c r="BA15" s="862">
        <f>AI15*O15</f>
        <v>0</v>
      </c>
      <c r="BB15" s="1128"/>
      <c r="BC15" s="862"/>
      <c r="BD15" s="862"/>
      <c r="BE15" s="862"/>
      <c r="BF15" s="862"/>
      <c r="BG15" s="862"/>
      <c r="BH15" s="863">
        <f>SUM(AQ15:BG15)</f>
        <v>1800000</v>
      </c>
      <c r="BI15" s="862"/>
      <c r="BJ15" s="862"/>
      <c r="BK15" s="862"/>
      <c r="BL15" s="862"/>
      <c r="BM15" s="862">
        <f>SUM(AU15*14%)</f>
        <v>0</v>
      </c>
      <c r="BN15" s="862">
        <f>SUM(AV15*14%)</f>
        <v>0</v>
      </c>
      <c r="BO15" s="862">
        <f>SUM(AW15*14%)</f>
        <v>0</v>
      </c>
      <c r="BP15" s="862">
        <f>SUM(AX15*14%)</f>
        <v>0</v>
      </c>
      <c r="BQ15" s="1136"/>
      <c r="BR15" s="862"/>
      <c r="BS15" s="862"/>
      <c r="BT15" s="862"/>
      <c r="BU15" s="862"/>
      <c r="BV15" s="862"/>
      <c r="BW15" s="862"/>
      <c r="BX15" s="862"/>
      <c r="BY15" s="862"/>
      <c r="BZ15" s="73">
        <f>SUM(BI15:BY15)</f>
        <v>0</v>
      </c>
      <c r="CA15" s="686">
        <f>AP15-BH15-BZ15</f>
        <v>200000</v>
      </c>
      <c r="CB15" s="687">
        <f>X15*D15</f>
        <v>2000000</v>
      </c>
      <c r="CC15" s="688">
        <f>CB15-BH15-BZ15</f>
        <v>200000</v>
      </c>
      <c r="CD15" s="630">
        <f>SUM(V15/D15)</f>
        <v>1</v>
      </c>
      <c r="CE15" s="1081"/>
      <c r="CF15" s="1081"/>
      <c r="CG15" s="1107"/>
      <c r="CH15" s="1084"/>
      <c r="CI15" s="862"/>
      <c r="CJ15" s="862"/>
      <c r="CK15" s="862"/>
      <c r="CL15" s="862"/>
      <c r="CM15" s="862"/>
      <c r="CN15" s="862"/>
      <c r="CO15" s="862"/>
      <c r="CP15" s="862"/>
      <c r="CQ15" s="1103">
        <f>SUM(AX15*12.5%)</f>
        <v>0</v>
      </c>
      <c r="CR15" s="862"/>
      <c r="CS15" s="862"/>
      <c r="CT15" s="862"/>
      <c r="CU15" s="73">
        <f t="shared" si="16"/>
        <v>0</v>
      </c>
      <c r="CV15" s="862"/>
      <c r="CW15" s="862"/>
      <c r="CX15" s="862"/>
      <c r="CY15" s="862"/>
      <c r="CZ15" s="862"/>
      <c r="DA15" s="862"/>
      <c r="DB15" s="862"/>
      <c r="DC15" s="862"/>
      <c r="DD15" s="1103"/>
      <c r="DE15" s="862"/>
      <c r="DF15" s="862"/>
      <c r="DG15" s="862"/>
      <c r="DH15" s="73">
        <f t="shared" si="17"/>
        <v>0</v>
      </c>
    </row>
    <row r="16" spans="1:125" s="37" customFormat="1" ht="24.75" customHeight="1" x14ac:dyDescent="0.2">
      <c r="A16" s="28">
        <v>9</v>
      </c>
      <c r="B16" s="141" t="s">
        <v>44</v>
      </c>
      <c r="C16" s="29" t="s">
        <v>25</v>
      </c>
      <c r="D16" s="557">
        <v>1</v>
      </c>
      <c r="E16" s="683"/>
      <c r="F16" s="30"/>
      <c r="G16" s="30"/>
      <c r="H16" s="30"/>
      <c r="I16" s="30"/>
      <c r="J16" s="30"/>
      <c r="K16" s="30"/>
      <c r="L16" s="30">
        <v>1</v>
      </c>
      <c r="M16" s="1136"/>
      <c r="N16" s="30"/>
      <c r="O16" s="30"/>
      <c r="P16" s="1136"/>
      <c r="Q16" s="30"/>
      <c r="R16" s="30"/>
      <c r="S16" s="30"/>
      <c r="T16" s="30"/>
      <c r="U16" s="30"/>
      <c r="V16" s="31">
        <f t="shared" si="6"/>
        <v>1</v>
      </c>
      <c r="W16" s="744" t="s">
        <v>464</v>
      </c>
      <c r="X16" s="914">
        <v>1802000</v>
      </c>
      <c r="Y16" s="719"/>
      <c r="Z16" s="719"/>
      <c r="AA16" s="719"/>
      <c r="AB16" s="884"/>
      <c r="AC16" s="884"/>
      <c r="AD16" s="884"/>
      <c r="AE16" s="884"/>
      <c r="AF16" s="884">
        <v>1017500</v>
      </c>
      <c r="AG16" s="1136"/>
      <c r="AH16" s="1220"/>
      <c r="AI16" s="1220"/>
      <c r="AJ16" s="1220"/>
      <c r="AK16" s="1220"/>
      <c r="AL16" s="1220"/>
      <c r="AM16" s="1220"/>
      <c r="AN16" s="1220"/>
      <c r="AO16" s="884"/>
      <c r="AP16" s="1304">
        <f t="shared" si="14"/>
        <v>1802000</v>
      </c>
      <c r="AQ16" s="862">
        <f t="shared" si="7"/>
        <v>0</v>
      </c>
      <c r="AR16" s="862">
        <f t="shared" si="8"/>
        <v>0</v>
      </c>
      <c r="AS16" s="862">
        <f t="shared" si="9"/>
        <v>0</v>
      </c>
      <c r="AT16" s="862">
        <f t="shared" si="21"/>
        <v>0</v>
      </c>
      <c r="AU16" s="862">
        <f t="shared" si="21"/>
        <v>0</v>
      </c>
      <c r="AV16" s="862">
        <f t="shared" si="21"/>
        <v>0</v>
      </c>
      <c r="AW16" s="862">
        <f t="shared" si="21"/>
        <v>0</v>
      </c>
      <c r="AX16" s="862">
        <f t="shared" si="21"/>
        <v>1017500</v>
      </c>
      <c r="AY16" s="1136"/>
      <c r="AZ16" s="1128">
        <f>AH16*N16</f>
        <v>0</v>
      </c>
      <c r="BA16" s="862">
        <f>AI16*O16</f>
        <v>0</v>
      </c>
      <c r="BB16" s="1128"/>
      <c r="BC16" s="862"/>
      <c r="BD16" s="862"/>
      <c r="BE16" s="862"/>
      <c r="BF16" s="862"/>
      <c r="BG16" s="862"/>
      <c r="BH16" s="863">
        <f>SUM(AQ16:BG16)</f>
        <v>1017500</v>
      </c>
      <c r="BI16" s="862">
        <f t="shared" ref="BI16:BM17" si="22">SUM(AQ16*4%)</f>
        <v>0</v>
      </c>
      <c r="BJ16" s="862">
        <f t="shared" si="22"/>
        <v>0</v>
      </c>
      <c r="BK16" s="862">
        <f t="shared" si="22"/>
        <v>0</v>
      </c>
      <c r="BL16" s="862">
        <f t="shared" si="22"/>
        <v>0</v>
      </c>
      <c r="BM16" s="862">
        <f t="shared" si="22"/>
        <v>0</v>
      </c>
      <c r="BN16" s="862"/>
      <c r="BO16" s="862">
        <f>SUM(AW16*4%)</f>
        <v>0</v>
      </c>
      <c r="BP16" s="862">
        <v>0</v>
      </c>
      <c r="BQ16" s="1136"/>
      <c r="BR16" s="862"/>
      <c r="BS16" s="862"/>
      <c r="BT16" s="862"/>
      <c r="BU16" s="862"/>
      <c r="BV16" s="862"/>
      <c r="BW16" s="862"/>
      <c r="BX16" s="862"/>
      <c r="BY16" s="862"/>
      <c r="BZ16" s="73">
        <f>SUM(BI16:BY16)</f>
        <v>0</v>
      </c>
      <c r="CA16" s="686">
        <f>AP16-BH16-BZ16</f>
        <v>784500</v>
      </c>
      <c r="CB16" s="687">
        <f>X16*D16</f>
        <v>1802000</v>
      </c>
      <c r="CC16" s="688">
        <f>CB16-BH16-BZ16</f>
        <v>784500</v>
      </c>
      <c r="CD16" s="630">
        <f>SUM(V16/D16)</f>
        <v>1</v>
      </c>
      <c r="CE16" s="1081"/>
      <c r="CF16" s="1081"/>
      <c r="CG16" s="1107"/>
      <c r="CH16" s="1084"/>
      <c r="CI16" s="862"/>
      <c r="CJ16" s="862"/>
      <c r="CK16" s="862"/>
      <c r="CL16" s="862"/>
      <c r="CM16" s="862"/>
      <c r="CN16" s="862"/>
      <c r="CO16" s="862"/>
      <c r="CP16" s="862"/>
      <c r="CQ16" s="1103"/>
      <c r="CR16" s="862"/>
      <c r="CS16" s="862"/>
      <c r="CT16" s="862"/>
      <c r="CU16" s="73">
        <f t="shared" si="16"/>
        <v>0</v>
      </c>
      <c r="CV16" s="862"/>
      <c r="CW16" s="862"/>
      <c r="CX16" s="862"/>
      <c r="CY16" s="862"/>
      <c r="CZ16" s="862"/>
      <c r="DA16" s="862"/>
      <c r="DB16" s="862"/>
      <c r="DC16" s="862"/>
      <c r="DD16" s="1103"/>
      <c r="DE16" s="862"/>
      <c r="DF16" s="862"/>
      <c r="DG16" s="862"/>
      <c r="DH16" s="73">
        <f t="shared" si="17"/>
        <v>0</v>
      </c>
    </row>
    <row r="17" spans="1:118" s="37" customFormat="1" ht="24.75" customHeight="1" x14ac:dyDescent="0.2">
      <c r="A17" s="28">
        <v>9</v>
      </c>
      <c r="B17" s="141" t="s">
        <v>579</v>
      </c>
      <c r="C17" s="29" t="s">
        <v>25</v>
      </c>
      <c r="D17" s="557">
        <v>0</v>
      </c>
      <c r="E17" s="683"/>
      <c r="F17" s="30"/>
      <c r="G17" s="30"/>
      <c r="H17" s="30"/>
      <c r="I17" s="30"/>
      <c r="J17" s="30"/>
      <c r="K17" s="30"/>
      <c r="L17" s="30"/>
      <c r="M17" s="1136"/>
      <c r="N17" s="30"/>
      <c r="O17" s="30"/>
      <c r="P17" s="1136"/>
      <c r="Q17" s="30"/>
      <c r="R17" s="30"/>
      <c r="S17" s="30"/>
      <c r="T17" s="30"/>
      <c r="U17" s="30"/>
      <c r="V17" s="31">
        <f t="shared" ref="V17" si="23">SUM(E17:U17)</f>
        <v>0</v>
      </c>
      <c r="W17" s="744" t="s">
        <v>464</v>
      </c>
      <c r="X17" s="914">
        <v>7451000</v>
      </c>
      <c r="Y17" s="719"/>
      <c r="Z17" s="719"/>
      <c r="AA17" s="719"/>
      <c r="AB17" s="685"/>
      <c r="AC17" s="685"/>
      <c r="AD17" s="884"/>
      <c r="AE17" s="685"/>
      <c r="AF17" s="685"/>
      <c r="AG17" s="1136"/>
      <c r="AH17" s="1220"/>
      <c r="AI17" s="1220"/>
      <c r="AJ17" s="1220"/>
      <c r="AK17" s="1220"/>
      <c r="AL17" s="1220"/>
      <c r="AM17" s="1220"/>
      <c r="AN17" s="1220"/>
      <c r="AO17" s="685"/>
      <c r="AP17" s="1304">
        <f t="shared" ref="AP17" si="24">SUM(V17*X17)</f>
        <v>0</v>
      </c>
      <c r="AQ17" s="70">
        <f t="shared" ref="AQ17" si="25">Y17*E17</f>
        <v>0</v>
      </c>
      <c r="AR17" s="70">
        <f t="shared" ref="AR17" si="26">Z17*F17</f>
        <v>0</v>
      </c>
      <c r="AS17" s="70">
        <f t="shared" ref="AS17" si="27">AA17*G17</f>
        <v>0</v>
      </c>
      <c r="AT17" s="70">
        <f t="shared" ref="AT17" si="28">AB17*H17</f>
        <v>0</v>
      </c>
      <c r="AU17" s="70">
        <f t="shared" ref="AU17" si="29">AC17*I17</f>
        <v>0</v>
      </c>
      <c r="AV17" s="70">
        <f t="shared" ref="AV17" si="30">AD17*J17</f>
        <v>0</v>
      </c>
      <c r="AW17" s="70">
        <f t="shared" ref="AW17" si="31">AE17*K17</f>
        <v>0</v>
      </c>
      <c r="AX17" s="70">
        <f t="shared" ref="AX17" si="32">AF17*L17</f>
        <v>0</v>
      </c>
      <c r="AY17" s="1136"/>
      <c r="AZ17" s="1128">
        <f t="shared" ref="AZ17" si="33">AH17*N17</f>
        <v>0</v>
      </c>
      <c r="BA17" s="70">
        <f t="shared" ref="BA17" si="34">AI17*O17</f>
        <v>0</v>
      </c>
      <c r="BB17" s="1128"/>
      <c r="BC17" s="70"/>
      <c r="BD17" s="70"/>
      <c r="BE17" s="70"/>
      <c r="BF17" s="70"/>
      <c r="BG17" s="70"/>
      <c r="BH17" s="71">
        <f>SUM(AQ17:BG17)</f>
        <v>0</v>
      </c>
      <c r="BI17" s="70">
        <f t="shared" si="22"/>
        <v>0</v>
      </c>
      <c r="BJ17" s="70">
        <f t="shared" si="22"/>
        <v>0</v>
      </c>
      <c r="BK17" s="70">
        <f t="shared" si="22"/>
        <v>0</v>
      </c>
      <c r="BL17" s="70">
        <f t="shared" si="22"/>
        <v>0</v>
      </c>
      <c r="BM17" s="70">
        <f t="shared" si="22"/>
        <v>0</v>
      </c>
      <c r="BN17" s="70">
        <f>SUM(AV17*4%)</f>
        <v>0</v>
      </c>
      <c r="BO17" s="70">
        <f>SUM(AW17*4%)</f>
        <v>0</v>
      </c>
      <c r="BP17" s="70">
        <f>SUM(AX17*4%)</f>
        <v>0</v>
      </c>
      <c r="BQ17" s="1136"/>
      <c r="BR17" s="70"/>
      <c r="BS17" s="70"/>
      <c r="BT17" s="70"/>
      <c r="BU17" s="70"/>
      <c r="BV17" s="70"/>
      <c r="BW17" s="70"/>
      <c r="BX17" s="70"/>
      <c r="BY17" s="70"/>
      <c r="BZ17" s="72">
        <f>SUM(BI17:BY17)</f>
        <v>0</v>
      </c>
      <c r="CA17" s="686">
        <f>AP17-BH17-BZ17</f>
        <v>0</v>
      </c>
      <c r="CB17" s="687">
        <f>X17*D17</f>
        <v>0</v>
      </c>
      <c r="CC17" s="688">
        <f>CB17-BH17-BZ17</f>
        <v>0</v>
      </c>
      <c r="CD17" s="630"/>
      <c r="CE17" s="1081"/>
      <c r="CF17" s="1081"/>
      <c r="CG17" s="1107"/>
      <c r="CH17" s="1084"/>
      <c r="CI17" s="862"/>
      <c r="CJ17" s="862"/>
      <c r="CK17" s="862"/>
      <c r="CL17" s="862"/>
      <c r="CM17" s="862"/>
      <c r="CN17" s="862"/>
      <c r="CO17" s="862"/>
      <c r="CP17" s="862"/>
      <c r="CQ17" s="1103">
        <f t="shared" ref="CQ17:CQ24" si="35">SUM(AX17*12.5%)</f>
        <v>0</v>
      </c>
      <c r="CR17" s="862"/>
      <c r="CS17" s="862"/>
      <c r="CT17" s="862"/>
      <c r="CU17" s="73">
        <f t="shared" si="16"/>
        <v>0</v>
      </c>
      <c r="CV17" s="862"/>
      <c r="CW17" s="862"/>
      <c r="CX17" s="862"/>
      <c r="CY17" s="862"/>
      <c r="CZ17" s="862"/>
      <c r="DA17" s="862"/>
      <c r="DB17" s="862"/>
      <c r="DC17" s="862"/>
      <c r="DD17" s="1103"/>
      <c r="DE17" s="862"/>
      <c r="DF17" s="862"/>
      <c r="DG17" s="862"/>
      <c r="DH17" s="73">
        <f t="shared" si="17"/>
        <v>0</v>
      </c>
    </row>
    <row r="18" spans="1:118" s="37" customFormat="1" ht="24.75" customHeight="1" x14ac:dyDescent="0.2">
      <c r="A18" s="28"/>
      <c r="B18" s="796" t="s">
        <v>460</v>
      </c>
      <c r="C18" s="29"/>
      <c r="D18" s="915"/>
      <c r="E18" s="683"/>
      <c r="F18" s="30"/>
      <c r="G18" s="30"/>
      <c r="H18" s="30"/>
      <c r="I18" s="30"/>
      <c r="J18" s="30"/>
      <c r="K18" s="30"/>
      <c r="L18" s="30"/>
      <c r="M18" s="1136"/>
      <c r="N18" s="30"/>
      <c r="O18" s="30"/>
      <c r="P18" s="1136"/>
      <c r="Q18" s="30"/>
      <c r="R18" s="30"/>
      <c r="S18" s="30"/>
      <c r="T18" s="30"/>
      <c r="U18" s="30"/>
      <c r="V18" s="31"/>
      <c r="W18" s="83"/>
      <c r="X18" s="691"/>
      <c r="Y18" s="719"/>
      <c r="Z18" s="719"/>
      <c r="AA18" s="719"/>
      <c r="AB18" s="685"/>
      <c r="AC18" s="685"/>
      <c r="AD18" s="884"/>
      <c r="AE18" s="685"/>
      <c r="AF18" s="685"/>
      <c r="AG18" s="1136"/>
      <c r="AH18" s="1220"/>
      <c r="AI18" s="1220"/>
      <c r="AJ18" s="1220"/>
      <c r="AK18" s="1220"/>
      <c r="AL18" s="1220"/>
      <c r="AM18" s="1220"/>
      <c r="AN18" s="1220"/>
      <c r="AO18" s="685"/>
      <c r="AP18" s="1304"/>
      <c r="AQ18" s="70"/>
      <c r="AR18" s="70"/>
      <c r="AS18" s="70"/>
      <c r="AT18" s="70"/>
      <c r="AU18" s="70"/>
      <c r="AV18" s="70"/>
      <c r="AW18" s="70"/>
      <c r="AX18" s="70"/>
      <c r="AY18" s="1136"/>
      <c r="AZ18" s="1128"/>
      <c r="BA18" s="70"/>
      <c r="BB18" s="1128"/>
      <c r="BC18" s="70"/>
      <c r="BD18" s="70"/>
      <c r="BE18" s="70"/>
      <c r="BF18" s="70"/>
      <c r="BG18" s="70"/>
      <c r="BH18" s="71"/>
      <c r="BI18" s="70"/>
      <c r="BJ18" s="70"/>
      <c r="BK18" s="70"/>
      <c r="BL18" s="70"/>
      <c r="BM18" s="70"/>
      <c r="BN18" s="70"/>
      <c r="BO18" s="70"/>
      <c r="BP18" s="70"/>
      <c r="BQ18" s="1136"/>
      <c r="BR18" s="70"/>
      <c r="BS18" s="70"/>
      <c r="BT18" s="70"/>
      <c r="BU18" s="70"/>
      <c r="BV18" s="70"/>
      <c r="BW18" s="70"/>
      <c r="BX18" s="70"/>
      <c r="BY18" s="70"/>
      <c r="BZ18" s="72"/>
      <c r="CA18" s="686"/>
      <c r="CB18" s="687"/>
      <c r="CC18" s="688"/>
      <c r="CD18" s="630"/>
      <c r="CE18" s="1081"/>
      <c r="CF18" s="1081"/>
      <c r="CG18" s="1107"/>
      <c r="CH18" s="1084"/>
      <c r="CI18" s="862"/>
      <c r="CJ18" s="862"/>
      <c r="CK18" s="862"/>
      <c r="CL18" s="862"/>
      <c r="CM18" s="862"/>
      <c r="CN18" s="862"/>
      <c r="CO18" s="862"/>
      <c r="CP18" s="862"/>
      <c r="CQ18" s="1103">
        <f t="shared" si="35"/>
        <v>0</v>
      </c>
      <c r="CR18" s="862"/>
      <c r="CS18" s="862"/>
      <c r="CT18" s="862"/>
      <c r="CU18" s="73">
        <f t="shared" si="16"/>
        <v>0</v>
      </c>
      <c r="CV18" s="862"/>
      <c r="CW18" s="862"/>
      <c r="CX18" s="862"/>
      <c r="CY18" s="862"/>
      <c r="CZ18" s="862"/>
      <c r="DA18" s="862"/>
      <c r="DB18" s="862"/>
      <c r="DC18" s="862"/>
      <c r="DD18" s="1103"/>
      <c r="DE18" s="862"/>
      <c r="DF18" s="862"/>
      <c r="DG18" s="862"/>
      <c r="DH18" s="73">
        <f t="shared" si="17"/>
        <v>0</v>
      </c>
    </row>
    <row r="19" spans="1:118" s="37" customFormat="1" ht="24.75" customHeight="1" x14ac:dyDescent="0.2">
      <c r="A19" s="28">
        <v>9</v>
      </c>
      <c r="B19" s="752" t="s">
        <v>461</v>
      </c>
      <c r="C19" s="29" t="s">
        <v>25</v>
      </c>
      <c r="D19" s="568">
        <v>0</v>
      </c>
      <c r="E19" s="683"/>
      <c r="F19" s="30"/>
      <c r="G19" s="30"/>
      <c r="H19" s="30"/>
      <c r="I19" s="30"/>
      <c r="J19" s="30"/>
      <c r="K19" s="30"/>
      <c r="L19" s="30"/>
      <c r="M19" s="1136"/>
      <c r="N19" s="30"/>
      <c r="O19" s="30"/>
      <c r="P19" s="1136"/>
      <c r="Q19" s="30"/>
      <c r="R19" s="30"/>
      <c r="S19" s="30"/>
      <c r="T19" s="30"/>
      <c r="U19" s="30"/>
      <c r="V19" s="31">
        <f t="shared" ref="V19:V24" si="36">SUM(E19:U19)</f>
        <v>0</v>
      </c>
      <c r="W19" s="744" t="s">
        <v>45</v>
      </c>
      <c r="X19" s="753">
        <v>10300</v>
      </c>
      <c r="Y19" s="719"/>
      <c r="Z19" s="719"/>
      <c r="AA19" s="719"/>
      <c r="AB19" s="685"/>
      <c r="AC19" s="685"/>
      <c r="AD19" s="884"/>
      <c r="AE19" s="685"/>
      <c r="AF19" s="685"/>
      <c r="AG19" s="1136"/>
      <c r="AH19" s="1220"/>
      <c r="AI19" s="1220"/>
      <c r="AJ19" s="1220"/>
      <c r="AK19" s="1220"/>
      <c r="AL19" s="1220"/>
      <c r="AM19" s="1220"/>
      <c r="AN19" s="1220"/>
      <c r="AO19" s="685"/>
      <c r="AP19" s="1304">
        <f t="shared" ref="AP19:AP24" si="37">SUM(V19*X19)</f>
        <v>0</v>
      </c>
      <c r="AQ19" s="70">
        <f t="shared" ref="AQ19:AQ24" si="38">Y19*E19</f>
        <v>0</v>
      </c>
      <c r="AR19" s="70">
        <f t="shared" ref="AR19:AR24" si="39">Z19*F19</f>
        <v>0</v>
      </c>
      <c r="AS19" s="70">
        <f t="shared" ref="AS19:AS24" si="40">AA19*G19</f>
        <v>0</v>
      </c>
      <c r="AT19" s="70">
        <f t="shared" ref="AT19:AT24" si="41">AB19*H19</f>
        <v>0</v>
      </c>
      <c r="AU19" s="70">
        <f t="shared" ref="AU19:AU24" si="42">AC19*I19</f>
        <v>0</v>
      </c>
      <c r="AV19" s="70">
        <f t="shared" ref="AV19:AV24" si="43">AD19*J19</f>
        <v>0</v>
      </c>
      <c r="AW19" s="70">
        <f t="shared" ref="AW19:AW24" si="44">AE19*K19</f>
        <v>0</v>
      </c>
      <c r="AX19" s="70">
        <f t="shared" ref="AX19:AX24" si="45">AF19*L19</f>
        <v>0</v>
      </c>
      <c r="AY19" s="1136"/>
      <c r="AZ19" s="1128">
        <f t="shared" ref="AZ19:AZ24" si="46">AH19*N19</f>
        <v>0</v>
      </c>
      <c r="BA19" s="70">
        <f t="shared" ref="BA19:BA24" si="47">AI19*O19</f>
        <v>0</v>
      </c>
      <c r="BB19" s="1128"/>
      <c r="BC19" s="70"/>
      <c r="BD19" s="70"/>
      <c r="BE19" s="70"/>
      <c r="BF19" s="70"/>
      <c r="BG19" s="70"/>
      <c r="BH19" s="71">
        <f t="shared" ref="BH19:BH24" si="48">SUM(AQ19:BG19)</f>
        <v>0</v>
      </c>
      <c r="BI19" s="70">
        <f t="shared" ref="BI19:BP24" si="49">SUM(AQ19*4%)</f>
        <v>0</v>
      </c>
      <c r="BJ19" s="70">
        <f t="shared" si="49"/>
        <v>0</v>
      </c>
      <c r="BK19" s="70">
        <f t="shared" si="49"/>
        <v>0</v>
      </c>
      <c r="BL19" s="70">
        <f t="shared" si="49"/>
        <v>0</v>
      </c>
      <c r="BM19" s="70">
        <f t="shared" si="49"/>
        <v>0</v>
      </c>
      <c r="BN19" s="70">
        <f t="shared" si="49"/>
        <v>0</v>
      </c>
      <c r="BO19" s="70">
        <f t="shared" si="49"/>
        <v>0</v>
      </c>
      <c r="BP19" s="70">
        <f t="shared" si="49"/>
        <v>0</v>
      </c>
      <c r="BQ19" s="1136"/>
      <c r="BR19" s="70"/>
      <c r="BS19" s="70"/>
      <c r="BT19" s="70"/>
      <c r="BU19" s="70"/>
      <c r="BV19" s="70"/>
      <c r="BW19" s="70"/>
      <c r="BX19" s="70"/>
      <c r="BY19" s="70"/>
      <c r="BZ19" s="72">
        <f t="shared" ref="BZ19:BZ24" si="50">SUM(BI19:BY19)</f>
        <v>0</v>
      </c>
      <c r="CA19" s="686">
        <f t="shared" ref="CA19:CA24" si="51">AP19-BH19-BZ19</f>
        <v>0</v>
      </c>
      <c r="CB19" s="687">
        <f t="shared" ref="CB19:CB24" si="52">X19*D19</f>
        <v>0</v>
      </c>
      <c r="CC19" s="688">
        <f t="shared" ref="CC19:CC24" si="53">CB19-BH19-BZ19</f>
        <v>0</v>
      </c>
      <c r="CD19" s="630"/>
      <c r="CE19" s="1081"/>
      <c r="CF19" s="1081"/>
      <c r="CG19" s="1107"/>
      <c r="CH19" s="1084"/>
      <c r="CI19" s="862"/>
      <c r="CJ19" s="862"/>
      <c r="CK19" s="862"/>
      <c r="CL19" s="862"/>
      <c r="CM19" s="862"/>
      <c r="CN19" s="862"/>
      <c r="CO19" s="862"/>
      <c r="CP19" s="862"/>
      <c r="CQ19" s="1103">
        <f t="shared" si="35"/>
        <v>0</v>
      </c>
      <c r="CR19" s="862"/>
      <c r="CS19" s="862"/>
      <c r="CT19" s="862"/>
      <c r="CU19" s="73">
        <f t="shared" si="16"/>
        <v>0</v>
      </c>
      <c r="CV19" s="862"/>
      <c r="CW19" s="862"/>
      <c r="CX19" s="862"/>
      <c r="CY19" s="862"/>
      <c r="CZ19" s="862"/>
      <c r="DA19" s="862"/>
      <c r="DB19" s="862"/>
      <c r="DC19" s="862"/>
      <c r="DD19" s="1103"/>
      <c r="DE19" s="862"/>
      <c r="DF19" s="862"/>
      <c r="DG19" s="862"/>
      <c r="DH19" s="73">
        <f t="shared" si="17"/>
        <v>0</v>
      </c>
    </row>
    <row r="20" spans="1:118" s="37" customFormat="1" ht="24.75" customHeight="1" x14ac:dyDescent="0.2">
      <c r="A20" s="28">
        <v>9</v>
      </c>
      <c r="B20" s="752" t="s">
        <v>462</v>
      </c>
      <c r="C20" s="29" t="s">
        <v>25</v>
      </c>
      <c r="D20" s="568">
        <v>0</v>
      </c>
      <c r="E20" s="683"/>
      <c r="F20" s="30"/>
      <c r="G20" s="30"/>
      <c r="H20" s="30"/>
      <c r="I20" s="30"/>
      <c r="J20" s="30"/>
      <c r="K20" s="30"/>
      <c r="L20" s="30"/>
      <c r="M20" s="1136"/>
      <c r="N20" s="30"/>
      <c r="O20" s="30"/>
      <c r="P20" s="1136"/>
      <c r="Q20" s="30"/>
      <c r="R20" s="30"/>
      <c r="S20" s="30"/>
      <c r="T20" s="30"/>
      <c r="U20" s="30"/>
      <c r="V20" s="31">
        <f t="shared" si="36"/>
        <v>0</v>
      </c>
      <c r="W20" s="744" t="s">
        <v>31</v>
      </c>
      <c r="X20" s="754">
        <v>28500</v>
      </c>
      <c r="Y20" s="719"/>
      <c r="Z20" s="719"/>
      <c r="AA20" s="719"/>
      <c r="AB20" s="685"/>
      <c r="AC20" s="685"/>
      <c r="AD20" s="884"/>
      <c r="AE20" s="685"/>
      <c r="AF20" s="685"/>
      <c r="AG20" s="1136"/>
      <c r="AH20" s="1220"/>
      <c r="AI20" s="1220"/>
      <c r="AJ20" s="1220"/>
      <c r="AK20" s="1220"/>
      <c r="AL20" s="1220"/>
      <c r="AM20" s="1220"/>
      <c r="AN20" s="1220"/>
      <c r="AO20" s="685"/>
      <c r="AP20" s="1304">
        <f t="shared" si="37"/>
        <v>0</v>
      </c>
      <c r="AQ20" s="70">
        <f t="shared" si="38"/>
        <v>0</v>
      </c>
      <c r="AR20" s="70">
        <f t="shared" si="39"/>
        <v>0</v>
      </c>
      <c r="AS20" s="70">
        <f t="shared" si="40"/>
        <v>0</v>
      </c>
      <c r="AT20" s="70">
        <f t="shared" si="41"/>
        <v>0</v>
      </c>
      <c r="AU20" s="70">
        <f t="shared" si="42"/>
        <v>0</v>
      </c>
      <c r="AV20" s="70">
        <f t="shared" si="43"/>
        <v>0</v>
      </c>
      <c r="AW20" s="70">
        <f t="shared" si="44"/>
        <v>0</v>
      </c>
      <c r="AX20" s="70">
        <f t="shared" si="45"/>
        <v>0</v>
      </c>
      <c r="AY20" s="1136"/>
      <c r="AZ20" s="1128">
        <f t="shared" si="46"/>
        <v>0</v>
      </c>
      <c r="BA20" s="70">
        <f t="shared" si="47"/>
        <v>0</v>
      </c>
      <c r="BB20" s="1128"/>
      <c r="BC20" s="70"/>
      <c r="BD20" s="70"/>
      <c r="BE20" s="70"/>
      <c r="BF20" s="70"/>
      <c r="BG20" s="70"/>
      <c r="BH20" s="71">
        <f t="shared" si="48"/>
        <v>0</v>
      </c>
      <c r="BI20" s="70">
        <f t="shared" si="49"/>
        <v>0</v>
      </c>
      <c r="BJ20" s="70">
        <f t="shared" si="49"/>
        <v>0</v>
      </c>
      <c r="BK20" s="70">
        <f t="shared" si="49"/>
        <v>0</v>
      </c>
      <c r="BL20" s="70">
        <f t="shared" si="49"/>
        <v>0</v>
      </c>
      <c r="BM20" s="70">
        <f t="shared" si="49"/>
        <v>0</v>
      </c>
      <c r="BN20" s="70">
        <f t="shared" si="49"/>
        <v>0</v>
      </c>
      <c r="BO20" s="70">
        <f t="shared" si="49"/>
        <v>0</v>
      </c>
      <c r="BP20" s="70">
        <f t="shared" si="49"/>
        <v>0</v>
      </c>
      <c r="BQ20" s="1136"/>
      <c r="BR20" s="70"/>
      <c r="BS20" s="70"/>
      <c r="BT20" s="70"/>
      <c r="BU20" s="70"/>
      <c r="BV20" s="70"/>
      <c r="BW20" s="70"/>
      <c r="BX20" s="70"/>
      <c r="BY20" s="70"/>
      <c r="BZ20" s="72">
        <f t="shared" si="50"/>
        <v>0</v>
      </c>
      <c r="CA20" s="686">
        <f t="shared" si="51"/>
        <v>0</v>
      </c>
      <c r="CB20" s="687">
        <f t="shared" si="52"/>
        <v>0</v>
      </c>
      <c r="CC20" s="688">
        <f t="shared" si="53"/>
        <v>0</v>
      </c>
      <c r="CD20" s="630"/>
      <c r="CE20" s="1081"/>
      <c r="CF20" s="1081"/>
      <c r="CG20" s="1107"/>
      <c r="CH20" s="1084"/>
      <c r="CI20" s="862"/>
      <c r="CJ20" s="862"/>
      <c r="CK20" s="862"/>
      <c r="CL20" s="862"/>
      <c r="CM20" s="862"/>
      <c r="CN20" s="862"/>
      <c r="CO20" s="862"/>
      <c r="CP20" s="862"/>
      <c r="CQ20" s="1103">
        <f t="shared" si="35"/>
        <v>0</v>
      </c>
      <c r="CR20" s="862"/>
      <c r="CS20" s="862"/>
      <c r="CT20" s="862"/>
      <c r="CU20" s="73">
        <f t="shared" si="16"/>
        <v>0</v>
      </c>
      <c r="CV20" s="862"/>
      <c r="CW20" s="862"/>
      <c r="CX20" s="862"/>
      <c r="CY20" s="862"/>
      <c r="CZ20" s="862"/>
      <c r="DA20" s="862"/>
      <c r="DB20" s="862"/>
      <c r="DC20" s="862"/>
      <c r="DD20" s="1103"/>
      <c r="DE20" s="862"/>
      <c r="DF20" s="862"/>
      <c r="DG20" s="862"/>
      <c r="DH20" s="73">
        <f t="shared" si="17"/>
        <v>0</v>
      </c>
    </row>
    <row r="21" spans="1:118" s="37" customFormat="1" ht="24.75" customHeight="1" x14ac:dyDescent="0.2">
      <c r="A21" s="28">
        <v>9</v>
      </c>
      <c r="B21" s="141" t="s">
        <v>48</v>
      </c>
      <c r="C21" s="29" t="s">
        <v>25</v>
      </c>
      <c r="D21" s="557">
        <v>0</v>
      </c>
      <c r="E21" s="683"/>
      <c r="F21" s="30"/>
      <c r="G21" s="30"/>
      <c r="H21" s="30"/>
      <c r="I21" s="30"/>
      <c r="J21" s="30"/>
      <c r="K21" s="30"/>
      <c r="L21" s="30"/>
      <c r="M21" s="1136"/>
      <c r="N21" s="30"/>
      <c r="O21" s="30"/>
      <c r="P21" s="1136"/>
      <c r="Q21" s="30"/>
      <c r="R21" s="30"/>
      <c r="S21" s="30"/>
      <c r="T21" s="30"/>
      <c r="U21" s="30"/>
      <c r="V21" s="31">
        <f t="shared" si="36"/>
        <v>0</v>
      </c>
      <c r="W21" s="744" t="s">
        <v>0</v>
      </c>
      <c r="X21" s="757">
        <v>20000</v>
      </c>
      <c r="Y21" s="719"/>
      <c r="Z21" s="719"/>
      <c r="AA21" s="719"/>
      <c r="AB21" s="685"/>
      <c r="AC21" s="685"/>
      <c r="AD21" s="685"/>
      <c r="AE21" s="685"/>
      <c r="AF21" s="685"/>
      <c r="AG21" s="1136"/>
      <c r="AH21" s="1220"/>
      <c r="AI21" s="1220"/>
      <c r="AJ21" s="1220"/>
      <c r="AK21" s="1220"/>
      <c r="AL21" s="1220"/>
      <c r="AM21" s="1220"/>
      <c r="AN21" s="1220"/>
      <c r="AO21" s="685"/>
      <c r="AP21" s="1304">
        <f t="shared" si="37"/>
        <v>0</v>
      </c>
      <c r="AQ21" s="70">
        <f t="shared" si="38"/>
        <v>0</v>
      </c>
      <c r="AR21" s="70">
        <f t="shared" si="39"/>
        <v>0</v>
      </c>
      <c r="AS21" s="70">
        <f t="shared" si="40"/>
        <v>0</v>
      </c>
      <c r="AT21" s="70">
        <f t="shared" si="41"/>
        <v>0</v>
      </c>
      <c r="AU21" s="70">
        <f t="shared" si="42"/>
        <v>0</v>
      </c>
      <c r="AV21" s="70">
        <f t="shared" si="43"/>
        <v>0</v>
      </c>
      <c r="AW21" s="70">
        <f t="shared" si="44"/>
        <v>0</v>
      </c>
      <c r="AX21" s="70">
        <f t="shared" si="45"/>
        <v>0</v>
      </c>
      <c r="AY21" s="1136"/>
      <c r="AZ21" s="1128">
        <f t="shared" si="46"/>
        <v>0</v>
      </c>
      <c r="BA21" s="70">
        <f t="shared" si="47"/>
        <v>0</v>
      </c>
      <c r="BB21" s="1128"/>
      <c r="BC21" s="70"/>
      <c r="BD21" s="70"/>
      <c r="BE21" s="70"/>
      <c r="BF21" s="70"/>
      <c r="BG21" s="70"/>
      <c r="BH21" s="71">
        <f t="shared" si="48"/>
        <v>0</v>
      </c>
      <c r="BI21" s="70">
        <f t="shared" si="49"/>
        <v>0</v>
      </c>
      <c r="BJ21" s="70">
        <f t="shared" si="49"/>
        <v>0</v>
      </c>
      <c r="BK21" s="70">
        <f t="shared" si="49"/>
        <v>0</v>
      </c>
      <c r="BL21" s="70">
        <f t="shared" si="49"/>
        <v>0</v>
      </c>
      <c r="BM21" s="70">
        <f t="shared" si="49"/>
        <v>0</v>
      </c>
      <c r="BN21" s="70">
        <f t="shared" si="49"/>
        <v>0</v>
      </c>
      <c r="BO21" s="70">
        <f t="shared" si="49"/>
        <v>0</v>
      </c>
      <c r="BP21" s="70">
        <f t="shared" si="49"/>
        <v>0</v>
      </c>
      <c r="BQ21" s="1136"/>
      <c r="BR21" s="70"/>
      <c r="BS21" s="70"/>
      <c r="BT21" s="70"/>
      <c r="BU21" s="70"/>
      <c r="BV21" s="70"/>
      <c r="BW21" s="70"/>
      <c r="BX21" s="70"/>
      <c r="BY21" s="70"/>
      <c r="BZ21" s="72">
        <f t="shared" si="50"/>
        <v>0</v>
      </c>
      <c r="CA21" s="686">
        <f t="shared" si="51"/>
        <v>0</v>
      </c>
      <c r="CB21" s="687">
        <f t="shared" si="52"/>
        <v>0</v>
      </c>
      <c r="CC21" s="688">
        <f t="shared" si="53"/>
        <v>0</v>
      </c>
      <c r="CD21" s="630"/>
      <c r="CE21" s="1081"/>
      <c r="CF21" s="1081"/>
      <c r="CG21" s="1107"/>
      <c r="CH21" s="1084"/>
      <c r="CI21" s="862"/>
      <c r="CJ21" s="862"/>
      <c r="CK21" s="862"/>
      <c r="CL21" s="862"/>
      <c r="CM21" s="862"/>
      <c r="CN21" s="862"/>
      <c r="CO21" s="862"/>
      <c r="CP21" s="862"/>
      <c r="CQ21" s="1103">
        <f t="shared" si="35"/>
        <v>0</v>
      </c>
      <c r="CR21" s="862"/>
      <c r="CS21" s="862"/>
      <c r="CT21" s="862"/>
      <c r="CU21" s="73">
        <f t="shared" si="16"/>
        <v>0</v>
      </c>
      <c r="CV21" s="862"/>
      <c r="CW21" s="862"/>
      <c r="CX21" s="862"/>
      <c r="CY21" s="862"/>
      <c r="CZ21" s="862"/>
      <c r="DA21" s="862"/>
      <c r="DB21" s="862"/>
      <c r="DC21" s="862"/>
      <c r="DD21" s="1103"/>
      <c r="DE21" s="862"/>
      <c r="DF21" s="862"/>
      <c r="DG21" s="862"/>
      <c r="DH21" s="73">
        <f t="shared" si="17"/>
        <v>0</v>
      </c>
    </row>
    <row r="22" spans="1:118" s="37" customFormat="1" ht="24.75" customHeight="1" x14ac:dyDescent="0.2">
      <c r="A22" s="28">
        <v>9</v>
      </c>
      <c r="B22" s="141" t="s">
        <v>463</v>
      </c>
      <c r="C22" s="29" t="s">
        <v>25</v>
      </c>
      <c r="D22" s="557">
        <v>0</v>
      </c>
      <c r="E22" s="683"/>
      <c r="F22" s="30"/>
      <c r="G22" s="30"/>
      <c r="H22" s="30"/>
      <c r="I22" s="30"/>
      <c r="J22" s="30"/>
      <c r="K22" s="30"/>
      <c r="L22" s="30"/>
      <c r="M22" s="1136"/>
      <c r="N22" s="30"/>
      <c r="O22" s="30"/>
      <c r="P22" s="1136"/>
      <c r="Q22" s="30"/>
      <c r="R22" s="30"/>
      <c r="S22" s="30"/>
      <c r="T22" s="30"/>
      <c r="U22" s="30"/>
      <c r="V22" s="31">
        <f t="shared" si="36"/>
        <v>0</v>
      </c>
      <c r="W22" s="744" t="s">
        <v>465</v>
      </c>
      <c r="X22" s="563">
        <v>113500</v>
      </c>
      <c r="Y22" s="719"/>
      <c r="Z22" s="719"/>
      <c r="AA22" s="719"/>
      <c r="AB22" s="685"/>
      <c r="AC22" s="685"/>
      <c r="AD22" s="685"/>
      <c r="AE22" s="685"/>
      <c r="AF22" s="685"/>
      <c r="AG22" s="1136"/>
      <c r="AH22" s="1220"/>
      <c r="AI22" s="1220"/>
      <c r="AJ22" s="1220"/>
      <c r="AK22" s="1220"/>
      <c r="AL22" s="1220"/>
      <c r="AM22" s="1220"/>
      <c r="AN22" s="1220"/>
      <c r="AO22" s="685"/>
      <c r="AP22" s="1304">
        <f t="shared" si="37"/>
        <v>0</v>
      </c>
      <c r="AQ22" s="70">
        <f t="shared" si="38"/>
        <v>0</v>
      </c>
      <c r="AR22" s="70">
        <f t="shared" si="39"/>
        <v>0</v>
      </c>
      <c r="AS22" s="70">
        <f t="shared" si="40"/>
        <v>0</v>
      </c>
      <c r="AT22" s="70">
        <f t="shared" si="41"/>
        <v>0</v>
      </c>
      <c r="AU22" s="70">
        <f t="shared" si="42"/>
        <v>0</v>
      </c>
      <c r="AV22" s="70">
        <f t="shared" si="43"/>
        <v>0</v>
      </c>
      <c r="AW22" s="70">
        <f t="shared" si="44"/>
        <v>0</v>
      </c>
      <c r="AX22" s="70">
        <f t="shared" si="45"/>
        <v>0</v>
      </c>
      <c r="AY22" s="1136"/>
      <c r="AZ22" s="1128">
        <f t="shared" si="46"/>
        <v>0</v>
      </c>
      <c r="BA22" s="70">
        <f t="shared" si="47"/>
        <v>0</v>
      </c>
      <c r="BB22" s="1128"/>
      <c r="BC22" s="70"/>
      <c r="BD22" s="70"/>
      <c r="BE22" s="70"/>
      <c r="BF22" s="70"/>
      <c r="BG22" s="70"/>
      <c r="BH22" s="71">
        <f t="shared" si="48"/>
        <v>0</v>
      </c>
      <c r="BI22" s="70">
        <f t="shared" si="49"/>
        <v>0</v>
      </c>
      <c r="BJ22" s="70">
        <f t="shared" si="49"/>
        <v>0</v>
      </c>
      <c r="BK22" s="70">
        <f t="shared" si="49"/>
        <v>0</v>
      </c>
      <c r="BL22" s="70">
        <f t="shared" si="49"/>
        <v>0</v>
      </c>
      <c r="BM22" s="70">
        <f t="shared" si="49"/>
        <v>0</v>
      </c>
      <c r="BN22" s="70">
        <f t="shared" si="49"/>
        <v>0</v>
      </c>
      <c r="BO22" s="70">
        <f t="shared" si="49"/>
        <v>0</v>
      </c>
      <c r="BP22" s="70">
        <f t="shared" si="49"/>
        <v>0</v>
      </c>
      <c r="BQ22" s="1136"/>
      <c r="BR22" s="70"/>
      <c r="BS22" s="70"/>
      <c r="BT22" s="70"/>
      <c r="BU22" s="70"/>
      <c r="BV22" s="70"/>
      <c r="BW22" s="70"/>
      <c r="BX22" s="70"/>
      <c r="BY22" s="70"/>
      <c r="BZ22" s="72">
        <f t="shared" si="50"/>
        <v>0</v>
      </c>
      <c r="CA22" s="686">
        <f t="shared" si="51"/>
        <v>0</v>
      </c>
      <c r="CB22" s="687">
        <f t="shared" si="52"/>
        <v>0</v>
      </c>
      <c r="CC22" s="688">
        <f t="shared" si="53"/>
        <v>0</v>
      </c>
      <c r="CD22" s="630"/>
      <c r="CE22" s="1081"/>
      <c r="CF22" s="1081"/>
      <c r="CG22" s="1107"/>
      <c r="CH22" s="1084"/>
      <c r="CI22" s="862"/>
      <c r="CJ22" s="862"/>
      <c r="CK22" s="862"/>
      <c r="CL22" s="862"/>
      <c r="CM22" s="862"/>
      <c r="CN22" s="862"/>
      <c r="CO22" s="862"/>
      <c r="CP22" s="862"/>
      <c r="CQ22" s="1103">
        <f t="shared" si="35"/>
        <v>0</v>
      </c>
      <c r="CR22" s="862"/>
      <c r="CS22" s="862"/>
      <c r="CT22" s="862"/>
      <c r="CU22" s="73">
        <f t="shared" si="16"/>
        <v>0</v>
      </c>
      <c r="CV22" s="862"/>
      <c r="CW22" s="862"/>
      <c r="CX22" s="862"/>
      <c r="CY22" s="862"/>
      <c r="CZ22" s="862"/>
      <c r="DA22" s="862"/>
      <c r="DB22" s="862"/>
      <c r="DC22" s="862"/>
      <c r="DD22" s="1103"/>
      <c r="DE22" s="862"/>
      <c r="DF22" s="862"/>
      <c r="DG22" s="862"/>
      <c r="DH22" s="73">
        <f t="shared" si="17"/>
        <v>0</v>
      </c>
    </row>
    <row r="23" spans="1:118" s="37" customFormat="1" ht="24.75" customHeight="1" x14ac:dyDescent="0.2">
      <c r="A23" s="28">
        <v>9</v>
      </c>
      <c r="B23" s="141" t="s">
        <v>32</v>
      </c>
      <c r="C23" s="29" t="s">
        <v>25</v>
      </c>
      <c r="D23" s="557">
        <v>0</v>
      </c>
      <c r="E23" s="683"/>
      <c r="F23" s="30"/>
      <c r="G23" s="30"/>
      <c r="H23" s="30"/>
      <c r="I23" s="30"/>
      <c r="J23" s="30"/>
      <c r="K23" s="30"/>
      <c r="L23" s="30"/>
      <c r="M23" s="1136"/>
      <c r="N23" s="30"/>
      <c r="O23" s="30"/>
      <c r="P23" s="1136"/>
      <c r="Q23" s="30"/>
      <c r="R23" s="30"/>
      <c r="S23" s="30"/>
      <c r="T23" s="30"/>
      <c r="U23" s="30"/>
      <c r="V23" s="31">
        <f t="shared" ref="V23" si="54">SUM(E23:U23)</f>
        <v>0</v>
      </c>
      <c r="W23" s="744" t="s">
        <v>16</v>
      </c>
      <c r="X23" s="563">
        <v>35000</v>
      </c>
      <c r="Y23" s="719"/>
      <c r="Z23" s="719"/>
      <c r="AA23" s="719"/>
      <c r="AB23" s="685"/>
      <c r="AC23" s="685"/>
      <c r="AD23" s="685"/>
      <c r="AE23" s="685"/>
      <c r="AF23" s="685"/>
      <c r="AG23" s="1136"/>
      <c r="AH23" s="1220"/>
      <c r="AI23" s="1220"/>
      <c r="AJ23" s="1220"/>
      <c r="AK23" s="1220"/>
      <c r="AL23" s="1220"/>
      <c r="AM23" s="1220"/>
      <c r="AN23" s="1220"/>
      <c r="AO23" s="685"/>
      <c r="AP23" s="1304">
        <f t="shared" ref="AP23" si="55">SUM(V23*X23)</f>
        <v>0</v>
      </c>
      <c r="AQ23" s="70">
        <f t="shared" ref="AQ23" si="56">Y23*E23</f>
        <v>0</v>
      </c>
      <c r="AR23" s="70">
        <f t="shared" ref="AR23" si="57">Z23*F23</f>
        <v>0</v>
      </c>
      <c r="AS23" s="70">
        <f t="shared" ref="AS23" si="58">AA23*G23</f>
        <v>0</v>
      </c>
      <c r="AT23" s="70">
        <f t="shared" ref="AT23" si="59">AB23*H23</f>
        <v>0</v>
      </c>
      <c r="AU23" s="70">
        <f t="shared" ref="AU23" si="60">AC23*I23</f>
        <v>0</v>
      </c>
      <c r="AV23" s="70">
        <f t="shared" ref="AV23" si="61">AD23*J23</f>
        <v>0</v>
      </c>
      <c r="AW23" s="70">
        <f t="shared" ref="AW23" si="62">AE23*K23</f>
        <v>0</v>
      </c>
      <c r="AX23" s="70">
        <f t="shared" ref="AX23" si="63">AF23*L23</f>
        <v>0</v>
      </c>
      <c r="AY23" s="1136"/>
      <c r="AZ23" s="1128">
        <f t="shared" ref="AZ23" si="64">AH23*N23</f>
        <v>0</v>
      </c>
      <c r="BA23" s="70">
        <f t="shared" ref="BA23" si="65">AI23*O23</f>
        <v>0</v>
      </c>
      <c r="BB23" s="1128"/>
      <c r="BC23" s="70"/>
      <c r="BD23" s="70"/>
      <c r="BE23" s="70"/>
      <c r="BF23" s="70"/>
      <c r="BG23" s="70"/>
      <c r="BH23" s="71">
        <f t="shared" si="48"/>
        <v>0</v>
      </c>
      <c r="BI23" s="70">
        <f t="shared" si="49"/>
        <v>0</v>
      </c>
      <c r="BJ23" s="70">
        <f t="shared" si="49"/>
        <v>0</v>
      </c>
      <c r="BK23" s="70">
        <f t="shared" si="49"/>
        <v>0</v>
      </c>
      <c r="BL23" s="70">
        <f t="shared" si="49"/>
        <v>0</v>
      </c>
      <c r="BM23" s="70">
        <f t="shared" si="49"/>
        <v>0</v>
      </c>
      <c r="BN23" s="70">
        <f t="shared" si="49"/>
        <v>0</v>
      </c>
      <c r="BO23" s="70">
        <f t="shared" si="49"/>
        <v>0</v>
      </c>
      <c r="BP23" s="70">
        <f t="shared" si="49"/>
        <v>0</v>
      </c>
      <c r="BQ23" s="1136"/>
      <c r="BR23" s="70"/>
      <c r="BS23" s="70"/>
      <c r="BT23" s="70"/>
      <c r="BU23" s="70"/>
      <c r="BV23" s="70"/>
      <c r="BW23" s="70"/>
      <c r="BX23" s="70"/>
      <c r="BY23" s="70"/>
      <c r="BZ23" s="72">
        <f t="shared" si="50"/>
        <v>0</v>
      </c>
      <c r="CA23" s="686">
        <f t="shared" si="51"/>
        <v>0</v>
      </c>
      <c r="CB23" s="687">
        <f t="shared" si="52"/>
        <v>0</v>
      </c>
      <c r="CC23" s="688">
        <f t="shared" si="53"/>
        <v>0</v>
      </c>
      <c r="CD23" s="630"/>
      <c r="CE23" s="1081"/>
      <c r="CF23" s="1081"/>
      <c r="CG23" s="1107"/>
      <c r="CH23" s="1084"/>
      <c r="CI23" s="862"/>
      <c r="CJ23" s="862"/>
      <c r="CK23" s="862"/>
      <c r="CL23" s="862"/>
      <c r="CM23" s="862"/>
      <c r="CN23" s="862"/>
      <c r="CO23" s="862"/>
      <c r="CP23" s="862"/>
      <c r="CQ23" s="1103">
        <f t="shared" si="35"/>
        <v>0</v>
      </c>
      <c r="CR23" s="862"/>
      <c r="CS23" s="862"/>
      <c r="CT23" s="862"/>
      <c r="CU23" s="73">
        <f t="shared" si="16"/>
        <v>0</v>
      </c>
      <c r="CV23" s="862"/>
      <c r="CW23" s="862"/>
      <c r="CX23" s="862"/>
      <c r="CY23" s="862"/>
      <c r="CZ23" s="862"/>
      <c r="DA23" s="862"/>
      <c r="DB23" s="862"/>
      <c r="DC23" s="862"/>
      <c r="DD23" s="1103"/>
      <c r="DE23" s="862"/>
      <c r="DF23" s="862"/>
      <c r="DG23" s="862"/>
      <c r="DH23" s="73">
        <f t="shared" si="17"/>
        <v>0</v>
      </c>
    </row>
    <row r="24" spans="1:118" s="37" customFormat="1" ht="24.75" customHeight="1" thickBot="1" x14ac:dyDescent="0.25">
      <c r="A24" s="28">
        <v>9</v>
      </c>
      <c r="B24" s="141" t="s">
        <v>126</v>
      </c>
      <c r="C24" s="29" t="s">
        <v>25</v>
      </c>
      <c r="D24" s="557">
        <v>0</v>
      </c>
      <c r="E24" s="683"/>
      <c r="F24" s="30"/>
      <c r="G24" s="30"/>
      <c r="H24" s="30"/>
      <c r="I24" s="30"/>
      <c r="J24" s="30"/>
      <c r="K24" s="30"/>
      <c r="L24" s="30"/>
      <c r="M24" s="1200"/>
      <c r="N24" s="1127"/>
      <c r="O24" s="30"/>
      <c r="P24" s="1136"/>
      <c r="Q24" s="30"/>
      <c r="R24" s="30"/>
      <c r="S24" s="30"/>
      <c r="T24" s="30"/>
      <c r="U24" s="30"/>
      <c r="V24" s="31">
        <f t="shared" si="36"/>
        <v>0</v>
      </c>
      <c r="W24" s="744" t="s">
        <v>16</v>
      </c>
      <c r="X24" s="563">
        <v>200000</v>
      </c>
      <c r="Y24" s="719"/>
      <c r="Z24" s="719"/>
      <c r="AA24" s="719"/>
      <c r="AB24" s="685"/>
      <c r="AC24" s="685"/>
      <c r="AD24" s="685"/>
      <c r="AE24" s="685"/>
      <c r="AF24" s="685"/>
      <c r="AG24" s="1200"/>
      <c r="AH24" s="1220"/>
      <c r="AI24" s="1215"/>
      <c r="AJ24" s="1215"/>
      <c r="AK24" s="1215"/>
      <c r="AL24" s="1215"/>
      <c r="AM24" s="1215"/>
      <c r="AN24" s="1215"/>
      <c r="AO24" s="685"/>
      <c r="AP24" s="1304">
        <f t="shared" si="37"/>
        <v>0</v>
      </c>
      <c r="AQ24" s="70">
        <f t="shared" si="38"/>
        <v>0</v>
      </c>
      <c r="AR24" s="70">
        <f t="shared" si="39"/>
        <v>0</v>
      </c>
      <c r="AS24" s="70">
        <f t="shared" si="40"/>
        <v>0</v>
      </c>
      <c r="AT24" s="70">
        <f t="shared" si="41"/>
        <v>0</v>
      </c>
      <c r="AU24" s="70">
        <f t="shared" si="42"/>
        <v>0</v>
      </c>
      <c r="AV24" s="70">
        <f t="shared" si="43"/>
        <v>0</v>
      </c>
      <c r="AW24" s="70">
        <f t="shared" si="44"/>
        <v>0</v>
      </c>
      <c r="AX24" s="70">
        <f t="shared" si="45"/>
        <v>0</v>
      </c>
      <c r="AY24" s="1200"/>
      <c r="AZ24" s="1128">
        <f t="shared" si="46"/>
        <v>0</v>
      </c>
      <c r="BA24" s="70">
        <f t="shared" si="47"/>
        <v>0</v>
      </c>
      <c r="BB24" s="1128"/>
      <c r="BC24" s="70"/>
      <c r="BD24" s="70"/>
      <c r="BE24" s="70"/>
      <c r="BF24" s="70"/>
      <c r="BG24" s="70"/>
      <c r="BH24" s="71">
        <f t="shared" si="48"/>
        <v>0</v>
      </c>
      <c r="BI24" s="70">
        <f t="shared" si="49"/>
        <v>0</v>
      </c>
      <c r="BJ24" s="70">
        <f t="shared" si="49"/>
        <v>0</v>
      </c>
      <c r="BK24" s="70">
        <f t="shared" si="49"/>
        <v>0</v>
      </c>
      <c r="BL24" s="70">
        <f t="shared" si="49"/>
        <v>0</v>
      </c>
      <c r="BM24" s="70">
        <f t="shared" si="49"/>
        <v>0</v>
      </c>
      <c r="BN24" s="70">
        <f t="shared" si="49"/>
        <v>0</v>
      </c>
      <c r="BO24" s="70">
        <f t="shared" si="49"/>
        <v>0</v>
      </c>
      <c r="BP24" s="70">
        <f t="shared" si="49"/>
        <v>0</v>
      </c>
      <c r="BQ24" s="1136"/>
      <c r="BR24" s="70"/>
      <c r="BS24" s="1130"/>
      <c r="BT24" s="1130"/>
      <c r="BU24" s="1130"/>
      <c r="BV24" s="1130"/>
      <c r="BW24" s="1130"/>
      <c r="BX24" s="1130"/>
      <c r="BY24" s="1130"/>
      <c r="BZ24" s="72">
        <f t="shared" si="50"/>
        <v>0</v>
      </c>
      <c r="CA24" s="686">
        <f t="shared" si="51"/>
        <v>0</v>
      </c>
      <c r="CB24" s="687">
        <f t="shared" si="52"/>
        <v>0</v>
      </c>
      <c r="CC24" s="688">
        <f t="shared" si="53"/>
        <v>0</v>
      </c>
      <c r="CD24" s="630"/>
      <c r="CE24" s="1081"/>
      <c r="CF24" s="1081"/>
      <c r="CG24" s="1083"/>
      <c r="CH24" s="1084"/>
      <c r="CI24" s="862"/>
      <c r="CJ24" s="862"/>
      <c r="CK24" s="862"/>
      <c r="CL24" s="862"/>
      <c r="CM24" s="862"/>
      <c r="CN24" s="862"/>
      <c r="CO24" s="862"/>
      <c r="CP24" s="862"/>
      <c r="CQ24" s="1103">
        <f t="shared" si="35"/>
        <v>0</v>
      </c>
      <c r="CR24" s="862"/>
      <c r="CS24" s="862"/>
      <c r="CT24" s="862"/>
      <c r="CU24" s="73">
        <f t="shared" si="16"/>
        <v>0</v>
      </c>
      <c r="CV24" s="862"/>
      <c r="CW24" s="862"/>
      <c r="CX24" s="862"/>
      <c r="CY24" s="862"/>
      <c r="CZ24" s="862"/>
      <c r="DA24" s="862"/>
      <c r="DB24" s="862"/>
      <c r="DC24" s="862"/>
      <c r="DD24" s="1103"/>
      <c r="DE24" s="862"/>
      <c r="DF24" s="862"/>
      <c r="DG24" s="862"/>
      <c r="DH24" s="73">
        <f t="shared" si="17"/>
        <v>0</v>
      </c>
    </row>
    <row r="25" spans="1:118" s="40" customFormat="1" ht="24.75" customHeight="1" thickBot="1" x14ac:dyDescent="0.25">
      <c r="A25" s="577">
        <v>1</v>
      </c>
      <c r="B25" s="44" t="s">
        <v>4</v>
      </c>
      <c r="C25" s="44"/>
      <c r="D25" s="1097"/>
      <c r="E25" s="1098"/>
      <c r="F25" s="1098"/>
      <c r="G25" s="1098"/>
      <c r="H25" s="1098"/>
      <c r="I25" s="1098"/>
      <c r="J25" s="1098"/>
      <c r="K25" s="1098"/>
      <c r="L25" s="1098"/>
      <c r="M25" s="1098"/>
      <c r="N25" s="1098"/>
      <c r="O25" s="1098"/>
      <c r="P25" s="1399"/>
      <c r="Q25" s="1098"/>
      <c r="R25" s="1098"/>
      <c r="S25" s="1098"/>
      <c r="T25" s="1098"/>
      <c r="U25" s="1098"/>
      <c r="V25" s="47"/>
      <c r="W25" s="1099"/>
      <c r="X25" s="1100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3">
        <f t="shared" ref="AP25:BS25" si="66">SUM(AP6:AP24)</f>
        <v>13647800</v>
      </c>
      <c r="AQ25" s="1588">
        <f t="shared" si="66"/>
        <v>600000</v>
      </c>
      <c r="AR25" s="1588">
        <f t="shared" si="66"/>
        <v>200000</v>
      </c>
      <c r="AS25" s="1588">
        <f t="shared" si="66"/>
        <v>1690000</v>
      </c>
      <c r="AT25" s="103">
        <f t="shared" si="66"/>
        <v>1690000</v>
      </c>
      <c r="AU25" s="1588">
        <f t="shared" si="66"/>
        <v>1190000</v>
      </c>
      <c r="AV25" s="103">
        <f t="shared" si="66"/>
        <v>0</v>
      </c>
      <c r="AW25" s="103">
        <f t="shared" si="66"/>
        <v>0</v>
      </c>
      <c r="AX25" s="103">
        <f t="shared" si="66"/>
        <v>3397500</v>
      </c>
      <c r="AY25" s="1276">
        <f>SUM(AY5:AY24)</f>
        <v>1645500</v>
      </c>
      <c r="AZ25" s="1221">
        <f>SUM(AZ6:AZ24)</f>
        <v>1340500</v>
      </c>
      <c r="BA25" s="103">
        <f t="shared" si="66"/>
        <v>0</v>
      </c>
      <c r="BB25" s="1221">
        <f>SUM(BB5:BB24)</f>
        <v>0</v>
      </c>
      <c r="BC25" s="103"/>
      <c r="BD25" s="103"/>
      <c r="BE25" s="103"/>
      <c r="BF25" s="103"/>
      <c r="BG25" s="103"/>
      <c r="BH25" s="103">
        <f t="shared" si="66"/>
        <v>11753500</v>
      </c>
      <c r="BI25" s="103">
        <f t="shared" si="66"/>
        <v>0</v>
      </c>
      <c r="BJ25" s="103">
        <f t="shared" si="66"/>
        <v>0</v>
      </c>
      <c r="BK25" s="103">
        <f t="shared" si="66"/>
        <v>35700</v>
      </c>
      <c r="BL25" s="103">
        <f t="shared" si="66"/>
        <v>47600</v>
      </c>
      <c r="BM25" s="103">
        <f t="shared" si="66"/>
        <v>47600</v>
      </c>
      <c r="BN25" s="103">
        <f t="shared" si="66"/>
        <v>0</v>
      </c>
      <c r="BO25" s="103">
        <f t="shared" si="66"/>
        <v>0</v>
      </c>
      <c r="BP25" s="103">
        <f t="shared" si="66"/>
        <v>0</v>
      </c>
      <c r="BQ25" s="103">
        <f t="shared" si="66"/>
        <v>0</v>
      </c>
      <c r="BR25" s="103">
        <f t="shared" si="66"/>
        <v>0</v>
      </c>
      <c r="BS25" s="103">
        <f t="shared" si="66"/>
        <v>0</v>
      </c>
      <c r="BT25" s="103"/>
      <c r="BU25" s="103"/>
      <c r="BV25" s="103"/>
      <c r="BW25" s="103"/>
      <c r="BX25" s="103"/>
      <c r="BY25" s="103"/>
      <c r="BZ25" s="103">
        <f>SUM(BZ6:BZ24)</f>
        <v>226100</v>
      </c>
      <c r="CA25" s="104">
        <f>SUM(CA6:CA24)</f>
        <v>1668200</v>
      </c>
      <c r="CB25" s="103">
        <f>SUM(CB6:CB24)</f>
        <v>17721800</v>
      </c>
      <c r="CC25" s="103">
        <f>SUM(CC6:CC24)</f>
        <v>5742200</v>
      </c>
      <c r="CD25" s="164">
        <v>1</v>
      </c>
      <c r="CE25" s="1083">
        <f>SUM(CE5:CE24)</f>
        <v>1484640</v>
      </c>
      <c r="CF25" s="1083">
        <f t="shared" ref="CF25:DH25" si="67">SUM(CF5:CF24)</f>
        <v>1460000</v>
      </c>
      <c r="CG25" s="1083">
        <f>SUM(CG5:CG24)</f>
        <v>24640</v>
      </c>
      <c r="CH25" s="1084"/>
      <c r="CI25" s="1083"/>
      <c r="CJ25" s="1083"/>
      <c r="CK25" s="1083"/>
      <c r="CL25" s="1083"/>
      <c r="CM25" s="1083"/>
      <c r="CN25" s="1083"/>
      <c r="CO25" s="1083"/>
      <c r="CP25" s="1083"/>
      <c r="CQ25" s="1125">
        <f t="shared" si="67"/>
        <v>26810</v>
      </c>
      <c r="CR25" s="1083">
        <f t="shared" si="67"/>
        <v>26810</v>
      </c>
      <c r="CS25" s="1083">
        <f t="shared" si="67"/>
        <v>26810</v>
      </c>
      <c r="CT25" s="1083">
        <f t="shared" si="67"/>
        <v>26810</v>
      </c>
      <c r="CU25" s="1083">
        <f t="shared" si="67"/>
        <v>142040</v>
      </c>
      <c r="CV25" s="1083">
        <f t="shared" si="67"/>
        <v>0</v>
      </c>
      <c r="CW25" s="1083">
        <f t="shared" si="67"/>
        <v>0</v>
      </c>
      <c r="CX25" s="1083">
        <f t="shared" si="67"/>
        <v>0</v>
      </c>
      <c r="CY25" s="1083">
        <f t="shared" si="67"/>
        <v>0</v>
      </c>
      <c r="CZ25" s="1083">
        <f t="shared" si="67"/>
        <v>0</v>
      </c>
      <c r="DA25" s="1083">
        <f t="shared" si="67"/>
        <v>0</v>
      </c>
      <c r="DB25" s="1083">
        <f t="shared" si="67"/>
        <v>0</v>
      </c>
      <c r="DC25" s="1083">
        <f t="shared" si="67"/>
        <v>0</v>
      </c>
      <c r="DD25" s="1125">
        <f t="shared" si="67"/>
        <v>134050</v>
      </c>
      <c r="DE25" s="1083">
        <f t="shared" si="67"/>
        <v>134050</v>
      </c>
      <c r="DF25" s="1083">
        <f t="shared" si="67"/>
        <v>0</v>
      </c>
      <c r="DG25" s="1083">
        <f t="shared" si="67"/>
        <v>0</v>
      </c>
      <c r="DH25" s="1083">
        <f t="shared" si="67"/>
        <v>268100</v>
      </c>
    </row>
    <row r="26" spans="1:118" s="124" customFormat="1" ht="24.75" customHeight="1" x14ac:dyDescent="0.2">
      <c r="A26" s="380"/>
      <c r="D26" s="916"/>
      <c r="E26" s="380"/>
      <c r="F26" s="380"/>
      <c r="G26" s="380"/>
      <c r="H26" s="380"/>
      <c r="I26" s="380"/>
      <c r="J26" s="380"/>
      <c r="K26" s="380"/>
      <c r="L26" s="380"/>
      <c r="M26" s="380"/>
      <c r="N26" s="165"/>
      <c r="O26" s="380"/>
      <c r="P26" s="380"/>
      <c r="Q26" s="380"/>
      <c r="R26" s="380"/>
      <c r="S26" s="380"/>
      <c r="T26" s="380"/>
      <c r="U26" s="380"/>
      <c r="V26" s="380"/>
      <c r="W26" s="380"/>
      <c r="AI26" s="40"/>
      <c r="AJ26" s="40"/>
      <c r="AK26" s="40"/>
      <c r="AL26" s="40"/>
      <c r="AM26" s="40"/>
      <c r="AN26" s="40"/>
      <c r="AQ26" s="917"/>
      <c r="BH26" s="918"/>
      <c r="BI26" s="917"/>
      <c r="BJ26" s="917"/>
      <c r="BS26" s="40"/>
      <c r="BT26" s="40"/>
      <c r="BU26" s="40"/>
      <c r="BV26" s="40"/>
      <c r="BW26" s="40"/>
      <c r="BX26" s="40"/>
      <c r="BY26" s="40"/>
      <c r="BZ26" s="918">
        <f>SUM(BH25+BZ25)</f>
        <v>11979600</v>
      </c>
      <c r="CA26" s="917">
        <f>AP25-BH25-BZ25</f>
        <v>1668200</v>
      </c>
      <c r="CB26" s="919">
        <f>SUM(CC25+BH25+BZ25)</f>
        <v>17721800</v>
      </c>
      <c r="CC26" s="920">
        <f>SUM(CA25)</f>
        <v>1668200</v>
      </c>
      <c r="CD26" s="124" t="s">
        <v>38</v>
      </c>
      <c r="CE26" s="921"/>
      <c r="CF26" s="379"/>
      <c r="CG26" s="918">
        <v>24640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</row>
    <row r="27" spans="1:118" s="124" customFormat="1" ht="24.75" customHeight="1" x14ac:dyDescent="0.2">
      <c r="A27" s="380"/>
      <c r="D27" s="916"/>
      <c r="E27" s="380"/>
      <c r="F27" s="380"/>
      <c r="G27" s="380"/>
      <c r="H27" s="380"/>
      <c r="I27" s="380"/>
      <c r="J27" s="380"/>
      <c r="K27" s="380"/>
      <c r="L27" s="380"/>
      <c r="M27" s="380"/>
      <c r="N27" s="165"/>
      <c r="O27" s="380"/>
      <c r="P27" s="380"/>
      <c r="Q27" s="380"/>
      <c r="R27" s="380"/>
      <c r="S27" s="380"/>
      <c r="T27" s="380"/>
      <c r="U27" s="380"/>
      <c r="V27" s="380"/>
      <c r="W27" s="380"/>
      <c r="AI27" s="40"/>
      <c r="AJ27" s="40"/>
      <c r="AK27" s="40"/>
      <c r="AL27" s="40"/>
      <c r="AM27" s="40"/>
      <c r="AN27" s="40"/>
      <c r="BI27" s="922">
        <f t="shared" ref="BI27:BS27" si="68">SUM(AQ25+BI25)</f>
        <v>600000</v>
      </c>
      <c r="BJ27" s="922">
        <f t="shared" si="68"/>
        <v>200000</v>
      </c>
      <c r="BK27" s="922">
        <f t="shared" si="68"/>
        <v>1725700</v>
      </c>
      <c r="BL27" s="922">
        <f t="shared" si="68"/>
        <v>1737600</v>
      </c>
      <c r="BM27" s="922">
        <f t="shared" si="68"/>
        <v>1237600</v>
      </c>
      <c r="BN27" s="922">
        <f t="shared" si="68"/>
        <v>0</v>
      </c>
      <c r="BO27" s="922">
        <f t="shared" si="68"/>
        <v>0</v>
      </c>
      <c r="BP27" s="1031">
        <f t="shared" si="68"/>
        <v>3397500</v>
      </c>
      <c r="BQ27" s="922">
        <f t="shared" si="68"/>
        <v>1645500</v>
      </c>
      <c r="BR27" s="922">
        <f t="shared" si="68"/>
        <v>1340500</v>
      </c>
      <c r="BS27" s="123">
        <f t="shared" si="68"/>
        <v>0</v>
      </c>
      <c r="BT27" s="123"/>
      <c r="BU27" s="123"/>
      <c r="BV27" s="123"/>
      <c r="BW27" s="123"/>
      <c r="BX27" s="123"/>
      <c r="BY27" s="123"/>
      <c r="BZ27" s="922">
        <f>SUM(BI27:BY27)</f>
        <v>11884400</v>
      </c>
      <c r="CB27" s="56"/>
      <c r="CC27" s="917">
        <f>SUM(CC25-CC26)</f>
        <v>4074000</v>
      </c>
      <c r="CD27" s="124" t="s">
        <v>37</v>
      </c>
      <c r="CE27" s="921"/>
      <c r="CF27" s="379"/>
      <c r="CG27" s="918">
        <v>24640</v>
      </c>
      <c r="CH27" s="379">
        <f>CG26+CG27</f>
        <v>49280</v>
      </c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</row>
    <row r="28" spans="1:118" s="124" customFormat="1" ht="24.75" customHeight="1" x14ac:dyDescent="0.2">
      <c r="A28" s="1730" t="s">
        <v>8</v>
      </c>
      <c r="B28" s="1731"/>
      <c r="C28" s="124" t="s">
        <v>138</v>
      </c>
      <c r="D28" s="136"/>
      <c r="E28" s="23"/>
      <c r="F28" s="23"/>
      <c r="G28" s="23"/>
      <c r="H28" s="23"/>
      <c r="I28" s="23"/>
      <c r="J28" s="23"/>
      <c r="K28" s="23"/>
      <c r="L28" s="23"/>
      <c r="M28" s="23"/>
      <c r="N28" s="1090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7"/>
      <c r="AJ28" s="137"/>
      <c r="AK28" s="137"/>
      <c r="AL28" s="137"/>
      <c r="AM28" s="137"/>
      <c r="AN28" s="137"/>
      <c r="AO28" s="136"/>
      <c r="AP28" s="23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5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7"/>
      <c r="BT28" s="1572">
        <f>BI27+BJ27+BK27+BL27+BM27+BP27+BQ27+BR27+BS27</f>
        <v>11884400</v>
      </c>
      <c r="BU28" s="137"/>
      <c r="BV28" s="137"/>
      <c r="BW28" s="137"/>
      <c r="BX28" s="137"/>
      <c r="BY28" s="137"/>
      <c r="BZ28" s="135"/>
      <c r="CA28" s="135"/>
      <c r="CB28" s="135"/>
      <c r="CC28" s="139"/>
      <c r="CD28" s="23"/>
      <c r="CE28" s="169"/>
      <c r="CF28" s="136"/>
      <c r="CG28" s="1373">
        <v>24640</v>
      </c>
      <c r="CH28" s="1372">
        <f>CH27+CG28</f>
        <v>73920</v>
      </c>
      <c r="CI28" s="136"/>
      <c r="CJ28" s="136"/>
      <c r="CK28" s="136"/>
      <c r="CL28" s="136"/>
      <c r="CM28" s="136"/>
      <c r="CN28" s="136"/>
      <c r="CO28" s="136"/>
      <c r="CP28" s="135"/>
      <c r="CQ28" s="135"/>
      <c r="CR28" s="135"/>
      <c r="CS28" s="135"/>
      <c r="CT28" s="139"/>
      <c r="CU28" s="135"/>
      <c r="CV28" s="135"/>
      <c r="CW28" s="379"/>
      <c r="CX28" s="379"/>
      <c r="CY28" s="379"/>
      <c r="CZ28" s="379"/>
      <c r="DA28" s="379"/>
      <c r="DB28" s="379"/>
      <c r="DC28" s="379"/>
      <c r="DD28" s="379"/>
      <c r="DE28" s="379"/>
      <c r="DF28" s="379"/>
      <c r="DG28" s="379"/>
      <c r="DH28" s="379"/>
      <c r="DI28" s="379"/>
      <c r="DJ28" s="379"/>
      <c r="DK28" s="379"/>
      <c r="DL28" s="379"/>
      <c r="DM28" s="379"/>
      <c r="DN28" s="379"/>
    </row>
    <row r="29" spans="1:118" s="923" customFormat="1" ht="48.75" customHeight="1" x14ac:dyDescent="0.2">
      <c r="A29" s="1703" t="s">
        <v>10</v>
      </c>
      <c r="B29" s="1706" t="s">
        <v>11</v>
      </c>
      <c r="C29" s="1706" t="s">
        <v>22</v>
      </c>
      <c r="D29" s="1721" t="s">
        <v>12</v>
      </c>
      <c r="E29" s="1721"/>
      <c r="F29" s="1721"/>
      <c r="G29" s="1721"/>
      <c r="H29" s="1721"/>
      <c r="I29" s="1721"/>
      <c r="J29" s="1721"/>
      <c r="K29" s="1721"/>
      <c r="L29" s="1721"/>
      <c r="M29" s="1721"/>
      <c r="N29" s="1721"/>
      <c r="O29" s="1721"/>
      <c r="P29" s="1721"/>
      <c r="Q29" s="1721"/>
      <c r="R29" s="1721"/>
      <c r="S29" s="1721"/>
      <c r="T29" s="1721"/>
      <c r="U29" s="1721"/>
      <c r="V29" s="1721"/>
      <c r="W29" s="1706" t="s">
        <v>20</v>
      </c>
      <c r="X29" s="1717" t="s">
        <v>17</v>
      </c>
      <c r="Y29" s="1718"/>
      <c r="Z29" s="1718"/>
      <c r="AA29" s="1718"/>
      <c r="AB29" s="1718"/>
      <c r="AC29" s="1718"/>
      <c r="AD29" s="1718"/>
      <c r="AE29" s="1718"/>
      <c r="AF29" s="1718"/>
      <c r="AG29" s="1718"/>
      <c r="AH29" s="1718"/>
      <c r="AI29" s="1718"/>
      <c r="AJ29" s="1718"/>
      <c r="AK29" s="1718"/>
      <c r="AL29" s="1718"/>
      <c r="AM29" s="1718"/>
      <c r="AN29" s="1718"/>
      <c r="AO29" s="1719"/>
      <c r="AP29" s="1720" t="s">
        <v>6</v>
      </c>
      <c r="AQ29" s="1720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0"/>
      <c r="BG29" s="1720"/>
      <c r="BH29" s="1720"/>
      <c r="BI29" s="1722" t="s">
        <v>41</v>
      </c>
      <c r="BJ29" s="1723"/>
      <c r="BK29" s="1723"/>
      <c r="BL29" s="1723"/>
      <c r="BM29" s="1723"/>
      <c r="BN29" s="1723"/>
      <c r="BO29" s="1723"/>
      <c r="BP29" s="1723"/>
      <c r="BQ29" s="1723"/>
      <c r="BR29" s="1723"/>
      <c r="BS29" s="1723"/>
      <c r="BT29" s="1723"/>
      <c r="BU29" s="1723"/>
      <c r="BV29" s="1723"/>
      <c r="BW29" s="1723"/>
      <c r="BX29" s="1723"/>
      <c r="BY29" s="1723"/>
      <c r="BZ29" s="1724"/>
      <c r="CA29" s="1706" t="s">
        <v>38</v>
      </c>
      <c r="CB29" s="1706" t="s">
        <v>256</v>
      </c>
      <c r="CC29" s="1794" t="s">
        <v>39</v>
      </c>
      <c r="CD29" s="135"/>
      <c r="CE29" s="135"/>
      <c r="CF29" s="135"/>
      <c r="CG29" s="1378">
        <v>24640</v>
      </c>
      <c r="CH29" s="1377">
        <f>CH28+CG29</f>
        <v>98560</v>
      </c>
      <c r="CI29" s="1733" t="s">
        <v>41</v>
      </c>
      <c r="CJ29" s="1734"/>
      <c r="CK29" s="1734"/>
      <c r="CL29" s="1734"/>
      <c r="CM29" s="1734"/>
      <c r="CN29" s="1734"/>
      <c r="CO29" s="1734"/>
      <c r="CP29" s="1734"/>
      <c r="CQ29" s="1734"/>
      <c r="CR29" s="1734"/>
      <c r="CS29" s="1734"/>
      <c r="CT29" s="1734"/>
      <c r="CU29" s="1734"/>
      <c r="CV29" s="1734"/>
      <c r="CW29" s="1734"/>
      <c r="CX29" s="1734"/>
      <c r="CY29" s="1734"/>
      <c r="CZ29" s="1734"/>
      <c r="DA29" s="1734"/>
      <c r="DB29" s="1734"/>
      <c r="DC29" s="1734"/>
      <c r="DD29" s="1734"/>
      <c r="DE29" s="1734"/>
      <c r="DF29" s="1734"/>
      <c r="DG29" s="1734"/>
      <c r="DH29" s="1735"/>
      <c r="DI29" s="1089"/>
      <c r="DJ29" s="1089"/>
    </row>
    <row r="30" spans="1:118" s="923" customFormat="1" ht="48.75" customHeight="1" x14ac:dyDescent="0.2">
      <c r="A30" s="1704"/>
      <c r="B30" s="1707"/>
      <c r="C30" s="1707"/>
      <c r="D30" s="1712" t="s">
        <v>18</v>
      </c>
      <c r="E30" s="1714" t="s">
        <v>19</v>
      </c>
      <c r="F30" s="1715"/>
      <c r="G30" s="1715"/>
      <c r="H30" s="1715"/>
      <c r="I30" s="1715"/>
      <c r="J30" s="1715"/>
      <c r="K30" s="1715"/>
      <c r="L30" s="1715"/>
      <c r="M30" s="1715"/>
      <c r="N30" s="1715"/>
      <c r="O30" s="1715"/>
      <c r="P30" s="1715"/>
      <c r="Q30" s="1715"/>
      <c r="R30" s="1715"/>
      <c r="S30" s="1715"/>
      <c r="T30" s="1715"/>
      <c r="U30" s="1715"/>
      <c r="V30" s="1715"/>
      <c r="W30" s="1707"/>
      <c r="X30" s="1712" t="s">
        <v>18</v>
      </c>
      <c r="Y30" s="1714" t="s">
        <v>19</v>
      </c>
      <c r="Z30" s="1715"/>
      <c r="AA30" s="1715"/>
      <c r="AB30" s="1715"/>
      <c r="AC30" s="1715"/>
      <c r="AD30" s="1715"/>
      <c r="AE30" s="1715"/>
      <c r="AF30" s="1715"/>
      <c r="AG30" s="1715"/>
      <c r="AH30" s="1715"/>
      <c r="AI30" s="1715"/>
      <c r="AJ30" s="1715"/>
      <c r="AK30" s="1715"/>
      <c r="AL30" s="1715"/>
      <c r="AM30" s="1715"/>
      <c r="AN30" s="1715"/>
      <c r="AO30" s="1716"/>
      <c r="AP30" s="1712" t="s">
        <v>18</v>
      </c>
      <c r="AQ30" s="1714" t="s">
        <v>19</v>
      </c>
      <c r="AR30" s="1715"/>
      <c r="AS30" s="1715"/>
      <c r="AT30" s="1715"/>
      <c r="AU30" s="1715"/>
      <c r="AV30" s="1715"/>
      <c r="AW30" s="1715"/>
      <c r="AX30" s="1715"/>
      <c r="AY30" s="1715"/>
      <c r="AZ30" s="1715"/>
      <c r="BA30" s="1715"/>
      <c r="BB30" s="1715"/>
      <c r="BC30" s="1715"/>
      <c r="BD30" s="1715"/>
      <c r="BE30" s="1715"/>
      <c r="BF30" s="1715"/>
      <c r="BG30" s="1715"/>
      <c r="BH30" s="1716"/>
      <c r="BI30" s="1725"/>
      <c r="BJ30" s="1726"/>
      <c r="BK30" s="1726"/>
      <c r="BL30" s="1726"/>
      <c r="BM30" s="1726"/>
      <c r="BN30" s="1726"/>
      <c r="BO30" s="1726"/>
      <c r="BP30" s="1726"/>
      <c r="BQ30" s="1726"/>
      <c r="BR30" s="1726"/>
      <c r="BS30" s="1726"/>
      <c r="BT30" s="1726"/>
      <c r="BU30" s="1726"/>
      <c r="BV30" s="1726"/>
      <c r="BW30" s="1726"/>
      <c r="BX30" s="1726"/>
      <c r="BY30" s="1726"/>
      <c r="BZ30" s="1727"/>
      <c r="CA30" s="1707"/>
      <c r="CB30" s="1707"/>
      <c r="CC30" s="1795"/>
      <c r="CD30" s="135"/>
      <c r="CE30" s="1736">
        <v>24640</v>
      </c>
      <c r="CF30" s="1736"/>
      <c r="CG30" s="1736"/>
      <c r="CH30" s="1494">
        <f>CH29+CE30</f>
        <v>123200</v>
      </c>
      <c r="CI30" s="1737" t="s">
        <v>686</v>
      </c>
      <c r="CJ30" s="1738"/>
      <c r="CK30" s="1738"/>
      <c r="CL30" s="1738"/>
      <c r="CM30" s="1738"/>
      <c r="CN30" s="1738"/>
      <c r="CO30" s="1738"/>
      <c r="CP30" s="1738"/>
      <c r="CQ30" s="1738"/>
      <c r="CR30" s="1738"/>
      <c r="CS30" s="1738"/>
      <c r="CT30" s="1738"/>
      <c r="CU30" s="1739"/>
      <c r="CV30" s="1740" t="s">
        <v>687</v>
      </c>
      <c r="CW30" s="1741"/>
      <c r="CX30" s="1741"/>
      <c r="CY30" s="1741"/>
      <c r="CZ30" s="1741"/>
      <c r="DA30" s="1741"/>
      <c r="DB30" s="1741"/>
      <c r="DC30" s="1741"/>
      <c r="DD30" s="1741"/>
      <c r="DE30" s="1741"/>
      <c r="DF30" s="1741"/>
      <c r="DG30" s="1741"/>
      <c r="DH30" s="1742"/>
      <c r="DI30" s="1089"/>
      <c r="DJ30" s="1089"/>
    </row>
    <row r="31" spans="1:118" s="637" customFormat="1" ht="28.5" customHeight="1" x14ac:dyDescent="0.2">
      <c r="A31" s="1704"/>
      <c r="B31" s="1707"/>
      <c r="C31" s="1707"/>
      <c r="D31" s="1784"/>
      <c r="E31" s="26">
        <v>1</v>
      </c>
      <c r="F31" s="26">
        <v>2</v>
      </c>
      <c r="G31" s="26">
        <v>3</v>
      </c>
      <c r="H31" s="26">
        <v>4</v>
      </c>
      <c r="I31" s="26">
        <v>5</v>
      </c>
      <c r="J31" s="26">
        <v>6</v>
      </c>
      <c r="K31" s="26">
        <v>7</v>
      </c>
      <c r="L31" s="26">
        <v>8</v>
      </c>
      <c r="M31" s="26">
        <v>9</v>
      </c>
      <c r="N31" s="26">
        <v>10</v>
      </c>
      <c r="O31" s="26">
        <v>11</v>
      </c>
      <c r="P31" s="26">
        <v>12</v>
      </c>
      <c r="Q31" s="26">
        <v>13</v>
      </c>
      <c r="R31" s="26">
        <v>14</v>
      </c>
      <c r="S31" s="26">
        <v>15</v>
      </c>
      <c r="T31" s="26">
        <v>16</v>
      </c>
      <c r="U31" s="26">
        <v>17</v>
      </c>
      <c r="V31" s="26" t="s">
        <v>21</v>
      </c>
      <c r="W31" s="1707"/>
      <c r="X31" s="1784"/>
      <c r="Y31" s="26">
        <v>1</v>
      </c>
      <c r="Z31" s="26">
        <v>2</v>
      </c>
      <c r="AA31" s="26">
        <v>3</v>
      </c>
      <c r="AB31" s="26">
        <v>4</v>
      </c>
      <c r="AC31" s="26">
        <v>5</v>
      </c>
      <c r="AD31" s="26">
        <v>6</v>
      </c>
      <c r="AE31" s="26">
        <v>7</v>
      </c>
      <c r="AF31" s="26">
        <v>8</v>
      </c>
      <c r="AG31" s="26">
        <v>9</v>
      </c>
      <c r="AH31" s="26">
        <v>10</v>
      </c>
      <c r="AI31" s="26">
        <v>11</v>
      </c>
      <c r="AJ31" s="26">
        <v>12</v>
      </c>
      <c r="AK31" s="26">
        <v>13</v>
      </c>
      <c r="AL31" s="26">
        <v>14</v>
      </c>
      <c r="AM31" s="26">
        <v>15</v>
      </c>
      <c r="AN31" s="26">
        <v>16</v>
      </c>
      <c r="AO31" s="26">
        <v>17</v>
      </c>
      <c r="AP31" s="1784"/>
      <c r="AQ31" s="26">
        <v>1</v>
      </c>
      <c r="AR31" s="26">
        <v>2</v>
      </c>
      <c r="AS31" s="26">
        <v>3</v>
      </c>
      <c r="AT31" s="26">
        <v>4</v>
      </c>
      <c r="AU31" s="26">
        <v>5</v>
      </c>
      <c r="AV31" s="26">
        <v>6</v>
      </c>
      <c r="AW31" s="26">
        <v>7</v>
      </c>
      <c r="AX31" s="26">
        <v>8</v>
      </c>
      <c r="AY31" s="26">
        <v>9</v>
      </c>
      <c r="AZ31" s="26">
        <v>10</v>
      </c>
      <c r="BA31" s="26">
        <v>11</v>
      </c>
      <c r="BB31" s="26">
        <v>12</v>
      </c>
      <c r="BC31" s="26">
        <v>13</v>
      </c>
      <c r="BD31" s="26">
        <v>14</v>
      </c>
      <c r="BE31" s="26">
        <v>15</v>
      </c>
      <c r="BF31" s="26">
        <v>16</v>
      </c>
      <c r="BG31" s="26">
        <v>17</v>
      </c>
      <c r="BH31" s="26" t="s">
        <v>13</v>
      </c>
      <c r="BI31" s="173">
        <v>1</v>
      </c>
      <c r="BJ31" s="173">
        <v>2</v>
      </c>
      <c r="BK31" s="173">
        <v>3</v>
      </c>
      <c r="BL31" s="173">
        <v>4</v>
      </c>
      <c r="BM31" s="173">
        <v>5</v>
      </c>
      <c r="BN31" s="173">
        <v>6</v>
      </c>
      <c r="BO31" s="173">
        <v>7</v>
      </c>
      <c r="BP31" s="173">
        <v>8</v>
      </c>
      <c r="BQ31" s="173">
        <v>9</v>
      </c>
      <c r="BR31" s="173">
        <v>10</v>
      </c>
      <c r="BS31" s="173">
        <v>11</v>
      </c>
      <c r="BT31" s="173">
        <v>12</v>
      </c>
      <c r="BU31" s="173">
        <v>13</v>
      </c>
      <c r="BV31" s="173">
        <v>14</v>
      </c>
      <c r="BW31" s="173">
        <v>15</v>
      </c>
      <c r="BX31" s="173">
        <v>16</v>
      </c>
      <c r="BY31" s="173">
        <v>17</v>
      </c>
      <c r="BZ31" s="26" t="s">
        <v>13</v>
      </c>
      <c r="CA31" s="1707"/>
      <c r="CB31" s="1707"/>
      <c r="CC31" s="1795"/>
      <c r="CD31" s="37"/>
      <c r="CE31" s="1743" t="s">
        <v>19</v>
      </c>
      <c r="CF31" s="1744"/>
      <c r="CG31" s="1745"/>
      <c r="CH31" s="621"/>
      <c r="CI31" s="173">
        <v>1</v>
      </c>
      <c r="CJ31" s="173">
        <v>2</v>
      </c>
      <c r="CK31" s="173">
        <v>3</v>
      </c>
      <c r="CL31" s="173">
        <v>4</v>
      </c>
      <c r="CM31" s="173">
        <v>5</v>
      </c>
      <c r="CN31" s="173">
        <v>6</v>
      </c>
      <c r="CO31" s="173">
        <v>7</v>
      </c>
      <c r="CP31" s="173">
        <v>8</v>
      </c>
      <c r="CQ31" s="173">
        <v>9</v>
      </c>
      <c r="CR31" s="173">
        <v>10</v>
      </c>
      <c r="CS31" s="173">
        <v>11</v>
      </c>
      <c r="CT31" s="173">
        <v>12</v>
      </c>
      <c r="CU31" s="26" t="s">
        <v>13</v>
      </c>
      <c r="CV31" s="173">
        <v>1</v>
      </c>
      <c r="CW31" s="173">
        <v>2</v>
      </c>
      <c r="CX31" s="173">
        <v>3</v>
      </c>
      <c r="CY31" s="173">
        <v>4</v>
      </c>
      <c r="CZ31" s="173">
        <v>5</v>
      </c>
      <c r="DA31" s="173">
        <v>6</v>
      </c>
      <c r="DB31" s="173">
        <v>7</v>
      </c>
      <c r="DC31" s="173">
        <v>8</v>
      </c>
      <c r="DD31" s="173">
        <v>9</v>
      </c>
      <c r="DE31" s="173">
        <v>10</v>
      </c>
      <c r="DF31" s="173">
        <v>11</v>
      </c>
      <c r="DG31" s="173">
        <v>12</v>
      </c>
      <c r="DH31" s="26" t="s">
        <v>13</v>
      </c>
      <c r="DI31" s="1091"/>
      <c r="DJ31" s="1091"/>
    </row>
    <row r="32" spans="1:118" s="37" customFormat="1" ht="24.75" customHeight="1" x14ac:dyDescent="0.2">
      <c r="A32" s="28"/>
      <c r="B32" s="924" t="s">
        <v>46</v>
      </c>
      <c r="C32" s="29" t="s">
        <v>54</v>
      </c>
      <c r="D32" s="925">
        <v>4</v>
      </c>
      <c r="E32" s="683"/>
      <c r="F32" s="30">
        <v>0</v>
      </c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1">
        <f>SUM(E32:U32)</f>
        <v>0</v>
      </c>
      <c r="W32" s="926" t="s">
        <v>140</v>
      </c>
      <c r="X32" s="927">
        <v>37100</v>
      </c>
      <c r="Y32" s="928"/>
      <c r="Z32" s="685">
        <v>27500</v>
      </c>
      <c r="AA32" s="685"/>
      <c r="AB32" s="685"/>
      <c r="AC32" s="685"/>
      <c r="AD32" s="685"/>
      <c r="AE32" s="685"/>
      <c r="AF32" s="685"/>
      <c r="AG32" s="685"/>
      <c r="AH32" s="685"/>
      <c r="AI32" s="685"/>
      <c r="AJ32" s="685"/>
      <c r="AK32" s="685"/>
      <c r="AL32" s="685"/>
      <c r="AM32" s="685"/>
      <c r="AN32" s="685"/>
      <c r="AO32" s="685"/>
      <c r="AP32" s="1304">
        <f t="shared" ref="AP32:AP34" si="69">SUM(V32*X32)</f>
        <v>0</v>
      </c>
      <c r="AQ32" s="70">
        <f t="shared" ref="AQ32:BA34" si="70">Y32*E32</f>
        <v>0</v>
      </c>
      <c r="AR32" s="70">
        <f t="shared" si="70"/>
        <v>0</v>
      </c>
      <c r="AS32" s="70">
        <f t="shared" si="70"/>
        <v>0</v>
      </c>
      <c r="AT32" s="70">
        <f t="shared" si="70"/>
        <v>0</v>
      </c>
      <c r="AU32" s="70">
        <f t="shared" si="70"/>
        <v>0</v>
      </c>
      <c r="AV32" s="70">
        <f t="shared" si="70"/>
        <v>0</v>
      </c>
      <c r="AW32" s="70">
        <f t="shared" si="70"/>
        <v>0</v>
      </c>
      <c r="AX32" s="70">
        <f t="shared" si="70"/>
        <v>0</v>
      </c>
      <c r="AY32" s="70">
        <f t="shared" si="70"/>
        <v>0</v>
      </c>
      <c r="AZ32" s="70">
        <f t="shared" si="70"/>
        <v>0</v>
      </c>
      <c r="BA32" s="70">
        <f t="shared" si="70"/>
        <v>0</v>
      </c>
      <c r="BB32" s="70"/>
      <c r="BC32" s="70"/>
      <c r="BD32" s="70"/>
      <c r="BE32" s="70"/>
      <c r="BF32" s="70"/>
      <c r="BG32" s="70"/>
      <c r="BH32" s="71">
        <f t="shared" ref="BH32:BH38" si="71">SUM(AQ32:BG32)</f>
        <v>0</v>
      </c>
      <c r="BI32" s="70"/>
      <c r="BJ32" s="70"/>
      <c r="BK32" s="70">
        <f t="shared" ref="BJ32:BS38" si="72">SUM(AS32*14%)</f>
        <v>0</v>
      </c>
      <c r="BL32" s="70">
        <f t="shared" si="72"/>
        <v>0</v>
      </c>
      <c r="BM32" s="70">
        <f t="shared" si="72"/>
        <v>0</v>
      </c>
      <c r="BN32" s="70">
        <f t="shared" si="72"/>
        <v>0</v>
      </c>
      <c r="BO32" s="70">
        <f t="shared" si="72"/>
        <v>0</v>
      </c>
      <c r="BP32" s="70">
        <f t="shared" si="72"/>
        <v>0</v>
      </c>
      <c r="BQ32" s="70">
        <f t="shared" si="72"/>
        <v>0</v>
      </c>
      <c r="BR32" s="70">
        <f t="shared" si="72"/>
        <v>0</v>
      </c>
      <c r="BS32" s="70">
        <f t="shared" si="72"/>
        <v>0</v>
      </c>
      <c r="BT32" s="70"/>
      <c r="BU32" s="70"/>
      <c r="BV32" s="70"/>
      <c r="BW32" s="70"/>
      <c r="BX32" s="70"/>
      <c r="BY32" s="70"/>
      <c r="BZ32" s="72">
        <f t="shared" ref="BZ32:BZ38" si="73">SUM(BI32:BY32)</f>
        <v>0</v>
      </c>
      <c r="CA32" s="686">
        <f t="shared" ref="CA32:CA39" si="74">AP32-BH32-BZ32</f>
        <v>0</v>
      </c>
      <c r="CB32" s="687">
        <f t="shared" ref="CB32:CB38" si="75">X32*D32</f>
        <v>148400</v>
      </c>
      <c r="CC32" s="688">
        <f t="shared" ref="CC32:CC38" si="76">CB32-BH32-BZ32</f>
        <v>148400</v>
      </c>
      <c r="CD32" s="630">
        <f t="shared" ref="CD32:CD38" si="77">SUM(V32/D32)</f>
        <v>0</v>
      </c>
      <c r="CE32" s="1081"/>
      <c r="CF32" s="1081"/>
      <c r="CG32" s="1107"/>
      <c r="CH32" s="1084"/>
      <c r="CI32" s="862"/>
      <c r="CJ32" s="862"/>
      <c r="CK32" s="862"/>
      <c r="CL32" s="862"/>
      <c r="CM32" s="862"/>
      <c r="CN32" s="862"/>
      <c r="CO32" s="862"/>
      <c r="CP32" s="862"/>
      <c r="CQ32" s="1081">
        <f t="shared" ref="CQ32:CQ39" si="78">SUM(AX32*12.5%)</f>
        <v>0</v>
      </c>
      <c r="CR32" s="862"/>
      <c r="CS32" s="862"/>
      <c r="CT32" s="862"/>
      <c r="CU32" s="73">
        <f t="shared" ref="CU32" si="79">SUM(CI32:CT32)</f>
        <v>0</v>
      </c>
      <c r="CV32" s="862"/>
      <c r="CW32" s="862"/>
      <c r="CX32" s="862"/>
      <c r="CY32" s="862"/>
      <c r="CZ32" s="862"/>
      <c r="DA32" s="862"/>
      <c r="DB32" s="862"/>
      <c r="DC32" s="862"/>
      <c r="DD32" s="1081"/>
      <c r="DE32" s="862"/>
      <c r="DF32" s="862"/>
      <c r="DG32" s="862"/>
      <c r="DH32" s="73">
        <f t="shared" ref="DH32:DH35" si="80">SUM(CV32:DG32)</f>
        <v>0</v>
      </c>
      <c r="DI32" s="1547"/>
      <c r="DJ32" s="1547"/>
    </row>
    <row r="33" spans="1:118" s="37" customFormat="1" ht="31.5" customHeight="1" x14ac:dyDescent="0.2">
      <c r="A33" s="28"/>
      <c r="B33" s="924" t="s">
        <v>365</v>
      </c>
      <c r="C33" s="29" t="s">
        <v>54</v>
      </c>
      <c r="D33" s="925">
        <v>1</v>
      </c>
      <c r="E33" s="683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1">
        <f>SUM(E33:U33)</f>
        <v>0</v>
      </c>
      <c r="W33" s="926" t="s">
        <v>118</v>
      </c>
      <c r="X33" s="927">
        <v>49500</v>
      </c>
      <c r="Y33" s="928"/>
      <c r="Z33" s="685"/>
      <c r="AA33" s="685"/>
      <c r="AB33" s="685"/>
      <c r="AC33" s="685"/>
      <c r="AD33" s="685"/>
      <c r="AE33" s="685"/>
      <c r="AF33" s="685"/>
      <c r="AG33" s="685"/>
      <c r="AH33" s="685"/>
      <c r="AI33" s="685"/>
      <c r="AJ33" s="685"/>
      <c r="AK33" s="685"/>
      <c r="AL33" s="685"/>
      <c r="AM33" s="685"/>
      <c r="AN33" s="685"/>
      <c r="AO33" s="685"/>
      <c r="AP33" s="1304">
        <f t="shared" si="69"/>
        <v>0</v>
      </c>
      <c r="AQ33" s="70">
        <f t="shared" si="70"/>
        <v>0</v>
      </c>
      <c r="AR33" s="70">
        <f t="shared" si="70"/>
        <v>0</v>
      </c>
      <c r="AS33" s="70">
        <f t="shared" si="70"/>
        <v>0</v>
      </c>
      <c r="AT33" s="70">
        <f t="shared" si="70"/>
        <v>0</v>
      </c>
      <c r="AU33" s="70">
        <f t="shared" si="70"/>
        <v>0</v>
      </c>
      <c r="AV33" s="70">
        <f t="shared" si="70"/>
        <v>0</v>
      </c>
      <c r="AW33" s="70">
        <f t="shared" si="70"/>
        <v>0</v>
      </c>
      <c r="AX33" s="70">
        <f t="shared" si="70"/>
        <v>0</v>
      </c>
      <c r="AY33" s="70">
        <f t="shared" si="70"/>
        <v>0</v>
      </c>
      <c r="AZ33" s="70">
        <f t="shared" si="70"/>
        <v>0</v>
      </c>
      <c r="BA33" s="70">
        <f t="shared" si="70"/>
        <v>0</v>
      </c>
      <c r="BB33" s="70"/>
      <c r="BC33" s="70"/>
      <c r="BD33" s="70"/>
      <c r="BE33" s="70"/>
      <c r="BF33" s="70"/>
      <c r="BG33" s="70"/>
      <c r="BH33" s="71">
        <f t="shared" si="71"/>
        <v>0</v>
      </c>
      <c r="BI33" s="70"/>
      <c r="BJ33" s="70">
        <f t="shared" si="72"/>
        <v>0</v>
      </c>
      <c r="BK33" s="70">
        <f t="shared" si="72"/>
        <v>0</v>
      </c>
      <c r="BL33" s="70">
        <f t="shared" si="72"/>
        <v>0</v>
      </c>
      <c r="BM33" s="70">
        <f t="shared" si="72"/>
        <v>0</v>
      </c>
      <c r="BN33" s="70">
        <f t="shared" si="72"/>
        <v>0</v>
      </c>
      <c r="BO33" s="70">
        <f t="shared" si="72"/>
        <v>0</v>
      </c>
      <c r="BP33" s="70">
        <f t="shared" si="72"/>
        <v>0</v>
      </c>
      <c r="BQ33" s="70">
        <f t="shared" si="72"/>
        <v>0</v>
      </c>
      <c r="BR33" s="70">
        <f t="shared" si="72"/>
        <v>0</v>
      </c>
      <c r="BS33" s="70">
        <f t="shared" si="72"/>
        <v>0</v>
      </c>
      <c r="BT33" s="70"/>
      <c r="BU33" s="70"/>
      <c r="BV33" s="70"/>
      <c r="BW33" s="70"/>
      <c r="BX33" s="70"/>
      <c r="BY33" s="70"/>
      <c r="BZ33" s="72">
        <f t="shared" si="73"/>
        <v>0</v>
      </c>
      <c r="CA33" s="686">
        <f t="shared" si="74"/>
        <v>0</v>
      </c>
      <c r="CB33" s="687">
        <f t="shared" si="75"/>
        <v>49500</v>
      </c>
      <c r="CC33" s="688">
        <f t="shared" si="76"/>
        <v>49500</v>
      </c>
      <c r="CD33" s="630">
        <f t="shared" si="77"/>
        <v>0</v>
      </c>
      <c r="CE33" s="1081"/>
      <c r="CF33" s="1081"/>
      <c r="CG33" s="1107"/>
      <c r="CH33" s="1084"/>
      <c r="CI33" s="862"/>
      <c r="CJ33" s="862"/>
      <c r="CK33" s="862"/>
      <c r="CL33" s="862"/>
      <c r="CM33" s="862"/>
      <c r="CN33" s="862"/>
      <c r="CO33" s="862"/>
      <c r="CP33" s="862"/>
      <c r="CQ33" s="1081">
        <f t="shared" si="78"/>
        <v>0</v>
      </c>
      <c r="CR33" s="862"/>
      <c r="CS33" s="862"/>
      <c r="CT33" s="862"/>
      <c r="CU33" s="73">
        <f t="shared" ref="CU33:CU35" si="81">SUM(CI33:CT33)</f>
        <v>0</v>
      </c>
      <c r="CV33" s="862"/>
      <c r="CW33" s="862"/>
      <c r="CX33" s="862"/>
      <c r="CY33" s="862"/>
      <c r="CZ33" s="862"/>
      <c r="DA33" s="862"/>
      <c r="DB33" s="862"/>
      <c r="DC33" s="862"/>
      <c r="DD33" s="1081"/>
      <c r="DE33" s="862"/>
      <c r="DF33" s="862"/>
      <c r="DG33" s="862"/>
      <c r="DH33" s="73">
        <f t="shared" si="80"/>
        <v>0</v>
      </c>
      <c r="DI33" s="1547"/>
      <c r="DJ33" s="1547"/>
    </row>
    <row r="34" spans="1:118" s="37" customFormat="1" ht="32.25" customHeight="1" x14ac:dyDescent="0.2">
      <c r="A34" s="28"/>
      <c r="B34" s="924" t="s">
        <v>466</v>
      </c>
      <c r="C34" s="29" t="s">
        <v>54</v>
      </c>
      <c r="D34" s="925">
        <v>1</v>
      </c>
      <c r="E34" s="683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1">
        <f>SUM(E34:U34)</f>
        <v>0</v>
      </c>
      <c r="W34" s="926" t="s">
        <v>2</v>
      </c>
      <c r="X34" s="927">
        <v>4000</v>
      </c>
      <c r="Y34" s="928"/>
      <c r="Z34" s="685"/>
      <c r="AA34" s="685"/>
      <c r="AB34" s="685"/>
      <c r="AC34" s="685"/>
      <c r="AD34" s="685"/>
      <c r="AE34" s="685"/>
      <c r="AF34" s="685"/>
      <c r="AG34" s="685"/>
      <c r="AH34" s="685"/>
      <c r="AI34" s="685"/>
      <c r="AJ34" s="685"/>
      <c r="AK34" s="685"/>
      <c r="AL34" s="685"/>
      <c r="AM34" s="685"/>
      <c r="AN34" s="685"/>
      <c r="AO34" s="685"/>
      <c r="AP34" s="1304">
        <f t="shared" si="69"/>
        <v>0</v>
      </c>
      <c r="AQ34" s="70">
        <f t="shared" si="70"/>
        <v>0</v>
      </c>
      <c r="AR34" s="70">
        <f t="shared" si="70"/>
        <v>0</v>
      </c>
      <c r="AS34" s="70">
        <f t="shared" si="70"/>
        <v>0</v>
      </c>
      <c r="AT34" s="70">
        <f t="shared" si="70"/>
        <v>0</v>
      </c>
      <c r="AU34" s="70">
        <f t="shared" si="70"/>
        <v>0</v>
      </c>
      <c r="AV34" s="70">
        <f t="shared" si="70"/>
        <v>0</v>
      </c>
      <c r="AW34" s="70">
        <f t="shared" si="70"/>
        <v>0</v>
      </c>
      <c r="AX34" s="70">
        <f t="shared" si="70"/>
        <v>0</v>
      </c>
      <c r="AY34" s="70">
        <f t="shared" si="70"/>
        <v>0</v>
      </c>
      <c r="AZ34" s="70">
        <f t="shared" si="70"/>
        <v>0</v>
      </c>
      <c r="BA34" s="70">
        <f t="shared" si="70"/>
        <v>0</v>
      </c>
      <c r="BB34" s="70"/>
      <c r="BC34" s="70"/>
      <c r="BD34" s="70"/>
      <c r="BE34" s="70"/>
      <c r="BF34" s="70"/>
      <c r="BG34" s="70"/>
      <c r="BH34" s="71">
        <f t="shared" si="71"/>
        <v>0</v>
      </c>
      <c r="BI34" s="70"/>
      <c r="BJ34" s="70">
        <f t="shared" si="72"/>
        <v>0</v>
      </c>
      <c r="BK34" s="70">
        <f t="shared" si="72"/>
        <v>0</v>
      </c>
      <c r="BL34" s="70">
        <f t="shared" si="72"/>
        <v>0</v>
      </c>
      <c r="BM34" s="70">
        <f t="shared" si="72"/>
        <v>0</v>
      </c>
      <c r="BN34" s="70">
        <f t="shared" si="72"/>
        <v>0</v>
      </c>
      <c r="BO34" s="70">
        <f t="shared" si="72"/>
        <v>0</v>
      </c>
      <c r="BP34" s="70">
        <f t="shared" si="72"/>
        <v>0</v>
      </c>
      <c r="BQ34" s="70">
        <f t="shared" si="72"/>
        <v>0</v>
      </c>
      <c r="BR34" s="70">
        <f t="shared" si="72"/>
        <v>0</v>
      </c>
      <c r="BS34" s="70">
        <f t="shared" si="72"/>
        <v>0</v>
      </c>
      <c r="BT34" s="70"/>
      <c r="BU34" s="70"/>
      <c r="BV34" s="70"/>
      <c r="BW34" s="70"/>
      <c r="BX34" s="70"/>
      <c r="BY34" s="70"/>
      <c r="BZ34" s="72">
        <f t="shared" si="73"/>
        <v>0</v>
      </c>
      <c r="CA34" s="686">
        <f t="shared" si="74"/>
        <v>0</v>
      </c>
      <c r="CB34" s="687">
        <f t="shared" si="75"/>
        <v>4000</v>
      </c>
      <c r="CC34" s="688">
        <f t="shared" si="76"/>
        <v>4000</v>
      </c>
      <c r="CD34" s="630">
        <f t="shared" si="77"/>
        <v>0</v>
      </c>
      <c r="CE34" s="1081"/>
      <c r="CF34" s="1081"/>
      <c r="CG34" s="1107"/>
      <c r="CH34" s="1084"/>
      <c r="CI34" s="862"/>
      <c r="CJ34" s="862"/>
      <c r="CK34" s="862"/>
      <c r="CL34" s="862"/>
      <c r="CM34" s="862"/>
      <c r="CN34" s="862"/>
      <c r="CO34" s="862"/>
      <c r="CP34" s="862"/>
      <c r="CQ34" s="1081">
        <f t="shared" si="78"/>
        <v>0</v>
      </c>
      <c r="CR34" s="862"/>
      <c r="CS34" s="862"/>
      <c r="CT34" s="862"/>
      <c r="CU34" s="73">
        <f t="shared" si="81"/>
        <v>0</v>
      </c>
      <c r="CV34" s="862"/>
      <c r="CW34" s="862"/>
      <c r="CX34" s="862"/>
      <c r="CY34" s="862"/>
      <c r="CZ34" s="862"/>
      <c r="DA34" s="862"/>
      <c r="DB34" s="862"/>
      <c r="DC34" s="862"/>
      <c r="DD34" s="1081"/>
      <c r="DE34" s="862"/>
      <c r="DF34" s="862"/>
      <c r="DG34" s="862"/>
      <c r="DH34" s="73">
        <f t="shared" si="80"/>
        <v>0</v>
      </c>
      <c r="DI34" s="1547"/>
      <c r="DJ34" s="1547"/>
    </row>
    <row r="35" spans="1:118" s="37" customFormat="1" ht="32.25" customHeight="1" x14ac:dyDescent="0.2">
      <c r="A35" s="28"/>
      <c r="B35" s="924" t="s">
        <v>467</v>
      </c>
      <c r="C35" s="29" t="s">
        <v>54</v>
      </c>
      <c r="D35" s="925">
        <v>40</v>
      </c>
      <c r="E35" s="683">
        <v>40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1">
        <f t="shared" ref="V35:V38" si="82">SUM(E35:U35)</f>
        <v>40</v>
      </c>
      <c r="W35" s="926" t="s">
        <v>45</v>
      </c>
      <c r="X35" s="927">
        <v>10300</v>
      </c>
      <c r="Y35" s="928">
        <v>9000</v>
      </c>
      <c r="Z35" s="685"/>
      <c r="AA35" s="685"/>
      <c r="AB35" s="685"/>
      <c r="AC35" s="685"/>
      <c r="AD35" s="685"/>
      <c r="AE35" s="685"/>
      <c r="AF35" s="685"/>
      <c r="AG35" s="685"/>
      <c r="AH35" s="685"/>
      <c r="AI35" s="685"/>
      <c r="AJ35" s="685"/>
      <c r="AK35" s="685"/>
      <c r="AL35" s="685"/>
      <c r="AM35" s="685"/>
      <c r="AN35" s="685"/>
      <c r="AO35" s="685"/>
      <c r="AP35" s="1304">
        <f t="shared" ref="AP35:AP38" si="83">SUM(V35*X35)</f>
        <v>412000</v>
      </c>
      <c r="AQ35" s="70">
        <f t="shared" ref="AQ35:AQ38" si="84">Y35*E35</f>
        <v>360000</v>
      </c>
      <c r="AR35" s="70">
        <f t="shared" ref="AR35:AR38" si="85">Z35*F35</f>
        <v>0</v>
      </c>
      <c r="AS35" s="70">
        <f t="shared" ref="AS35:AS38" si="86">AA35*G35</f>
        <v>0</v>
      </c>
      <c r="AT35" s="70">
        <f t="shared" ref="AT35:AT38" si="87">AB35*H35</f>
        <v>0</v>
      </c>
      <c r="AU35" s="70">
        <f t="shared" ref="AU35:AU38" si="88">AC35*I35</f>
        <v>0</v>
      </c>
      <c r="AV35" s="70">
        <f t="shared" ref="AV35:AV38" si="89">AD35*J35</f>
        <v>0</v>
      </c>
      <c r="AW35" s="70">
        <f t="shared" ref="AW35:AW38" si="90">AE35*K35</f>
        <v>0</v>
      </c>
      <c r="AX35" s="70">
        <f t="shared" ref="AX35:AX38" si="91">AF35*L35</f>
        <v>0</v>
      </c>
      <c r="AY35" s="70">
        <f t="shared" ref="AY35:AY38" si="92">AG35*M35</f>
        <v>0</v>
      </c>
      <c r="AZ35" s="70">
        <f t="shared" ref="AZ35:AZ38" si="93">AH35*N35</f>
        <v>0</v>
      </c>
      <c r="BA35" s="70">
        <f t="shared" ref="BA35:BA38" si="94">AI35*O35</f>
        <v>0</v>
      </c>
      <c r="BB35" s="70"/>
      <c r="BC35" s="70"/>
      <c r="BD35" s="70"/>
      <c r="BE35" s="70"/>
      <c r="BF35" s="70"/>
      <c r="BG35" s="70"/>
      <c r="BH35" s="71">
        <f t="shared" si="71"/>
        <v>360000</v>
      </c>
      <c r="BI35" s="70">
        <f>SUM(AQ35*4%)</f>
        <v>14400</v>
      </c>
      <c r="BJ35" s="70">
        <f t="shared" si="72"/>
        <v>0</v>
      </c>
      <c r="BK35" s="70">
        <f t="shared" si="72"/>
        <v>0</v>
      </c>
      <c r="BL35" s="70">
        <f t="shared" si="72"/>
        <v>0</v>
      </c>
      <c r="BM35" s="70">
        <f t="shared" si="72"/>
        <v>0</v>
      </c>
      <c r="BN35" s="70">
        <f t="shared" si="72"/>
        <v>0</v>
      </c>
      <c r="BO35" s="70">
        <f t="shared" si="72"/>
        <v>0</v>
      </c>
      <c r="BP35" s="70">
        <f t="shared" si="72"/>
        <v>0</v>
      </c>
      <c r="BQ35" s="70">
        <f t="shared" si="72"/>
        <v>0</v>
      </c>
      <c r="BR35" s="70">
        <f t="shared" si="72"/>
        <v>0</v>
      </c>
      <c r="BS35" s="70">
        <f t="shared" si="72"/>
        <v>0</v>
      </c>
      <c r="BT35" s="70"/>
      <c r="BU35" s="70"/>
      <c r="BV35" s="70"/>
      <c r="BW35" s="70"/>
      <c r="BX35" s="70"/>
      <c r="BY35" s="70"/>
      <c r="BZ35" s="72">
        <f t="shared" si="73"/>
        <v>14400</v>
      </c>
      <c r="CA35" s="686">
        <f t="shared" si="74"/>
        <v>37600</v>
      </c>
      <c r="CB35" s="687">
        <f t="shared" si="75"/>
        <v>412000</v>
      </c>
      <c r="CC35" s="688">
        <f t="shared" si="76"/>
        <v>37600</v>
      </c>
      <c r="CD35" s="630">
        <f t="shared" si="77"/>
        <v>1</v>
      </c>
      <c r="CE35" s="1081"/>
      <c r="CF35" s="1081"/>
      <c r="CG35" s="1107"/>
      <c r="CH35" s="1084"/>
      <c r="CI35" s="862"/>
      <c r="CJ35" s="862"/>
      <c r="CK35" s="862"/>
      <c r="CL35" s="862"/>
      <c r="CM35" s="862"/>
      <c r="CN35" s="862"/>
      <c r="CO35" s="862"/>
      <c r="CP35" s="862"/>
      <c r="CQ35" s="1081">
        <f t="shared" si="78"/>
        <v>0</v>
      </c>
      <c r="CR35" s="862"/>
      <c r="CS35" s="862"/>
      <c r="CT35" s="862"/>
      <c r="CU35" s="73">
        <f t="shared" si="81"/>
        <v>0</v>
      </c>
      <c r="CV35" s="862"/>
      <c r="CW35" s="862"/>
      <c r="CX35" s="862"/>
      <c r="CY35" s="862"/>
      <c r="CZ35" s="862"/>
      <c r="DA35" s="862"/>
      <c r="DB35" s="862"/>
      <c r="DC35" s="862"/>
      <c r="DD35" s="1081"/>
      <c r="DE35" s="862"/>
      <c r="DF35" s="862"/>
      <c r="DG35" s="862"/>
      <c r="DH35" s="73">
        <f t="shared" si="80"/>
        <v>0</v>
      </c>
    </row>
    <row r="36" spans="1:118" s="37" customFormat="1" ht="32.25" customHeight="1" x14ac:dyDescent="0.2">
      <c r="A36" s="28"/>
      <c r="B36" s="924" t="s">
        <v>468</v>
      </c>
      <c r="C36" s="29" t="s">
        <v>54</v>
      </c>
      <c r="D36" s="925">
        <v>40</v>
      </c>
      <c r="E36" s="683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1">
        <f t="shared" si="82"/>
        <v>0</v>
      </c>
      <c r="W36" s="926" t="s">
        <v>31</v>
      </c>
      <c r="X36" s="929">
        <v>28500</v>
      </c>
      <c r="Y36" s="928"/>
      <c r="Z36" s="685"/>
      <c r="AA36" s="685"/>
      <c r="AB36" s="685"/>
      <c r="AC36" s="685"/>
      <c r="AD36" s="685"/>
      <c r="AE36" s="685"/>
      <c r="AF36" s="685"/>
      <c r="AG36" s="685"/>
      <c r="AH36" s="685"/>
      <c r="AI36" s="685"/>
      <c r="AJ36" s="685"/>
      <c r="AK36" s="685"/>
      <c r="AL36" s="685"/>
      <c r="AM36" s="685"/>
      <c r="AN36" s="685"/>
      <c r="AO36" s="685"/>
      <c r="AP36" s="1304">
        <f t="shared" si="83"/>
        <v>0</v>
      </c>
      <c r="AQ36" s="70">
        <f t="shared" si="84"/>
        <v>0</v>
      </c>
      <c r="AR36" s="70">
        <f t="shared" si="85"/>
        <v>0</v>
      </c>
      <c r="AS36" s="70">
        <f t="shared" si="86"/>
        <v>0</v>
      </c>
      <c r="AT36" s="70">
        <f t="shared" si="87"/>
        <v>0</v>
      </c>
      <c r="AU36" s="70">
        <f t="shared" si="88"/>
        <v>0</v>
      </c>
      <c r="AV36" s="70">
        <f t="shared" si="89"/>
        <v>0</v>
      </c>
      <c r="AW36" s="70">
        <f t="shared" si="90"/>
        <v>0</v>
      </c>
      <c r="AX36" s="70">
        <f t="shared" si="91"/>
        <v>0</v>
      </c>
      <c r="AY36" s="70">
        <f t="shared" si="92"/>
        <v>0</v>
      </c>
      <c r="AZ36" s="70">
        <f t="shared" si="93"/>
        <v>0</v>
      </c>
      <c r="BA36" s="70">
        <f t="shared" si="94"/>
        <v>0</v>
      </c>
      <c r="BB36" s="70"/>
      <c r="BC36" s="70"/>
      <c r="BD36" s="70"/>
      <c r="BE36" s="70"/>
      <c r="BF36" s="70"/>
      <c r="BG36" s="70"/>
      <c r="BH36" s="71">
        <f t="shared" si="71"/>
        <v>0</v>
      </c>
      <c r="BI36" s="70"/>
      <c r="BJ36" s="70">
        <f t="shared" si="72"/>
        <v>0</v>
      </c>
      <c r="BK36" s="70">
        <f t="shared" si="72"/>
        <v>0</v>
      </c>
      <c r="BL36" s="70">
        <f t="shared" si="72"/>
        <v>0</v>
      </c>
      <c r="BM36" s="70">
        <f t="shared" si="72"/>
        <v>0</v>
      </c>
      <c r="BN36" s="70">
        <f t="shared" si="72"/>
        <v>0</v>
      </c>
      <c r="BO36" s="70">
        <f t="shared" si="72"/>
        <v>0</v>
      </c>
      <c r="BP36" s="70">
        <f t="shared" si="72"/>
        <v>0</v>
      </c>
      <c r="BQ36" s="70">
        <f t="shared" si="72"/>
        <v>0</v>
      </c>
      <c r="BR36" s="70">
        <f t="shared" si="72"/>
        <v>0</v>
      </c>
      <c r="BS36" s="70">
        <f t="shared" si="72"/>
        <v>0</v>
      </c>
      <c r="BT36" s="70"/>
      <c r="BU36" s="70"/>
      <c r="BV36" s="70"/>
      <c r="BW36" s="70"/>
      <c r="BX36" s="70"/>
      <c r="BY36" s="70"/>
      <c r="BZ36" s="72">
        <f t="shared" si="73"/>
        <v>0</v>
      </c>
      <c r="CA36" s="686">
        <f t="shared" si="74"/>
        <v>0</v>
      </c>
      <c r="CB36" s="687">
        <f t="shared" si="75"/>
        <v>1140000</v>
      </c>
      <c r="CC36" s="688">
        <f t="shared" si="76"/>
        <v>1140000</v>
      </c>
      <c r="CD36" s="630">
        <f t="shared" si="77"/>
        <v>0</v>
      </c>
      <c r="CE36" s="1081"/>
      <c r="CF36" s="1081"/>
      <c r="CG36" s="1107"/>
      <c r="CH36" s="1084"/>
      <c r="CI36" s="862"/>
      <c r="CJ36" s="862"/>
      <c r="CK36" s="862"/>
      <c r="CL36" s="862"/>
      <c r="CM36" s="862"/>
      <c r="CN36" s="862"/>
      <c r="CO36" s="862"/>
      <c r="CP36" s="862"/>
      <c r="CQ36" s="1081">
        <f t="shared" si="78"/>
        <v>0</v>
      </c>
      <c r="CR36" s="862"/>
      <c r="CS36" s="862"/>
      <c r="CT36" s="862"/>
      <c r="CU36" s="73">
        <f t="shared" ref="CU36:CU39" si="95">SUM(CI36:CT36)</f>
        <v>0</v>
      </c>
      <c r="CV36" s="862"/>
      <c r="CW36" s="862"/>
      <c r="CX36" s="862"/>
      <c r="CY36" s="862"/>
      <c r="CZ36" s="862"/>
      <c r="DA36" s="862"/>
      <c r="DB36" s="862"/>
      <c r="DC36" s="862"/>
      <c r="DD36" s="1081"/>
      <c r="DE36" s="862"/>
      <c r="DF36" s="862"/>
      <c r="DG36" s="862"/>
      <c r="DH36" s="73">
        <f t="shared" ref="DH36:DH39" si="96">SUM(CV36:DG36)</f>
        <v>0</v>
      </c>
    </row>
    <row r="37" spans="1:118" s="37" customFormat="1" ht="32.25" customHeight="1" x14ac:dyDescent="0.2">
      <c r="A37" s="28"/>
      <c r="B37" s="924" t="s">
        <v>469</v>
      </c>
      <c r="C37" s="29" t="s">
        <v>54</v>
      </c>
      <c r="D37" s="925">
        <v>2</v>
      </c>
      <c r="E37" s="683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1">
        <f t="shared" si="82"/>
        <v>0</v>
      </c>
      <c r="W37" s="926" t="s">
        <v>0</v>
      </c>
      <c r="X37" s="929">
        <v>17000</v>
      </c>
      <c r="Y37" s="928"/>
      <c r="Z37" s="685"/>
      <c r="AA37" s="685"/>
      <c r="AB37" s="685"/>
      <c r="AC37" s="685"/>
      <c r="AD37" s="685"/>
      <c r="AE37" s="685"/>
      <c r="AF37" s="685"/>
      <c r="AG37" s="685"/>
      <c r="AH37" s="685"/>
      <c r="AI37" s="685"/>
      <c r="AJ37" s="685"/>
      <c r="AK37" s="685"/>
      <c r="AL37" s="685"/>
      <c r="AM37" s="685"/>
      <c r="AN37" s="685"/>
      <c r="AO37" s="685"/>
      <c r="AP37" s="1304">
        <f t="shared" si="83"/>
        <v>0</v>
      </c>
      <c r="AQ37" s="70">
        <f t="shared" si="84"/>
        <v>0</v>
      </c>
      <c r="AR37" s="70">
        <f t="shared" si="85"/>
        <v>0</v>
      </c>
      <c r="AS37" s="70">
        <f t="shared" si="86"/>
        <v>0</v>
      </c>
      <c r="AT37" s="70">
        <f t="shared" si="87"/>
        <v>0</v>
      </c>
      <c r="AU37" s="70">
        <f t="shared" si="88"/>
        <v>0</v>
      </c>
      <c r="AV37" s="70">
        <f t="shared" si="89"/>
        <v>0</v>
      </c>
      <c r="AW37" s="70">
        <f t="shared" si="90"/>
        <v>0</v>
      </c>
      <c r="AX37" s="70">
        <f t="shared" si="91"/>
        <v>0</v>
      </c>
      <c r="AY37" s="70">
        <f t="shared" si="92"/>
        <v>0</v>
      </c>
      <c r="AZ37" s="70">
        <f t="shared" si="93"/>
        <v>0</v>
      </c>
      <c r="BA37" s="70">
        <f t="shared" si="94"/>
        <v>0</v>
      </c>
      <c r="BB37" s="70"/>
      <c r="BC37" s="70"/>
      <c r="BD37" s="70"/>
      <c r="BE37" s="70"/>
      <c r="BF37" s="70"/>
      <c r="BG37" s="70"/>
      <c r="BH37" s="71">
        <f t="shared" si="71"/>
        <v>0</v>
      </c>
      <c r="BI37" s="70"/>
      <c r="BJ37" s="70">
        <f t="shared" si="72"/>
        <v>0</v>
      </c>
      <c r="BK37" s="70">
        <f t="shared" si="72"/>
        <v>0</v>
      </c>
      <c r="BL37" s="70">
        <f t="shared" si="72"/>
        <v>0</v>
      </c>
      <c r="BM37" s="70">
        <f t="shared" si="72"/>
        <v>0</v>
      </c>
      <c r="BN37" s="70">
        <f t="shared" si="72"/>
        <v>0</v>
      </c>
      <c r="BO37" s="70">
        <f t="shared" si="72"/>
        <v>0</v>
      </c>
      <c r="BP37" s="70">
        <f t="shared" si="72"/>
        <v>0</v>
      </c>
      <c r="BQ37" s="70">
        <f t="shared" si="72"/>
        <v>0</v>
      </c>
      <c r="BR37" s="70">
        <f t="shared" si="72"/>
        <v>0</v>
      </c>
      <c r="BS37" s="70">
        <f t="shared" si="72"/>
        <v>0</v>
      </c>
      <c r="BT37" s="70"/>
      <c r="BU37" s="70"/>
      <c r="BV37" s="70"/>
      <c r="BW37" s="70"/>
      <c r="BX37" s="70"/>
      <c r="BY37" s="70"/>
      <c r="BZ37" s="72">
        <f t="shared" si="73"/>
        <v>0</v>
      </c>
      <c r="CA37" s="686">
        <f t="shared" si="74"/>
        <v>0</v>
      </c>
      <c r="CB37" s="687">
        <f t="shared" si="75"/>
        <v>34000</v>
      </c>
      <c r="CC37" s="688">
        <f t="shared" si="76"/>
        <v>34000</v>
      </c>
      <c r="CD37" s="630">
        <f t="shared" si="77"/>
        <v>0</v>
      </c>
      <c r="CE37" s="1081"/>
      <c r="CF37" s="1081"/>
      <c r="CG37" s="1107"/>
      <c r="CH37" s="1084"/>
      <c r="CI37" s="862"/>
      <c r="CJ37" s="862"/>
      <c r="CK37" s="862"/>
      <c r="CL37" s="862"/>
      <c r="CM37" s="862"/>
      <c r="CN37" s="862"/>
      <c r="CO37" s="862"/>
      <c r="CP37" s="862"/>
      <c r="CQ37" s="1081">
        <f t="shared" si="78"/>
        <v>0</v>
      </c>
      <c r="CR37" s="862"/>
      <c r="CS37" s="862"/>
      <c r="CT37" s="862"/>
      <c r="CU37" s="73">
        <f t="shared" si="95"/>
        <v>0</v>
      </c>
      <c r="CV37" s="862"/>
      <c r="CW37" s="862"/>
      <c r="CX37" s="862"/>
      <c r="CY37" s="862"/>
      <c r="CZ37" s="862"/>
      <c r="DA37" s="862"/>
      <c r="DB37" s="862"/>
      <c r="DC37" s="862"/>
      <c r="DD37" s="1081"/>
      <c r="DE37" s="862"/>
      <c r="DF37" s="862"/>
      <c r="DG37" s="862"/>
      <c r="DH37" s="73">
        <f t="shared" si="96"/>
        <v>0</v>
      </c>
    </row>
    <row r="38" spans="1:118" s="37" customFormat="1" ht="32.25" customHeight="1" thickBot="1" x14ac:dyDescent="0.25">
      <c r="A38" s="28"/>
      <c r="B38" s="924" t="s">
        <v>49</v>
      </c>
      <c r="C38" s="29" t="s">
        <v>54</v>
      </c>
      <c r="D38" s="930">
        <v>15</v>
      </c>
      <c r="E38" s="683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1">
        <f t="shared" si="82"/>
        <v>0</v>
      </c>
      <c r="W38" s="931" t="s">
        <v>464</v>
      </c>
      <c r="X38" s="932">
        <v>100000</v>
      </c>
      <c r="Y38" s="928"/>
      <c r="Z38" s="685"/>
      <c r="AA38" s="685"/>
      <c r="AB38" s="685"/>
      <c r="AC38" s="685"/>
      <c r="AD38" s="685"/>
      <c r="AE38" s="685"/>
      <c r="AF38" s="685"/>
      <c r="AG38" s="685"/>
      <c r="AH38" s="685"/>
      <c r="AI38" s="685"/>
      <c r="AJ38" s="685"/>
      <c r="AK38" s="685"/>
      <c r="AL38" s="685"/>
      <c r="AM38" s="685"/>
      <c r="AN38" s="685"/>
      <c r="AO38" s="685"/>
      <c r="AP38" s="1304">
        <f t="shared" si="83"/>
        <v>0</v>
      </c>
      <c r="AQ38" s="70">
        <f t="shared" si="84"/>
        <v>0</v>
      </c>
      <c r="AR38" s="70">
        <f t="shared" si="85"/>
        <v>0</v>
      </c>
      <c r="AS38" s="70">
        <f t="shared" si="86"/>
        <v>0</v>
      </c>
      <c r="AT38" s="70">
        <f t="shared" si="87"/>
        <v>0</v>
      </c>
      <c r="AU38" s="70">
        <f t="shared" si="88"/>
        <v>0</v>
      </c>
      <c r="AV38" s="70">
        <f t="shared" si="89"/>
        <v>0</v>
      </c>
      <c r="AW38" s="70">
        <f t="shared" si="90"/>
        <v>0</v>
      </c>
      <c r="AX38" s="70">
        <f t="shared" si="91"/>
        <v>0</v>
      </c>
      <c r="AY38" s="70">
        <f t="shared" si="92"/>
        <v>0</v>
      </c>
      <c r="AZ38" s="70">
        <f t="shared" si="93"/>
        <v>0</v>
      </c>
      <c r="BA38" s="70">
        <f t="shared" si="94"/>
        <v>0</v>
      </c>
      <c r="BB38" s="70"/>
      <c r="BC38" s="70"/>
      <c r="BD38" s="70"/>
      <c r="BE38" s="70"/>
      <c r="BF38" s="70"/>
      <c r="BG38" s="70"/>
      <c r="BH38" s="71">
        <f t="shared" si="71"/>
        <v>0</v>
      </c>
      <c r="BI38" s="70"/>
      <c r="BJ38" s="70">
        <f t="shared" si="72"/>
        <v>0</v>
      </c>
      <c r="BK38" s="70">
        <f t="shared" si="72"/>
        <v>0</v>
      </c>
      <c r="BL38" s="70">
        <f t="shared" si="72"/>
        <v>0</v>
      </c>
      <c r="BM38" s="70">
        <f t="shared" si="72"/>
        <v>0</v>
      </c>
      <c r="BN38" s="70">
        <f t="shared" si="72"/>
        <v>0</v>
      </c>
      <c r="BO38" s="70">
        <f t="shared" si="72"/>
        <v>0</v>
      </c>
      <c r="BP38" s="70">
        <f t="shared" si="72"/>
        <v>0</v>
      </c>
      <c r="BQ38" s="70">
        <f t="shared" si="72"/>
        <v>0</v>
      </c>
      <c r="BR38" s="70">
        <f t="shared" si="72"/>
        <v>0</v>
      </c>
      <c r="BS38" s="70">
        <f t="shared" si="72"/>
        <v>0</v>
      </c>
      <c r="BT38" s="70"/>
      <c r="BU38" s="70"/>
      <c r="BV38" s="70"/>
      <c r="BW38" s="70"/>
      <c r="BX38" s="70"/>
      <c r="BY38" s="70"/>
      <c r="BZ38" s="72">
        <f t="shared" si="73"/>
        <v>0</v>
      </c>
      <c r="CA38" s="686">
        <f t="shared" si="74"/>
        <v>0</v>
      </c>
      <c r="CB38" s="687">
        <f t="shared" si="75"/>
        <v>1500000</v>
      </c>
      <c r="CC38" s="688">
        <f t="shared" si="76"/>
        <v>1500000</v>
      </c>
      <c r="CD38" s="630">
        <f t="shared" si="77"/>
        <v>0</v>
      </c>
      <c r="CE38" s="1081"/>
      <c r="CF38" s="1081"/>
      <c r="CG38" s="1107"/>
      <c r="CH38" s="1084"/>
      <c r="CI38" s="862"/>
      <c r="CJ38" s="862"/>
      <c r="CK38" s="862"/>
      <c r="CL38" s="862"/>
      <c r="CM38" s="862"/>
      <c r="CN38" s="862"/>
      <c r="CO38" s="862"/>
      <c r="CP38" s="862"/>
      <c r="CQ38" s="1081">
        <f t="shared" si="78"/>
        <v>0</v>
      </c>
      <c r="CR38" s="862"/>
      <c r="CS38" s="862"/>
      <c r="CT38" s="862"/>
      <c r="CU38" s="73">
        <f t="shared" si="95"/>
        <v>0</v>
      </c>
      <c r="CV38" s="862"/>
      <c r="CW38" s="862"/>
      <c r="CX38" s="862"/>
      <c r="CY38" s="862"/>
      <c r="CZ38" s="862"/>
      <c r="DA38" s="862"/>
      <c r="DB38" s="862"/>
      <c r="DC38" s="862"/>
      <c r="DD38" s="1081"/>
      <c r="DE38" s="862"/>
      <c r="DF38" s="862"/>
      <c r="DG38" s="862"/>
      <c r="DH38" s="73">
        <f t="shared" si="96"/>
        <v>0</v>
      </c>
    </row>
    <row r="39" spans="1:118" s="40" customFormat="1" ht="24.75" customHeight="1" thickBot="1" x14ac:dyDescent="0.25">
      <c r="A39" s="577">
        <v>2</v>
      </c>
      <c r="B39" s="44" t="s">
        <v>4</v>
      </c>
      <c r="C39" s="44"/>
      <c r="D39" s="1097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  <c r="O39" s="1098"/>
      <c r="P39" s="1098"/>
      <c r="Q39" s="1098"/>
      <c r="R39" s="1098"/>
      <c r="S39" s="1098"/>
      <c r="T39" s="1098"/>
      <c r="U39" s="1098"/>
      <c r="V39" s="47"/>
      <c r="W39" s="1099"/>
      <c r="X39" s="1100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3">
        <f t="shared" ref="AP39:BZ39" si="97">SUM(AP32:AP38)</f>
        <v>412000</v>
      </c>
      <c r="AQ39" s="1588">
        <f t="shared" si="97"/>
        <v>360000</v>
      </c>
      <c r="AR39" s="103">
        <f t="shared" si="97"/>
        <v>0</v>
      </c>
      <c r="AS39" s="103">
        <f t="shared" si="97"/>
        <v>0</v>
      </c>
      <c r="AT39" s="103">
        <f t="shared" si="97"/>
        <v>0</v>
      </c>
      <c r="AU39" s="103">
        <f t="shared" si="97"/>
        <v>0</v>
      </c>
      <c r="AV39" s="103">
        <f t="shared" si="97"/>
        <v>0</v>
      </c>
      <c r="AW39" s="103">
        <f t="shared" si="97"/>
        <v>0</v>
      </c>
      <c r="AX39" s="103">
        <f t="shared" si="97"/>
        <v>0</v>
      </c>
      <c r="AY39" s="103">
        <f t="shared" si="97"/>
        <v>0</v>
      </c>
      <c r="AZ39" s="103">
        <f t="shared" si="97"/>
        <v>0</v>
      </c>
      <c r="BA39" s="103">
        <f t="shared" si="97"/>
        <v>0</v>
      </c>
      <c r="BB39" s="103"/>
      <c r="BC39" s="103"/>
      <c r="BD39" s="103"/>
      <c r="BE39" s="103"/>
      <c r="BF39" s="103"/>
      <c r="BG39" s="103"/>
      <c r="BH39" s="103">
        <f t="shared" si="97"/>
        <v>360000</v>
      </c>
      <c r="BI39" s="103">
        <f t="shared" si="97"/>
        <v>14400</v>
      </c>
      <c r="BJ39" s="103">
        <f t="shared" si="97"/>
        <v>0</v>
      </c>
      <c r="BK39" s="103">
        <f t="shared" si="97"/>
        <v>0</v>
      </c>
      <c r="BL39" s="103">
        <f t="shared" si="97"/>
        <v>0</v>
      </c>
      <c r="BM39" s="103">
        <f t="shared" si="97"/>
        <v>0</v>
      </c>
      <c r="BN39" s="103">
        <f t="shared" si="97"/>
        <v>0</v>
      </c>
      <c r="BO39" s="103">
        <f t="shared" si="97"/>
        <v>0</v>
      </c>
      <c r="BP39" s="103">
        <f t="shared" si="97"/>
        <v>0</v>
      </c>
      <c r="BQ39" s="103">
        <f t="shared" si="97"/>
        <v>0</v>
      </c>
      <c r="BR39" s="103">
        <f t="shared" si="97"/>
        <v>0</v>
      </c>
      <c r="BS39" s="103">
        <f t="shared" si="97"/>
        <v>0</v>
      </c>
      <c r="BT39" s="103"/>
      <c r="BU39" s="103"/>
      <c r="BV39" s="103"/>
      <c r="BW39" s="103"/>
      <c r="BX39" s="103"/>
      <c r="BY39" s="103"/>
      <c r="BZ39" s="103">
        <f t="shared" si="97"/>
        <v>14400</v>
      </c>
      <c r="CA39" s="104">
        <f t="shared" si="74"/>
        <v>37600</v>
      </c>
      <c r="CB39" s="103">
        <f>SUM(CB32:CB38)</f>
        <v>3287900</v>
      </c>
      <c r="CC39" s="103">
        <f>SUM(CC32:CC38)</f>
        <v>2913500</v>
      </c>
      <c r="CD39" s="164">
        <v>1</v>
      </c>
      <c r="CE39" s="1083"/>
      <c r="CF39" s="1083"/>
      <c r="CG39" s="1083"/>
      <c r="CH39" s="1101"/>
      <c r="CI39" s="1102"/>
      <c r="CJ39" s="1102"/>
      <c r="CK39" s="1102"/>
      <c r="CL39" s="1102"/>
      <c r="CM39" s="1102"/>
      <c r="CN39" s="1102"/>
      <c r="CO39" s="1102"/>
      <c r="CP39" s="1102"/>
      <c r="CQ39" s="1083">
        <f t="shared" si="78"/>
        <v>0</v>
      </c>
      <c r="CR39" s="1102"/>
      <c r="CS39" s="1102"/>
      <c r="CT39" s="1102"/>
      <c r="CU39" s="1096">
        <f t="shared" si="95"/>
        <v>0</v>
      </c>
      <c r="CV39" s="1102"/>
      <c r="CW39" s="1102"/>
      <c r="CX39" s="1102"/>
      <c r="CY39" s="1102"/>
      <c r="CZ39" s="1102"/>
      <c r="DA39" s="1102"/>
      <c r="DB39" s="1102"/>
      <c r="DC39" s="1102"/>
      <c r="DD39" s="1083"/>
      <c r="DE39" s="1102"/>
      <c r="DF39" s="1102"/>
      <c r="DG39" s="1102"/>
      <c r="DH39" s="1096">
        <f t="shared" si="96"/>
        <v>0</v>
      </c>
    </row>
    <row r="40" spans="1:118" s="20" customFormat="1" ht="24.75" customHeight="1" x14ac:dyDescent="0.2">
      <c r="A40" s="50"/>
      <c r="D40" s="223"/>
      <c r="E40" s="50"/>
      <c r="F40" s="50"/>
      <c r="G40" s="50"/>
      <c r="H40" s="50"/>
      <c r="I40" s="50"/>
      <c r="J40" s="50"/>
      <c r="K40" s="50"/>
      <c r="L40" s="50"/>
      <c r="M40" s="50"/>
      <c r="N40" s="165"/>
      <c r="O40" s="50"/>
      <c r="P40" s="50"/>
      <c r="Q40" s="50"/>
      <c r="R40" s="50"/>
      <c r="S40" s="50"/>
      <c r="T40" s="50"/>
      <c r="U40" s="50"/>
      <c r="V40" s="50"/>
      <c r="W40" s="50"/>
      <c r="AI40" s="40"/>
      <c r="AJ40" s="40"/>
      <c r="AK40" s="40"/>
      <c r="AL40" s="40"/>
      <c r="AM40" s="40"/>
      <c r="AN40" s="40"/>
      <c r="AO40" s="40"/>
      <c r="BH40" s="51"/>
      <c r="BS40" s="40"/>
      <c r="BT40" s="40"/>
      <c r="BU40" s="40"/>
      <c r="BV40" s="40"/>
      <c r="BW40" s="40"/>
      <c r="BX40" s="40"/>
      <c r="BY40" s="40"/>
      <c r="BZ40" s="52">
        <f>SUM(BH39+BZ39)</f>
        <v>374400</v>
      </c>
      <c r="CA40" s="53">
        <f>AP39-BH39-BZ39</f>
        <v>37600</v>
      </c>
      <c r="CB40" s="54">
        <f>SUM(CC39+BH39+BZ39)</f>
        <v>3287900</v>
      </c>
      <c r="CC40" s="55">
        <f>SUM(CA39)</f>
        <v>37600</v>
      </c>
      <c r="CD40" s="40" t="s">
        <v>38</v>
      </c>
      <c r="CE40" s="171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</row>
    <row r="41" spans="1:118" s="20" customFormat="1" ht="24.75" customHeight="1" x14ac:dyDescent="0.2">
      <c r="A41" s="50"/>
      <c r="D41" s="223"/>
      <c r="E41" s="50"/>
      <c r="F41" s="50"/>
      <c r="G41" s="50"/>
      <c r="H41" s="50"/>
      <c r="I41" s="50"/>
      <c r="J41" s="50"/>
      <c r="K41" s="50"/>
      <c r="L41" s="50"/>
      <c r="M41" s="50"/>
      <c r="N41" s="165"/>
      <c r="O41" s="50"/>
      <c r="P41" s="50"/>
      <c r="Q41" s="50"/>
      <c r="R41" s="50"/>
      <c r="S41" s="50"/>
      <c r="T41" s="50"/>
      <c r="U41" s="50"/>
      <c r="V41" s="50"/>
      <c r="W41" s="50"/>
      <c r="AI41" s="40"/>
      <c r="AJ41" s="40"/>
      <c r="AK41" s="40"/>
      <c r="AL41" s="40"/>
      <c r="AM41" s="40"/>
      <c r="AN41" s="40"/>
      <c r="AO41" s="40"/>
      <c r="BH41" s="40"/>
      <c r="BI41" s="123">
        <f t="shared" ref="BI41:BS41" si="98">SUM(AQ39+BI39)</f>
        <v>374400</v>
      </c>
      <c r="BJ41" s="123">
        <f t="shared" si="98"/>
        <v>0</v>
      </c>
      <c r="BK41" s="123">
        <f t="shared" si="98"/>
        <v>0</v>
      </c>
      <c r="BL41" s="123">
        <f t="shared" si="98"/>
        <v>0</v>
      </c>
      <c r="BM41" s="123">
        <f t="shared" si="98"/>
        <v>0</v>
      </c>
      <c r="BN41" s="123">
        <f t="shared" si="98"/>
        <v>0</v>
      </c>
      <c r="BO41" s="123">
        <f t="shared" si="98"/>
        <v>0</v>
      </c>
      <c r="BP41" s="123">
        <f t="shared" si="98"/>
        <v>0</v>
      </c>
      <c r="BQ41" s="123">
        <f t="shared" si="98"/>
        <v>0</v>
      </c>
      <c r="BR41" s="123">
        <f t="shared" si="98"/>
        <v>0</v>
      </c>
      <c r="BS41" s="123">
        <f t="shared" si="98"/>
        <v>0</v>
      </c>
      <c r="BT41" s="123"/>
      <c r="BU41" s="123"/>
      <c r="BV41" s="123"/>
      <c r="BW41" s="123"/>
      <c r="BX41" s="123"/>
      <c r="BY41" s="123"/>
      <c r="BZ41" s="123">
        <f>SUM(BI41:BY41)</f>
        <v>374400</v>
      </c>
      <c r="CA41" s="40"/>
      <c r="CB41" s="56"/>
      <c r="CC41" s="57">
        <f>SUM(CC39-CC40)</f>
        <v>2875900</v>
      </c>
      <c r="CD41" s="40" t="s">
        <v>37</v>
      </c>
      <c r="CE41" s="171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</row>
    <row r="42" spans="1:118" s="20" customFormat="1" ht="24.75" customHeight="1" x14ac:dyDescent="0.2">
      <c r="A42" s="1730" t="s">
        <v>8</v>
      </c>
      <c r="B42" s="1731"/>
      <c r="C42" s="124" t="s">
        <v>127</v>
      </c>
      <c r="D42" s="136"/>
      <c r="E42" s="23"/>
      <c r="F42" s="23"/>
      <c r="G42" s="23"/>
      <c r="H42" s="23"/>
      <c r="I42" s="23"/>
      <c r="J42" s="23"/>
      <c r="K42" s="23"/>
      <c r="L42" s="23"/>
      <c r="M42" s="23"/>
      <c r="N42" s="1090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7"/>
      <c r="AJ42" s="137"/>
      <c r="AK42" s="137"/>
      <c r="AL42" s="137"/>
      <c r="AM42" s="137"/>
      <c r="AN42" s="137"/>
      <c r="AO42" s="137"/>
      <c r="AP42" s="23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8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7"/>
      <c r="BT42" s="137"/>
      <c r="BU42" s="137"/>
      <c r="BV42" s="137"/>
      <c r="BW42" s="137"/>
      <c r="BX42" s="137"/>
      <c r="BY42" s="137"/>
      <c r="BZ42" s="138"/>
      <c r="CA42" s="138"/>
      <c r="CB42" s="135"/>
      <c r="CC42" s="139"/>
      <c r="CD42" s="23"/>
      <c r="CE42" s="169"/>
      <c r="CF42" s="136"/>
      <c r="CG42" s="136"/>
      <c r="CH42" s="136"/>
      <c r="CI42" s="136"/>
      <c r="CJ42" s="137"/>
      <c r="CK42" s="136"/>
      <c r="CL42" s="136"/>
      <c r="CM42" s="136"/>
      <c r="CN42" s="136"/>
      <c r="CO42" s="136"/>
      <c r="CP42" s="138"/>
      <c r="CQ42" s="138"/>
      <c r="CR42" s="138"/>
      <c r="CS42" s="135"/>
      <c r="CT42" s="139"/>
      <c r="CU42" s="138"/>
      <c r="CV42" s="138"/>
      <c r="CW42" s="24"/>
      <c r="CX42" s="24"/>
      <c r="CY42" s="24"/>
      <c r="CZ42" s="24"/>
      <c r="DA42" s="24"/>
      <c r="DB42" s="140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</row>
    <row r="43" spans="1:118" s="8" customFormat="1" ht="48.75" customHeight="1" x14ac:dyDescent="0.2">
      <c r="A43" s="1703" t="s">
        <v>10</v>
      </c>
      <c r="B43" s="1706" t="s">
        <v>11</v>
      </c>
      <c r="C43" s="1706" t="s">
        <v>22</v>
      </c>
      <c r="D43" s="1721" t="s">
        <v>12</v>
      </c>
      <c r="E43" s="1721"/>
      <c r="F43" s="1721"/>
      <c r="G43" s="1721"/>
      <c r="H43" s="1721"/>
      <c r="I43" s="1721"/>
      <c r="J43" s="1721"/>
      <c r="K43" s="1721"/>
      <c r="L43" s="1721"/>
      <c r="M43" s="1721"/>
      <c r="N43" s="1721"/>
      <c r="O43" s="1721"/>
      <c r="P43" s="1721"/>
      <c r="Q43" s="1721"/>
      <c r="R43" s="1721"/>
      <c r="S43" s="1721"/>
      <c r="T43" s="1721"/>
      <c r="U43" s="1721"/>
      <c r="V43" s="1721"/>
      <c r="W43" s="1706" t="s">
        <v>20</v>
      </c>
      <c r="X43" s="1717" t="s">
        <v>17</v>
      </c>
      <c r="Y43" s="1718"/>
      <c r="Z43" s="1718"/>
      <c r="AA43" s="1718"/>
      <c r="AB43" s="1718"/>
      <c r="AC43" s="1718"/>
      <c r="AD43" s="1718"/>
      <c r="AE43" s="1718"/>
      <c r="AF43" s="1718"/>
      <c r="AG43" s="1718"/>
      <c r="AH43" s="1718"/>
      <c r="AI43" s="1718"/>
      <c r="AJ43" s="1718"/>
      <c r="AK43" s="1718"/>
      <c r="AL43" s="1718"/>
      <c r="AM43" s="1718"/>
      <c r="AN43" s="1718"/>
      <c r="AO43" s="1719"/>
      <c r="AP43" s="1720" t="s">
        <v>6</v>
      </c>
      <c r="AQ43" s="1720"/>
      <c r="AR43" s="1720"/>
      <c r="AS43" s="1720"/>
      <c r="AT43" s="1720"/>
      <c r="AU43" s="1720"/>
      <c r="AV43" s="1720"/>
      <c r="AW43" s="1720"/>
      <c r="AX43" s="1720"/>
      <c r="AY43" s="1720"/>
      <c r="AZ43" s="1720"/>
      <c r="BA43" s="1720"/>
      <c r="BB43" s="1720"/>
      <c r="BC43" s="1720"/>
      <c r="BD43" s="1720"/>
      <c r="BE43" s="1720"/>
      <c r="BF43" s="1720"/>
      <c r="BG43" s="1720"/>
      <c r="BH43" s="1720"/>
      <c r="BI43" s="1722" t="s">
        <v>41</v>
      </c>
      <c r="BJ43" s="1723"/>
      <c r="BK43" s="1723"/>
      <c r="BL43" s="1723"/>
      <c r="BM43" s="1723"/>
      <c r="BN43" s="1723"/>
      <c r="BO43" s="1723"/>
      <c r="BP43" s="1723"/>
      <c r="BQ43" s="1723"/>
      <c r="BR43" s="1723"/>
      <c r="BS43" s="1723"/>
      <c r="BT43" s="1723"/>
      <c r="BU43" s="1723"/>
      <c r="BV43" s="1723"/>
      <c r="BW43" s="1723"/>
      <c r="BX43" s="1723"/>
      <c r="BY43" s="1723"/>
      <c r="BZ43" s="1724"/>
      <c r="CA43" s="1706" t="s">
        <v>38</v>
      </c>
      <c r="CB43" s="1706" t="s">
        <v>256</v>
      </c>
      <c r="CC43" s="1794" t="s">
        <v>39</v>
      </c>
      <c r="CD43" s="135"/>
      <c r="CE43" s="135"/>
      <c r="CF43" s="135"/>
      <c r="CG43" s="135"/>
      <c r="CH43" s="135"/>
      <c r="CI43" s="1733" t="s">
        <v>41</v>
      </c>
      <c r="CJ43" s="1734"/>
      <c r="CK43" s="1734"/>
      <c r="CL43" s="1734"/>
      <c r="CM43" s="1734"/>
      <c r="CN43" s="1734"/>
      <c r="CO43" s="1734"/>
      <c r="CP43" s="1734"/>
      <c r="CQ43" s="1734"/>
      <c r="CR43" s="1734"/>
      <c r="CS43" s="1734"/>
      <c r="CT43" s="1734"/>
      <c r="CU43" s="1734"/>
      <c r="CV43" s="1734"/>
      <c r="CW43" s="1734"/>
      <c r="CX43" s="1734"/>
      <c r="CY43" s="1734"/>
      <c r="CZ43" s="1734"/>
      <c r="DA43" s="1734"/>
      <c r="DB43" s="1734"/>
      <c r="DC43" s="1734"/>
      <c r="DD43" s="1734"/>
      <c r="DE43" s="1734"/>
      <c r="DF43" s="1734"/>
      <c r="DG43" s="1734"/>
      <c r="DH43" s="1735"/>
    </row>
    <row r="44" spans="1:118" s="8" customFormat="1" ht="48.75" customHeight="1" x14ac:dyDescent="0.2">
      <c r="A44" s="1704"/>
      <c r="B44" s="1707"/>
      <c r="C44" s="1707"/>
      <c r="D44" s="1712" t="s">
        <v>18</v>
      </c>
      <c r="E44" s="1714" t="s">
        <v>19</v>
      </c>
      <c r="F44" s="1715"/>
      <c r="G44" s="1715"/>
      <c r="H44" s="1715"/>
      <c r="I44" s="1715"/>
      <c r="J44" s="1715"/>
      <c r="K44" s="1715"/>
      <c r="L44" s="1715"/>
      <c r="M44" s="1715"/>
      <c r="N44" s="1715"/>
      <c r="O44" s="1715"/>
      <c r="P44" s="1715"/>
      <c r="Q44" s="1715"/>
      <c r="R44" s="1715"/>
      <c r="S44" s="1715"/>
      <c r="T44" s="1715"/>
      <c r="U44" s="1715"/>
      <c r="V44" s="1715"/>
      <c r="W44" s="1707"/>
      <c r="X44" s="1712" t="s">
        <v>18</v>
      </c>
      <c r="Y44" s="1714" t="s">
        <v>19</v>
      </c>
      <c r="Z44" s="1715"/>
      <c r="AA44" s="1715"/>
      <c r="AB44" s="1715"/>
      <c r="AC44" s="1715"/>
      <c r="AD44" s="1715"/>
      <c r="AE44" s="1715"/>
      <c r="AF44" s="1715"/>
      <c r="AG44" s="1715"/>
      <c r="AH44" s="1715"/>
      <c r="AI44" s="1715"/>
      <c r="AJ44" s="1715"/>
      <c r="AK44" s="1715"/>
      <c r="AL44" s="1715"/>
      <c r="AM44" s="1715"/>
      <c r="AN44" s="1715"/>
      <c r="AO44" s="1716"/>
      <c r="AP44" s="1712" t="s">
        <v>18</v>
      </c>
      <c r="AQ44" s="1714" t="s">
        <v>19</v>
      </c>
      <c r="AR44" s="1715"/>
      <c r="AS44" s="1715"/>
      <c r="AT44" s="1715"/>
      <c r="AU44" s="1715"/>
      <c r="AV44" s="1715"/>
      <c r="AW44" s="1715"/>
      <c r="AX44" s="1715"/>
      <c r="AY44" s="1715"/>
      <c r="AZ44" s="1715"/>
      <c r="BA44" s="1715"/>
      <c r="BB44" s="1715"/>
      <c r="BC44" s="1715"/>
      <c r="BD44" s="1715"/>
      <c r="BE44" s="1715"/>
      <c r="BF44" s="1715"/>
      <c r="BG44" s="1715"/>
      <c r="BH44" s="1716"/>
      <c r="BI44" s="1725"/>
      <c r="BJ44" s="1726"/>
      <c r="BK44" s="1726"/>
      <c r="BL44" s="1726"/>
      <c r="BM44" s="1726"/>
      <c r="BN44" s="1726"/>
      <c r="BO44" s="1726"/>
      <c r="BP44" s="1726"/>
      <c r="BQ44" s="1726"/>
      <c r="BR44" s="1726"/>
      <c r="BS44" s="1726"/>
      <c r="BT44" s="1726"/>
      <c r="BU44" s="1726"/>
      <c r="BV44" s="1726"/>
      <c r="BW44" s="1726"/>
      <c r="BX44" s="1726"/>
      <c r="BY44" s="1726"/>
      <c r="BZ44" s="1727"/>
      <c r="CA44" s="1707"/>
      <c r="CB44" s="1707"/>
      <c r="CC44" s="1795"/>
      <c r="CD44" s="135"/>
      <c r="CE44" s="1736">
        <f>SUM(CE46/60)</f>
        <v>0</v>
      </c>
      <c r="CF44" s="1736"/>
      <c r="CG44" s="1736"/>
      <c r="CH44" s="23"/>
      <c r="CI44" s="1737" t="s">
        <v>686</v>
      </c>
      <c r="CJ44" s="1738"/>
      <c r="CK44" s="1738"/>
      <c r="CL44" s="1738"/>
      <c r="CM44" s="1738"/>
      <c r="CN44" s="1738"/>
      <c r="CO44" s="1738"/>
      <c r="CP44" s="1738"/>
      <c r="CQ44" s="1738"/>
      <c r="CR44" s="1738"/>
      <c r="CS44" s="1738"/>
      <c r="CT44" s="1738"/>
      <c r="CU44" s="1739"/>
      <c r="CV44" s="1740" t="s">
        <v>687</v>
      </c>
      <c r="CW44" s="1741"/>
      <c r="CX44" s="1741"/>
      <c r="CY44" s="1741"/>
      <c r="CZ44" s="1741"/>
      <c r="DA44" s="1741"/>
      <c r="DB44" s="1741"/>
      <c r="DC44" s="1741"/>
      <c r="DD44" s="1741"/>
      <c r="DE44" s="1741"/>
      <c r="DF44" s="1741"/>
      <c r="DG44" s="1741"/>
      <c r="DH44" s="1742"/>
    </row>
    <row r="45" spans="1:118" s="6" customFormat="1" ht="28.5" customHeight="1" x14ac:dyDescent="0.2">
      <c r="A45" s="1704"/>
      <c r="B45" s="1707"/>
      <c r="C45" s="1707"/>
      <c r="D45" s="1784"/>
      <c r="E45" s="26">
        <v>1</v>
      </c>
      <c r="F45" s="26">
        <v>2</v>
      </c>
      <c r="G45" s="26">
        <v>3</v>
      </c>
      <c r="H45" s="26">
        <v>4</v>
      </c>
      <c r="I45" s="26">
        <v>5</v>
      </c>
      <c r="J45" s="26">
        <v>6</v>
      </c>
      <c r="K45" s="26">
        <v>7</v>
      </c>
      <c r="L45" s="26">
        <v>8</v>
      </c>
      <c r="M45" s="26">
        <v>9</v>
      </c>
      <c r="N45" s="26">
        <v>10</v>
      </c>
      <c r="O45" s="26">
        <v>11</v>
      </c>
      <c r="P45" s="26">
        <v>12</v>
      </c>
      <c r="Q45" s="26">
        <v>13</v>
      </c>
      <c r="R45" s="26">
        <v>14</v>
      </c>
      <c r="S45" s="26">
        <v>15</v>
      </c>
      <c r="T45" s="26">
        <v>16</v>
      </c>
      <c r="U45" s="26">
        <v>17</v>
      </c>
      <c r="V45" s="26" t="s">
        <v>21</v>
      </c>
      <c r="W45" s="1707"/>
      <c r="X45" s="1784"/>
      <c r="Y45" s="26">
        <v>1</v>
      </c>
      <c r="Z45" s="26">
        <v>2</v>
      </c>
      <c r="AA45" s="26">
        <v>3</v>
      </c>
      <c r="AB45" s="26">
        <v>4</v>
      </c>
      <c r="AC45" s="26">
        <v>5</v>
      </c>
      <c r="AD45" s="26">
        <v>6</v>
      </c>
      <c r="AE45" s="26">
        <v>7</v>
      </c>
      <c r="AF45" s="26">
        <v>8</v>
      </c>
      <c r="AG45" s="26">
        <v>9</v>
      </c>
      <c r="AH45" s="26">
        <v>10</v>
      </c>
      <c r="AI45" s="26">
        <v>11</v>
      </c>
      <c r="AJ45" s="26">
        <v>12</v>
      </c>
      <c r="AK45" s="26">
        <v>13</v>
      </c>
      <c r="AL45" s="26">
        <v>14</v>
      </c>
      <c r="AM45" s="26">
        <v>15</v>
      </c>
      <c r="AN45" s="26">
        <v>16</v>
      </c>
      <c r="AO45" s="26">
        <v>17</v>
      </c>
      <c r="AP45" s="1784"/>
      <c r="AQ45" s="26">
        <v>1</v>
      </c>
      <c r="AR45" s="26">
        <v>2</v>
      </c>
      <c r="AS45" s="26">
        <v>3</v>
      </c>
      <c r="AT45" s="26">
        <v>4</v>
      </c>
      <c r="AU45" s="26">
        <v>5</v>
      </c>
      <c r="AV45" s="26">
        <v>6</v>
      </c>
      <c r="AW45" s="26">
        <v>7</v>
      </c>
      <c r="AX45" s="26">
        <v>8</v>
      </c>
      <c r="AY45" s="26">
        <v>9</v>
      </c>
      <c r="AZ45" s="26">
        <v>10</v>
      </c>
      <c r="BA45" s="26">
        <v>11</v>
      </c>
      <c r="BB45" s="26">
        <v>12</v>
      </c>
      <c r="BC45" s="26">
        <v>13</v>
      </c>
      <c r="BD45" s="26">
        <v>14</v>
      </c>
      <c r="BE45" s="26">
        <v>15</v>
      </c>
      <c r="BF45" s="26">
        <v>16</v>
      </c>
      <c r="BG45" s="26">
        <v>17</v>
      </c>
      <c r="BH45" s="26" t="s">
        <v>13</v>
      </c>
      <c r="BI45" s="173">
        <v>1</v>
      </c>
      <c r="BJ45" s="173">
        <v>2</v>
      </c>
      <c r="BK45" s="173">
        <v>3</v>
      </c>
      <c r="BL45" s="173">
        <v>4</v>
      </c>
      <c r="BM45" s="173">
        <v>5</v>
      </c>
      <c r="BN45" s="173">
        <v>6</v>
      </c>
      <c r="BO45" s="173">
        <v>7</v>
      </c>
      <c r="BP45" s="173">
        <v>8</v>
      </c>
      <c r="BQ45" s="173">
        <v>9</v>
      </c>
      <c r="BR45" s="173">
        <v>10</v>
      </c>
      <c r="BS45" s="173">
        <v>11</v>
      </c>
      <c r="BT45" s="173">
        <v>12</v>
      </c>
      <c r="BU45" s="173">
        <v>13</v>
      </c>
      <c r="BV45" s="173">
        <v>14</v>
      </c>
      <c r="BW45" s="173">
        <v>15</v>
      </c>
      <c r="BX45" s="173">
        <v>16</v>
      </c>
      <c r="BY45" s="173">
        <v>17</v>
      </c>
      <c r="BZ45" s="26" t="s">
        <v>13</v>
      </c>
      <c r="CA45" s="1707"/>
      <c r="CB45" s="1707"/>
      <c r="CC45" s="1795"/>
      <c r="CD45" s="7"/>
      <c r="CE45" s="1743" t="s">
        <v>19</v>
      </c>
      <c r="CF45" s="1744"/>
      <c r="CG45" s="1745"/>
      <c r="CH45" s="621"/>
      <c r="CI45" s="173">
        <v>1</v>
      </c>
      <c r="CJ45" s="173">
        <v>2</v>
      </c>
      <c r="CK45" s="173">
        <v>3</v>
      </c>
      <c r="CL45" s="173">
        <v>4</v>
      </c>
      <c r="CM45" s="173">
        <v>5</v>
      </c>
      <c r="CN45" s="173">
        <v>6</v>
      </c>
      <c r="CO45" s="173">
        <v>7</v>
      </c>
      <c r="CP45" s="173">
        <v>8</v>
      </c>
      <c r="CQ45" s="173">
        <v>9</v>
      </c>
      <c r="CR45" s="173">
        <v>10</v>
      </c>
      <c r="CS45" s="173">
        <v>11</v>
      </c>
      <c r="CT45" s="173">
        <v>12</v>
      </c>
      <c r="CU45" s="26" t="s">
        <v>13</v>
      </c>
      <c r="CV45" s="173">
        <v>1</v>
      </c>
      <c r="CW45" s="173">
        <v>2</v>
      </c>
      <c r="CX45" s="173">
        <v>3</v>
      </c>
      <c r="CY45" s="173">
        <v>4</v>
      </c>
      <c r="CZ45" s="173">
        <v>5</v>
      </c>
      <c r="DA45" s="173">
        <v>6</v>
      </c>
      <c r="DB45" s="173">
        <v>7</v>
      </c>
      <c r="DC45" s="173">
        <v>8</v>
      </c>
      <c r="DD45" s="173">
        <v>9</v>
      </c>
      <c r="DE45" s="173">
        <v>10</v>
      </c>
      <c r="DF45" s="173">
        <v>11</v>
      </c>
      <c r="DG45" s="173">
        <v>12</v>
      </c>
      <c r="DH45" s="26" t="s">
        <v>13</v>
      </c>
    </row>
    <row r="46" spans="1:118" s="637" customFormat="1" ht="28.5" customHeight="1" x14ac:dyDescent="0.2">
      <c r="A46" s="670">
        <v>1</v>
      </c>
      <c r="B46" s="631" t="s">
        <v>470</v>
      </c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1175"/>
      <c r="O46" s="1219"/>
      <c r="P46" s="1219"/>
      <c r="Q46" s="1219"/>
      <c r="R46" s="1400"/>
      <c r="S46" s="1219"/>
      <c r="T46" s="1509"/>
      <c r="U46" s="1315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1175"/>
      <c r="AJ46" s="1175"/>
      <c r="AK46" s="1219"/>
      <c r="AL46" s="1230"/>
      <c r="AM46" s="1219"/>
      <c r="AN46" s="1509"/>
      <c r="AO46" s="1315"/>
      <c r="AP46" s="634"/>
      <c r="AQ46" s="634"/>
      <c r="AR46" s="634"/>
      <c r="AS46" s="634"/>
      <c r="AT46" s="634"/>
      <c r="AU46" s="634"/>
      <c r="AV46" s="634"/>
      <c r="AW46" s="634"/>
      <c r="AX46" s="634"/>
      <c r="AY46" s="634"/>
      <c r="AZ46" s="634"/>
      <c r="BA46" s="634"/>
      <c r="BB46" s="634"/>
      <c r="BC46" s="1315"/>
      <c r="BD46" s="1315"/>
      <c r="BE46" s="1315"/>
      <c r="BF46" s="1511"/>
      <c r="BG46" s="1315"/>
      <c r="BH46" s="634"/>
      <c r="BI46" s="634"/>
      <c r="BJ46" s="634"/>
      <c r="BK46" s="634"/>
      <c r="BL46" s="634"/>
      <c r="BM46" s="634"/>
      <c r="BN46" s="634"/>
      <c r="BO46" s="634"/>
      <c r="BP46" s="634"/>
      <c r="BQ46" s="634"/>
      <c r="BR46" s="634"/>
      <c r="BS46" s="1175"/>
      <c r="BT46" s="1175"/>
      <c r="BU46" s="1175"/>
      <c r="BV46" s="1175"/>
      <c r="BW46" s="1175"/>
      <c r="BX46" s="1175"/>
      <c r="BY46" s="1175"/>
      <c r="BZ46" s="634"/>
      <c r="CA46" s="634"/>
      <c r="CB46" s="634"/>
      <c r="CC46" s="671"/>
      <c r="CD46" s="37"/>
      <c r="CE46" s="1081"/>
      <c r="CF46" s="1081"/>
      <c r="CG46" s="1083"/>
      <c r="CH46" s="1084"/>
      <c r="CI46" s="862"/>
      <c r="CJ46" s="862"/>
      <c r="CK46" s="862"/>
      <c r="CL46" s="862"/>
      <c r="CM46" s="862"/>
      <c r="CN46" s="862"/>
      <c r="CO46" s="862"/>
      <c r="CP46" s="862"/>
      <c r="CQ46" s="1081">
        <f>SUM(AX46*12.5%)</f>
        <v>0</v>
      </c>
      <c r="CR46" s="862"/>
      <c r="CS46" s="862"/>
      <c r="CT46" s="862"/>
      <c r="CU46" s="73">
        <f t="shared" ref="CU46" si="99">SUM(CI46:CT46)</f>
        <v>0</v>
      </c>
      <c r="CV46" s="862"/>
      <c r="CW46" s="862"/>
      <c r="CX46" s="862"/>
      <c r="CY46" s="862"/>
      <c r="CZ46" s="862"/>
      <c r="DA46" s="862"/>
      <c r="DB46" s="862"/>
      <c r="DC46" s="862"/>
      <c r="DD46" s="1081"/>
      <c r="DE46" s="862"/>
      <c r="DF46" s="862"/>
      <c r="DG46" s="862"/>
      <c r="DH46" s="73">
        <f t="shared" ref="DH46:DH49" si="100">SUM(CV46:DG46)</f>
        <v>0</v>
      </c>
    </row>
    <row r="47" spans="1:118" s="37" customFormat="1" ht="24.75" customHeight="1" x14ac:dyDescent="0.2">
      <c r="A47" s="864"/>
      <c r="B47" s="673" t="s">
        <v>471</v>
      </c>
      <c r="C47" s="205" t="s">
        <v>128</v>
      </c>
      <c r="D47" s="859">
        <f>48*12</f>
        <v>576</v>
      </c>
      <c r="E47" s="695">
        <v>48</v>
      </c>
      <c r="F47" s="695">
        <v>48</v>
      </c>
      <c r="G47" s="695">
        <v>48</v>
      </c>
      <c r="H47" s="30">
        <v>48</v>
      </c>
      <c r="I47" s="30">
        <v>48</v>
      </c>
      <c r="J47" s="30">
        <v>48</v>
      </c>
      <c r="K47" s="30">
        <v>48</v>
      </c>
      <c r="L47" s="30">
        <v>48</v>
      </c>
      <c r="M47" s="1136">
        <v>48</v>
      </c>
      <c r="N47" s="1136">
        <v>48</v>
      </c>
      <c r="O47" s="1136"/>
      <c r="P47" s="1136"/>
      <c r="Q47" s="1136"/>
      <c r="R47" s="1136">
        <v>48</v>
      </c>
      <c r="S47" s="1136"/>
      <c r="T47" s="1531">
        <v>48</v>
      </c>
      <c r="U47" s="1136"/>
      <c r="V47" s="31">
        <f>SUM(E47:U47)</f>
        <v>576</v>
      </c>
      <c r="W47" s="859" t="s">
        <v>129</v>
      </c>
      <c r="X47" s="696">
        <v>200000</v>
      </c>
      <c r="Y47" s="696">
        <v>200000</v>
      </c>
      <c r="Z47" s="696">
        <v>200000</v>
      </c>
      <c r="AA47" s="696">
        <v>200000</v>
      </c>
      <c r="AB47" s="696">
        <v>200000</v>
      </c>
      <c r="AC47" s="696">
        <v>200000</v>
      </c>
      <c r="AD47" s="696">
        <v>200000</v>
      </c>
      <c r="AE47" s="696">
        <v>200000</v>
      </c>
      <c r="AF47" s="861">
        <v>200000</v>
      </c>
      <c r="AG47" s="1230">
        <v>200000</v>
      </c>
      <c r="AH47" s="1230">
        <v>200000</v>
      </c>
      <c r="AI47" s="861"/>
      <c r="AJ47" s="861"/>
      <c r="AK47" s="1230"/>
      <c r="AL47" s="1230">
        <v>200000</v>
      </c>
      <c r="AM47" s="1230"/>
      <c r="AN47" s="1532">
        <v>200000</v>
      </c>
      <c r="AO47" s="1230"/>
      <c r="AP47" s="1304">
        <f t="shared" ref="AP47:AP53" si="101">SUM(V47*X47)</f>
        <v>115200000</v>
      </c>
      <c r="AQ47" s="862">
        <f t="shared" ref="AQ47:AQ64" si="102">Y47*E47</f>
        <v>9600000</v>
      </c>
      <c r="AR47" s="862">
        <f t="shared" ref="AR47:AR64" si="103">Z47*F47</f>
        <v>9600000</v>
      </c>
      <c r="AS47" s="862">
        <f t="shared" ref="AS47:AS64" si="104">AA47*G47</f>
        <v>9600000</v>
      </c>
      <c r="AT47" s="862">
        <f t="shared" ref="AT47:AT64" si="105">AB47*H47</f>
        <v>9600000</v>
      </c>
      <c r="AU47" s="862">
        <f t="shared" ref="AU47:AU64" si="106">AC47*I47</f>
        <v>9600000</v>
      </c>
      <c r="AV47" s="862">
        <f t="shared" ref="AV47:AV64" si="107">AD47*J47</f>
        <v>9600000</v>
      </c>
      <c r="AW47" s="862">
        <f>AE47*K47</f>
        <v>9600000</v>
      </c>
      <c r="AX47" s="862">
        <f t="shared" ref="AX47:AX50" si="108">AF47*L47</f>
        <v>9600000</v>
      </c>
      <c r="AY47" s="1128">
        <f t="shared" ref="AY47:AY64" si="109">AG47*M47</f>
        <v>9600000</v>
      </c>
      <c r="AZ47" s="1128">
        <f t="shared" ref="AZ47:AZ64" si="110">AH47*N47</f>
        <v>9600000</v>
      </c>
      <c r="BA47" s="862">
        <f>AI47*O47</f>
        <v>0</v>
      </c>
      <c r="BB47" s="862">
        <f>AJ47*P47</f>
        <v>0</v>
      </c>
      <c r="BC47" s="1128">
        <f t="shared" ref="BC47:BG48" si="111">AK47*Q47</f>
        <v>0</v>
      </c>
      <c r="BD47" s="1128">
        <f t="shared" si="111"/>
        <v>9600000</v>
      </c>
      <c r="BE47" s="1128">
        <f t="shared" si="111"/>
        <v>0</v>
      </c>
      <c r="BF47" s="1533">
        <f t="shared" si="111"/>
        <v>9600000</v>
      </c>
      <c r="BG47" s="1128">
        <f t="shared" si="111"/>
        <v>0</v>
      </c>
      <c r="BH47" s="863">
        <f>SUM(AQ47:BG47)</f>
        <v>115200000</v>
      </c>
      <c r="BI47" s="862"/>
      <c r="BJ47" s="862"/>
      <c r="BK47" s="862"/>
      <c r="BL47" s="862"/>
      <c r="BM47" s="862"/>
      <c r="BN47" s="862"/>
      <c r="BO47" s="862"/>
      <c r="BP47" s="862"/>
      <c r="BQ47" s="862"/>
      <c r="BR47" s="862"/>
      <c r="BS47" s="862"/>
      <c r="BT47" s="862"/>
      <c r="BU47" s="862"/>
      <c r="BV47" s="862"/>
      <c r="BW47" s="862"/>
      <c r="BX47" s="862"/>
      <c r="BY47" s="862"/>
      <c r="BZ47" s="863">
        <f>SUM(BI47:BY47)</f>
        <v>0</v>
      </c>
      <c r="CA47" s="698">
        <f>AP47-BH47-BZ47</f>
        <v>0</v>
      </c>
      <c r="CB47" s="681">
        <f>X47*D47</f>
        <v>115200000</v>
      </c>
      <c r="CC47" s="682">
        <f>CB47-BH47-BZ47</f>
        <v>0</v>
      </c>
      <c r="CD47" s="630">
        <f>SUM(V47/D47)</f>
        <v>1</v>
      </c>
      <c r="CE47" s="1081">
        <f>AY47-BQ47</f>
        <v>9600000</v>
      </c>
      <c r="CF47" s="1081">
        <f>200000*48</f>
        <v>9600000</v>
      </c>
      <c r="CG47" s="1107">
        <f>SUM(CE47-CF47)</f>
        <v>0</v>
      </c>
      <c r="CH47" s="1084"/>
      <c r="CI47" s="862"/>
      <c r="CJ47" s="862"/>
      <c r="CK47" s="862"/>
      <c r="CL47" s="862"/>
      <c r="CM47" s="862"/>
      <c r="CN47" s="862"/>
      <c r="CO47" s="862"/>
      <c r="CP47" s="862"/>
      <c r="CQ47" s="1081"/>
      <c r="CR47" s="862"/>
      <c r="CS47" s="862"/>
      <c r="CT47" s="862"/>
      <c r="CU47" s="73">
        <f t="shared" ref="CU47:CU49" si="112">SUM(CI47:CT47)</f>
        <v>0</v>
      </c>
      <c r="CV47" s="862"/>
      <c r="CW47" s="862"/>
      <c r="CX47" s="862"/>
      <c r="CY47" s="862"/>
      <c r="CZ47" s="862"/>
      <c r="DA47" s="862"/>
      <c r="DB47" s="862"/>
      <c r="DC47" s="862"/>
      <c r="DD47" s="1081"/>
      <c r="DE47" s="862"/>
      <c r="DF47" s="862"/>
      <c r="DG47" s="862"/>
      <c r="DH47" s="73">
        <f t="shared" si="100"/>
        <v>0</v>
      </c>
    </row>
    <row r="48" spans="1:118" s="37" customFormat="1" ht="31.5" customHeight="1" x14ac:dyDescent="0.2">
      <c r="A48" s="28"/>
      <c r="B48" s="1059" t="s">
        <v>472</v>
      </c>
      <c r="C48" s="29" t="s">
        <v>128</v>
      </c>
      <c r="D48" s="859">
        <v>24</v>
      </c>
      <c r="E48" s="30">
        <v>2</v>
      </c>
      <c r="F48" s="30">
        <v>2</v>
      </c>
      <c r="G48" s="30">
        <v>2</v>
      </c>
      <c r="H48" s="30">
        <v>2</v>
      </c>
      <c r="I48" s="30">
        <v>2</v>
      </c>
      <c r="J48" s="30">
        <v>2</v>
      </c>
      <c r="K48" s="30">
        <v>2</v>
      </c>
      <c r="L48" s="30">
        <v>2</v>
      </c>
      <c r="M48" s="1136">
        <v>2</v>
      </c>
      <c r="N48" s="1136">
        <v>2</v>
      </c>
      <c r="O48" s="1136"/>
      <c r="P48" s="1136"/>
      <c r="Q48" s="1136"/>
      <c r="R48" s="1136">
        <v>2</v>
      </c>
      <c r="S48" s="1136"/>
      <c r="T48" s="1531">
        <v>2</v>
      </c>
      <c r="U48" s="1136"/>
      <c r="V48" s="31">
        <f>SUM(E48:U48)</f>
        <v>24</v>
      </c>
      <c r="W48" s="859" t="s">
        <v>129</v>
      </c>
      <c r="X48" s="865">
        <v>400000</v>
      </c>
      <c r="Y48" s="865">
        <v>400000</v>
      </c>
      <c r="Z48" s="865">
        <v>400000</v>
      </c>
      <c r="AA48" s="865">
        <v>400000</v>
      </c>
      <c r="AB48" s="865">
        <v>400000</v>
      </c>
      <c r="AC48" s="865">
        <v>400000</v>
      </c>
      <c r="AD48" s="865">
        <v>400000</v>
      </c>
      <c r="AE48" s="865">
        <v>400000</v>
      </c>
      <c r="AF48" s="861">
        <v>400000</v>
      </c>
      <c r="AG48" s="1230">
        <v>400000</v>
      </c>
      <c r="AH48" s="1230">
        <v>400000</v>
      </c>
      <c r="AI48" s="861"/>
      <c r="AJ48" s="861"/>
      <c r="AK48" s="1230"/>
      <c r="AL48" s="1230">
        <v>400000</v>
      </c>
      <c r="AM48" s="1230"/>
      <c r="AN48" s="1532">
        <v>400000</v>
      </c>
      <c r="AO48" s="1230"/>
      <c r="AP48" s="1304">
        <f t="shared" si="101"/>
        <v>9600000</v>
      </c>
      <c r="AQ48" s="862">
        <f t="shared" si="102"/>
        <v>800000</v>
      </c>
      <c r="AR48" s="862">
        <f t="shared" si="103"/>
        <v>800000</v>
      </c>
      <c r="AS48" s="862">
        <f t="shared" si="104"/>
        <v>800000</v>
      </c>
      <c r="AT48" s="862">
        <f t="shared" si="105"/>
        <v>800000</v>
      </c>
      <c r="AU48" s="862">
        <f t="shared" si="106"/>
        <v>800000</v>
      </c>
      <c r="AV48" s="862">
        <f t="shared" si="107"/>
        <v>800000</v>
      </c>
      <c r="AW48" s="862">
        <f>AE48*K48</f>
        <v>800000</v>
      </c>
      <c r="AX48" s="862">
        <f t="shared" si="108"/>
        <v>800000</v>
      </c>
      <c r="AY48" s="1128">
        <f t="shared" si="109"/>
        <v>800000</v>
      </c>
      <c r="AZ48" s="1128">
        <f t="shared" si="110"/>
        <v>800000</v>
      </c>
      <c r="BA48" s="862">
        <f>AI48*O48</f>
        <v>0</v>
      </c>
      <c r="BB48" s="862">
        <f>AJ48*P48</f>
        <v>0</v>
      </c>
      <c r="BC48" s="1128">
        <f t="shared" si="111"/>
        <v>0</v>
      </c>
      <c r="BD48" s="1128">
        <f t="shared" si="111"/>
        <v>800000</v>
      </c>
      <c r="BE48" s="1128">
        <f t="shared" si="111"/>
        <v>0</v>
      </c>
      <c r="BF48" s="1533">
        <f t="shared" si="111"/>
        <v>800000</v>
      </c>
      <c r="BG48" s="1128">
        <f t="shared" si="111"/>
        <v>0</v>
      </c>
      <c r="BH48" s="863">
        <f>SUM(AQ48:BG48)</f>
        <v>9600000</v>
      </c>
      <c r="BI48" s="862"/>
      <c r="BJ48" s="862"/>
      <c r="BK48" s="862"/>
      <c r="BL48" s="862"/>
      <c r="BM48" s="862"/>
      <c r="BN48" s="862"/>
      <c r="BO48" s="862"/>
      <c r="BP48" s="862"/>
      <c r="BQ48" s="862"/>
      <c r="BR48" s="862"/>
      <c r="BS48" s="862"/>
      <c r="BT48" s="862"/>
      <c r="BU48" s="862"/>
      <c r="BV48" s="862"/>
      <c r="BW48" s="862"/>
      <c r="BX48" s="862"/>
      <c r="BY48" s="862"/>
      <c r="BZ48" s="863">
        <f>SUM(BI48:BY48)</f>
        <v>0</v>
      </c>
      <c r="CA48" s="698">
        <f>AP48-BH48-BZ48</f>
        <v>0</v>
      </c>
      <c r="CB48" s="687">
        <f>X48*D48</f>
        <v>9600000</v>
      </c>
      <c r="CC48" s="688">
        <f>CB48-BH48-BZ48</f>
        <v>0</v>
      </c>
      <c r="CD48" s="630">
        <f>SUM(V48/D48)</f>
        <v>1</v>
      </c>
      <c r="CE48" s="1081">
        <f>AY48-BQ48</f>
        <v>800000</v>
      </c>
      <c r="CF48" s="1081">
        <f>400000*2</f>
        <v>800000</v>
      </c>
      <c r="CG48" s="1107">
        <f t="shared" ref="CG48" si="113">SUM(CE48-CF48)</f>
        <v>0</v>
      </c>
      <c r="CH48" s="1084"/>
      <c r="CI48" s="862"/>
      <c r="CJ48" s="862"/>
      <c r="CK48" s="862"/>
      <c r="CL48" s="862"/>
      <c r="CM48" s="862"/>
      <c r="CN48" s="862"/>
      <c r="CO48" s="862"/>
      <c r="CP48" s="862"/>
      <c r="CQ48" s="1081"/>
      <c r="CR48" s="862"/>
      <c r="CS48" s="862"/>
      <c r="CT48" s="862"/>
      <c r="CU48" s="73">
        <f t="shared" si="112"/>
        <v>0</v>
      </c>
      <c r="CV48" s="862"/>
      <c r="CW48" s="862"/>
      <c r="CX48" s="862"/>
      <c r="CY48" s="862"/>
      <c r="CZ48" s="862"/>
      <c r="DA48" s="862"/>
      <c r="DB48" s="862"/>
      <c r="DC48" s="862"/>
      <c r="DD48" s="1081"/>
      <c r="DE48" s="862"/>
      <c r="DF48" s="862"/>
      <c r="DG48" s="862"/>
      <c r="DH48" s="73">
        <f t="shared" si="100"/>
        <v>0</v>
      </c>
    </row>
    <row r="49" spans="1:112" s="37" customFormat="1" ht="31.5" customHeight="1" x14ac:dyDescent="0.2">
      <c r="A49" s="28">
        <v>2</v>
      </c>
      <c r="B49" s="866" t="s">
        <v>473</v>
      </c>
      <c r="C49" s="29"/>
      <c r="D49" s="699"/>
      <c r="E49" s="695"/>
      <c r="F49" s="695"/>
      <c r="G49" s="30"/>
      <c r="H49" s="30"/>
      <c r="I49" s="30"/>
      <c r="J49" s="30"/>
      <c r="K49" s="30"/>
      <c r="L49" s="30"/>
      <c r="M49" s="1136"/>
      <c r="N49" s="1136"/>
      <c r="O49" s="1136"/>
      <c r="P49" s="1136"/>
      <c r="Q49" s="1136"/>
      <c r="R49" s="1136"/>
      <c r="S49" s="1136"/>
      <c r="T49" s="1531"/>
      <c r="U49" s="1136"/>
      <c r="V49" s="31"/>
      <c r="W49" s="867"/>
      <c r="X49" s="697"/>
      <c r="Y49" s="697"/>
      <c r="Z49" s="697"/>
      <c r="AA49" s="861"/>
      <c r="AB49" s="861"/>
      <c r="AC49" s="861"/>
      <c r="AD49" s="861"/>
      <c r="AE49" s="861"/>
      <c r="AF49" s="861"/>
      <c r="AG49" s="1230"/>
      <c r="AH49" s="1230"/>
      <c r="AI49" s="861"/>
      <c r="AJ49" s="861"/>
      <c r="AK49" s="1230"/>
      <c r="AL49" s="1312"/>
      <c r="AM49" s="1230"/>
      <c r="AN49" s="1532"/>
      <c r="AO49" s="1230"/>
      <c r="AP49" s="1304"/>
      <c r="AQ49" s="862"/>
      <c r="AR49" s="862"/>
      <c r="AS49" s="862"/>
      <c r="AT49" s="862"/>
      <c r="AU49" s="862"/>
      <c r="AV49" s="862"/>
      <c r="AW49" s="862"/>
      <c r="AX49" s="862"/>
      <c r="AY49" s="1128"/>
      <c r="AZ49" s="1128"/>
      <c r="BA49" s="862"/>
      <c r="BB49" s="862"/>
      <c r="BC49" s="1128"/>
      <c r="BD49" s="1128"/>
      <c r="BE49" s="1128"/>
      <c r="BF49" s="1533"/>
      <c r="BG49" s="1128"/>
      <c r="BH49" s="863"/>
      <c r="BI49" s="862"/>
      <c r="BJ49" s="862"/>
      <c r="BK49" s="862"/>
      <c r="BL49" s="862"/>
      <c r="BM49" s="862"/>
      <c r="BN49" s="862"/>
      <c r="BO49" s="862"/>
      <c r="BP49" s="862"/>
      <c r="BQ49" s="862"/>
      <c r="BR49" s="862"/>
      <c r="BS49" s="862"/>
      <c r="BT49" s="862"/>
      <c r="BU49" s="862"/>
      <c r="BV49" s="862"/>
      <c r="BW49" s="862"/>
      <c r="BX49" s="862"/>
      <c r="BY49" s="862"/>
      <c r="BZ49" s="863"/>
      <c r="CA49" s="698"/>
      <c r="CB49" s="687"/>
      <c r="CC49" s="688"/>
      <c r="CD49" s="630"/>
      <c r="CE49" s="1081"/>
      <c r="CF49" s="1081"/>
      <c r="CG49" s="1107"/>
      <c r="CH49" s="1084"/>
      <c r="CI49" s="862"/>
      <c r="CJ49" s="862"/>
      <c r="CK49" s="862"/>
      <c r="CL49" s="862"/>
      <c r="CM49" s="862"/>
      <c r="CN49" s="862"/>
      <c r="CO49" s="862"/>
      <c r="CP49" s="862"/>
      <c r="CQ49" s="1081"/>
      <c r="CR49" s="862"/>
      <c r="CS49" s="862"/>
      <c r="CT49" s="862"/>
      <c r="CU49" s="73">
        <f t="shared" si="112"/>
        <v>0</v>
      </c>
      <c r="CV49" s="862"/>
      <c r="CW49" s="862"/>
      <c r="CX49" s="862"/>
      <c r="CY49" s="862"/>
      <c r="CZ49" s="862"/>
      <c r="DA49" s="862"/>
      <c r="DB49" s="862"/>
      <c r="DC49" s="862"/>
      <c r="DD49" s="1081"/>
      <c r="DE49" s="862"/>
      <c r="DF49" s="862"/>
      <c r="DG49" s="862"/>
      <c r="DH49" s="73">
        <f t="shared" si="100"/>
        <v>0</v>
      </c>
    </row>
    <row r="50" spans="1:112" s="37" customFormat="1" ht="32.25" customHeight="1" x14ac:dyDescent="0.2">
      <c r="A50" s="28"/>
      <c r="B50" s="672" t="s">
        <v>474</v>
      </c>
      <c r="C50" s="29" t="s">
        <v>128</v>
      </c>
      <c r="D50" s="700">
        <v>60</v>
      </c>
      <c r="E50" s="695">
        <v>5</v>
      </c>
      <c r="F50" s="695">
        <v>5</v>
      </c>
      <c r="G50" s="695">
        <v>5</v>
      </c>
      <c r="H50" s="30">
        <v>5</v>
      </c>
      <c r="I50" s="30">
        <v>5</v>
      </c>
      <c r="J50" s="30">
        <v>5</v>
      </c>
      <c r="K50" s="30">
        <v>5</v>
      </c>
      <c r="L50" s="30">
        <v>5</v>
      </c>
      <c r="M50" s="1136">
        <v>5</v>
      </c>
      <c r="N50" s="1136">
        <v>5</v>
      </c>
      <c r="O50" s="1136"/>
      <c r="P50" s="1136"/>
      <c r="Q50" s="1136"/>
      <c r="R50" s="1136">
        <v>5</v>
      </c>
      <c r="S50" s="1136"/>
      <c r="T50" s="1531">
        <v>5</v>
      </c>
      <c r="U50" s="1136"/>
      <c r="V50" s="31">
        <f>SUM(E50:U50)</f>
        <v>60</v>
      </c>
      <c r="W50" s="859" t="s">
        <v>477</v>
      </c>
      <c r="X50" s="696">
        <v>350000</v>
      </c>
      <c r="Y50" s="696">
        <v>350000</v>
      </c>
      <c r="Z50" s="696">
        <v>350000</v>
      </c>
      <c r="AA50" s="696">
        <v>350000</v>
      </c>
      <c r="AB50" s="696">
        <v>350000</v>
      </c>
      <c r="AC50" s="696">
        <v>350000</v>
      </c>
      <c r="AD50" s="696">
        <v>350000</v>
      </c>
      <c r="AE50" s="696">
        <v>350000</v>
      </c>
      <c r="AF50" s="697">
        <v>350000</v>
      </c>
      <c r="AG50" s="1312">
        <v>350000</v>
      </c>
      <c r="AH50" s="1312">
        <v>350000</v>
      </c>
      <c r="AI50" s="697"/>
      <c r="AJ50" s="697"/>
      <c r="AK50" s="1312"/>
      <c r="AL50" s="1312">
        <v>350000</v>
      </c>
      <c r="AM50" s="1312"/>
      <c r="AN50" s="1534">
        <v>350000</v>
      </c>
      <c r="AO50" s="1312"/>
      <c r="AP50" s="1304">
        <f t="shared" si="101"/>
        <v>21000000</v>
      </c>
      <c r="AQ50" s="862">
        <f t="shared" si="102"/>
        <v>1750000</v>
      </c>
      <c r="AR50" s="862">
        <f t="shared" si="103"/>
        <v>1750000</v>
      </c>
      <c r="AS50" s="862">
        <f t="shared" si="104"/>
        <v>1750000</v>
      </c>
      <c r="AT50" s="862">
        <f t="shared" si="105"/>
        <v>1750000</v>
      </c>
      <c r="AU50" s="862">
        <f t="shared" si="106"/>
        <v>1750000</v>
      </c>
      <c r="AV50" s="862">
        <f t="shared" si="107"/>
        <v>1750000</v>
      </c>
      <c r="AW50" s="862">
        <f>AE50*K50</f>
        <v>1750000</v>
      </c>
      <c r="AX50" s="862">
        <f t="shared" si="108"/>
        <v>1750000</v>
      </c>
      <c r="AY50" s="1128">
        <f t="shared" si="109"/>
        <v>1750000</v>
      </c>
      <c r="AZ50" s="1128">
        <f t="shared" si="110"/>
        <v>1750000</v>
      </c>
      <c r="BA50" s="862">
        <f>AI50*O50</f>
        <v>0</v>
      </c>
      <c r="BB50" s="862">
        <f>AJ50*P50</f>
        <v>0</v>
      </c>
      <c r="BC50" s="1128">
        <f t="shared" ref="BC50:BG51" si="114">AK50*Q50</f>
        <v>0</v>
      </c>
      <c r="BD50" s="1128">
        <f t="shared" si="114"/>
        <v>1750000</v>
      </c>
      <c r="BE50" s="1128">
        <f t="shared" si="114"/>
        <v>0</v>
      </c>
      <c r="BF50" s="1533">
        <f t="shared" si="114"/>
        <v>1750000</v>
      </c>
      <c r="BG50" s="1128">
        <f t="shared" si="114"/>
        <v>0</v>
      </c>
      <c r="BH50" s="863">
        <f>SUM(AQ50:BG50)</f>
        <v>21000000</v>
      </c>
      <c r="BI50" s="862"/>
      <c r="BJ50" s="862"/>
      <c r="BK50" s="862"/>
      <c r="BL50" s="862"/>
      <c r="BM50" s="862"/>
      <c r="BN50" s="862"/>
      <c r="BO50" s="862"/>
      <c r="BP50" s="862"/>
      <c r="BQ50" s="862"/>
      <c r="BR50" s="862"/>
      <c r="BS50" s="862"/>
      <c r="BT50" s="862"/>
      <c r="BU50" s="862"/>
      <c r="BV50" s="862"/>
      <c r="BW50" s="862"/>
      <c r="BX50" s="862"/>
      <c r="BY50" s="862"/>
      <c r="BZ50" s="863">
        <f>SUM(BI50:BY50)</f>
        <v>0</v>
      </c>
      <c r="CA50" s="698">
        <f>AP50-BH50-BZ50</f>
        <v>0</v>
      </c>
      <c r="CB50" s="687">
        <f>X50*D50</f>
        <v>21000000</v>
      </c>
      <c r="CC50" s="688">
        <f>CB50-BH50-BZ50</f>
        <v>0</v>
      </c>
      <c r="CD50" s="630">
        <f>SUM(V50/D50)</f>
        <v>1</v>
      </c>
      <c r="CE50" s="1081">
        <f t="shared" ref="CE50:CE58" si="115">AY50-BQ50</f>
        <v>1750000</v>
      </c>
      <c r="CF50" s="1081">
        <f>350000*5</f>
        <v>1750000</v>
      </c>
      <c r="CG50" s="1107">
        <f t="shared" ref="CG50:CG79" si="116">SUM(CE50-CF50)</f>
        <v>0</v>
      </c>
      <c r="CH50" s="1084"/>
      <c r="CI50" s="862"/>
      <c r="CJ50" s="862"/>
      <c r="CK50" s="862"/>
      <c r="CL50" s="862"/>
      <c r="CM50" s="862"/>
      <c r="CN50" s="862"/>
      <c r="CO50" s="862"/>
      <c r="CP50" s="862"/>
      <c r="CQ50" s="1081"/>
      <c r="CR50" s="862"/>
      <c r="CS50" s="862"/>
      <c r="CT50" s="862"/>
      <c r="CU50" s="73">
        <f t="shared" ref="CU50:CU80" si="117">SUM(CI50:CT50)</f>
        <v>0</v>
      </c>
      <c r="CV50" s="862"/>
      <c r="CW50" s="862"/>
      <c r="CX50" s="862"/>
      <c r="CY50" s="862"/>
      <c r="CZ50" s="862"/>
      <c r="DA50" s="862"/>
      <c r="DB50" s="862"/>
      <c r="DC50" s="862"/>
      <c r="DD50" s="1081"/>
      <c r="DE50" s="862"/>
      <c r="DF50" s="862"/>
      <c r="DG50" s="862"/>
      <c r="DH50" s="73">
        <f t="shared" ref="DH50:DH80" si="118">SUM(CV50:DG50)</f>
        <v>0</v>
      </c>
    </row>
    <row r="51" spans="1:112" s="37" customFormat="1" ht="32.25" customHeight="1" x14ac:dyDescent="0.2">
      <c r="A51" s="28"/>
      <c r="B51" s="672" t="s">
        <v>597</v>
      </c>
      <c r="C51" s="29" t="s">
        <v>128</v>
      </c>
      <c r="D51" s="700">
        <v>60</v>
      </c>
      <c r="E51" s="695">
        <v>5</v>
      </c>
      <c r="F51" s="695">
        <v>5</v>
      </c>
      <c r="G51" s="695">
        <v>5</v>
      </c>
      <c r="H51" s="30">
        <v>5</v>
      </c>
      <c r="I51" s="30">
        <v>5</v>
      </c>
      <c r="J51" s="30">
        <v>5</v>
      </c>
      <c r="K51" s="30">
        <v>5</v>
      </c>
      <c r="L51" s="30">
        <v>5</v>
      </c>
      <c r="M51" s="1136">
        <v>5</v>
      </c>
      <c r="N51" s="1136">
        <v>5</v>
      </c>
      <c r="O51" s="1136"/>
      <c r="P51" s="1136"/>
      <c r="Q51" s="1136"/>
      <c r="R51" s="1136">
        <v>5</v>
      </c>
      <c r="S51" s="1136"/>
      <c r="T51" s="1531">
        <v>5</v>
      </c>
      <c r="U51" s="1136"/>
      <c r="V51" s="31">
        <f>SUM(E51:U51)</f>
        <v>60</v>
      </c>
      <c r="W51" s="859" t="s">
        <v>477</v>
      </c>
      <c r="X51" s="696">
        <v>350000</v>
      </c>
      <c r="Y51" s="696">
        <v>350000</v>
      </c>
      <c r="Z51" s="696">
        <v>350000</v>
      </c>
      <c r="AA51" s="696">
        <v>350000</v>
      </c>
      <c r="AB51" s="696">
        <v>350000</v>
      </c>
      <c r="AC51" s="696">
        <v>350000</v>
      </c>
      <c r="AD51" s="696">
        <v>350000</v>
      </c>
      <c r="AE51" s="696">
        <v>350000</v>
      </c>
      <c r="AF51" s="697">
        <v>350000</v>
      </c>
      <c r="AG51" s="1312">
        <v>350000</v>
      </c>
      <c r="AH51" s="1312">
        <v>350000</v>
      </c>
      <c r="AI51" s="697"/>
      <c r="AJ51" s="697"/>
      <c r="AK51" s="1312"/>
      <c r="AL51" s="1312">
        <v>350000</v>
      </c>
      <c r="AM51" s="1312"/>
      <c r="AN51" s="1534">
        <v>350000</v>
      </c>
      <c r="AO51" s="1312"/>
      <c r="AP51" s="1304">
        <f t="shared" ref="AP51" si="119">SUM(V51*X51)</f>
        <v>21000000</v>
      </c>
      <c r="AQ51" s="862">
        <f t="shared" ref="AQ51" si="120">Y51*E51</f>
        <v>1750000</v>
      </c>
      <c r="AR51" s="862">
        <f t="shared" ref="AR51" si="121">Z51*F51</f>
        <v>1750000</v>
      </c>
      <c r="AS51" s="862">
        <f t="shared" ref="AS51" si="122">AA51*G51</f>
        <v>1750000</v>
      </c>
      <c r="AT51" s="862">
        <f t="shared" ref="AT51" si="123">AB51*H51</f>
        <v>1750000</v>
      </c>
      <c r="AU51" s="862">
        <f t="shared" ref="AU51" si="124">AC51*I51</f>
        <v>1750000</v>
      </c>
      <c r="AV51" s="862">
        <f t="shared" ref="AV51" si="125">AD51*J51</f>
        <v>1750000</v>
      </c>
      <c r="AW51" s="862">
        <f t="shared" ref="AW51" si="126">AE51*K51</f>
        <v>1750000</v>
      </c>
      <c r="AX51" s="862">
        <f t="shared" ref="AX51" si="127">AF51*L51</f>
        <v>1750000</v>
      </c>
      <c r="AY51" s="1128">
        <f t="shared" ref="AY51" si="128">AG51*M51</f>
        <v>1750000</v>
      </c>
      <c r="AZ51" s="1128">
        <f t="shared" ref="AZ51" si="129">AH51*N51</f>
        <v>1750000</v>
      </c>
      <c r="BA51" s="862">
        <f>AI51*O51</f>
        <v>0</v>
      </c>
      <c r="BB51" s="862">
        <f>AJ51*P51</f>
        <v>0</v>
      </c>
      <c r="BC51" s="1128">
        <f t="shared" si="114"/>
        <v>0</v>
      </c>
      <c r="BD51" s="1128">
        <f t="shared" si="114"/>
        <v>1750000</v>
      </c>
      <c r="BE51" s="1128">
        <f t="shared" si="114"/>
        <v>0</v>
      </c>
      <c r="BF51" s="1533">
        <f t="shared" si="114"/>
        <v>1750000</v>
      </c>
      <c r="BG51" s="1128">
        <f t="shared" si="114"/>
        <v>0</v>
      </c>
      <c r="BH51" s="863">
        <f>SUM(AQ51:BG51)</f>
        <v>21000000</v>
      </c>
      <c r="BI51" s="862"/>
      <c r="BJ51" s="862"/>
      <c r="BK51" s="862"/>
      <c r="BL51" s="862"/>
      <c r="BM51" s="862"/>
      <c r="BN51" s="862"/>
      <c r="BO51" s="862"/>
      <c r="BP51" s="862"/>
      <c r="BQ51" s="862"/>
      <c r="BR51" s="862"/>
      <c r="BS51" s="862"/>
      <c r="BT51" s="862"/>
      <c r="BU51" s="862"/>
      <c r="BV51" s="862"/>
      <c r="BW51" s="862"/>
      <c r="BX51" s="862"/>
      <c r="BY51" s="862"/>
      <c r="BZ51" s="863">
        <f>SUM(BI51:BY51)</f>
        <v>0</v>
      </c>
      <c r="CA51" s="698">
        <f>AP51-BH51-BZ51</f>
        <v>0</v>
      </c>
      <c r="CB51" s="687">
        <f>X51*D51</f>
        <v>21000000</v>
      </c>
      <c r="CC51" s="688">
        <f>CB51-BH51-BZ51</f>
        <v>0</v>
      </c>
      <c r="CD51" s="630">
        <f>SUM(V51/D51)</f>
        <v>1</v>
      </c>
      <c r="CE51" s="1081">
        <f t="shared" si="115"/>
        <v>1750000</v>
      </c>
      <c r="CF51" s="1081">
        <f>350000*5</f>
        <v>1750000</v>
      </c>
      <c r="CG51" s="1107">
        <f t="shared" si="116"/>
        <v>0</v>
      </c>
      <c r="CH51" s="1084"/>
      <c r="CI51" s="862"/>
      <c r="CJ51" s="862"/>
      <c r="CK51" s="862"/>
      <c r="CL51" s="862"/>
      <c r="CM51" s="862"/>
      <c r="CN51" s="862"/>
      <c r="CO51" s="862"/>
      <c r="CP51" s="862"/>
      <c r="CQ51" s="1081"/>
      <c r="CR51" s="862"/>
      <c r="CS51" s="862"/>
      <c r="CT51" s="862"/>
      <c r="CU51" s="73">
        <f t="shared" si="117"/>
        <v>0</v>
      </c>
      <c r="CV51" s="862"/>
      <c r="CW51" s="862"/>
      <c r="CX51" s="862"/>
      <c r="CY51" s="862"/>
      <c r="CZ51" s="862"/>
      <c r="DA51" s="862"/>
      <c r="DB51" s="862"/>
      <c r="DC51" s="862"/>
      <c r="DD51" s="1081"/>
      <c r="DE51" s="862"/>
      <c r="DF51" s="862"/>
      <c r="DG51" s="862"/>
      <c r="DH51" s="73">
        <f t="shared" si="118"/>
        <v>0</v>
      </c>
    </row>
    <row r="52" spans="1:112" s="37" customFormat="1" ht="32.25" customHeight="1" x14ac:dyDescent="0.2">
      <c r="A52" s="28">
        <v>3</v>
      </c>
      <c r="B52" s="868" t="s">
        <v>475</v>
      </c>
      <c r="C52" s="869"/>
      <c r="D52" s="851"/>
      <c r="E52" s="870"/>
      <c r="F52" s="870"/>
      <c r="G52" s="852"/>
      <c r="H52" s="852"/>
      <c r="I52" s="852"/>
      <c r="J52" s="852"/>
      <c r="K52" s="852"/>
      <c r="L52" s="852"/>
      <c r="M52" s="1535"/>
      <c r="N52" s="1535"/>
      <c r="O52" s="1535"/>
      <c r="P52" s="1535"/>
      <c r="Q52" s="1535"/>
      <c r="R52" s="1535"/>
      <c r="S52" s="1535"/>
      <c r="T52" s="1536"/>
      <c r="U52" s="1535"/>
      <c r="V52" s="853"/>
      <c r="W52" s="871"/>
      <c r="X52" s="854"/>
      <c r="Y52" s="854"/>
      <c r="Z52" s="854"/>
      <c r="AA52" s="854"/>
      <c r="AB52" s="854"/>
      <c r="AC52" s="854"/>
      <c r="AD52" s="854"/>
      <c r="AE52" s="854"/>
      <c r="AF52" s="854"/>
      <c r="AG52" s="1313"/>
      <c r="AH52" s="1313"/>
      <c r="AI52" s="854"/>
      <c r="AJ52" s="854"/>
      <c r="AK52" s="1313"/>
      <c r="AL52" s="1313"/>
      <c r="AM52" s="1313"/>
      <c r="AN52" s="1537"/>
      <c r="AO52" s="1313"/>
      <c r="AP52" s="1305"/>
      <c r="AQ52" s="872"/>
      <c r="AR52" s="872"/>
      <c r="AS52" s="872"/>
      <c r="AT52" s="872"/>
      <c r="AU52" s="872"/>
      <c r="AV52" s="872"/>
      <c r="AW52" s="872"/>
      <c r="AX52" s="872"/>
      <c r="AY52" s="1316"/>
      <c r="AZ52" s="1316"/>
      <c r="BA52" s="872"/>
      <c r="BB52" s="872"/>
      <c r="BC52" s="1316"/>
      <c r="BD52" s="1316"/>
      <c r="BE52" s="1316"/>
      <c r="BF52" s="1538"/>
      <c r="BG52" s="1316"/>
      <c r="BH52" s="873"/>
      <c r="BI52" s="872"/>
      <c r="BJ52" s="872"/>
      <c r="BK52" s="872"/>
      <c r="BL52" s="872"/>
      <c r="BM52" s="872"/>
      <c r="BN52" s="872"/>
      <c r="BO52" s="872"/>
      <c r="BP52" s="872"/>
      <c r="BQ52" s="872"/>
      <c r="BR52" s="872"/>
      <c r="BS52" s="872"/>
      <c r="BT52" s="872"/>
      <c r="BU52" s="872"/>
      <c r="BV52" s="872"/>
      <c r="BW52" s="872"/>
      <c r="BX52" s="872"/>
      <c r="BY52" s="872"/>
      <c r="BZ52" s="873"/>
      <c r="CA52" s="855"/>
      <c r="CB52" s="856"/>
      <c r="CC52" s="857"/>
      <c r="CD52" s="630"/>
      <c r="CE52" s="1081">
        <f t="shared" si="115"/>
        <v>0</v>
      </c>
      <c r="CF52" s="1081"/>
      <c r="CG52" s="1107">
        <f t="shared" si="116"/>
        <v>0</v>
      </c>
      <c r="CH52" s="1084"/>
      <c r="CI52" s="862"/>
      <c r="CJ52" s="862"/>
      <c r="CK52" s="862"/>
      <c r="CL52" s="862"/>
      <c r="CM52" s="862"/>
      <c r="CN52" s="862"/>
      <c r="CO52" s="862"/>
      <c r="CP52" s="862"/>
      <c r="CQ52" s="1081">
        <f t="shared" ref="CQ52:CQ80" si="130">SUM(AX52*12.5%)</f>
        <v>0</v>
      </c>
      <c r="CR52" s="862"/>
      <c r="CS52" s="862"/>
      <c r="CT52" s="862"/>
      <c r="CU52" s="73">
        <f t="shared" si="117"/>
        <v>0</v>
      </c>
      <c r="CV52" s="862"/>
      <c r="CW52" s="862"/>
      <c r="CX52" s="862"/>
      <c r="CY52" s="862"/>
      <c r="CZ52" s="862"/>
      <c r="DA52" s="862"/>
      <c r="DB52" s="862"/>
      <c r="DC52" s="862"/>
      <c r="DD52" s="1081"/>
      <c r="DE52" s="862"/>
      <c r="DF52" s="862"/>
      <c r="DG52" s="862"/>
      <c r="DH52" s="73">
        <f t="shared" si="118"/>
        <v>0</v>
      </c>
    </row>
    <row r="53" spans="1:112" s="38" customFormat="1" ht="24.75" customHeight="1" x14ac:dyDescent="0.2">
      <c r="A53" s="1596"/>
      <c r="B53" s="1597" t="s">
        <v>675</v>
      </c>
      <c r="C53" s="1598" t="s">
        <v>128</v>
      </c>
      <c r="D53" s="1599">
        <f>31*56</f>
        <v>1736</v>
      </c>
      <c r="E53" s="1600"/>
      <c r="F53" s="1600"/>
      <c r="G53" s="1127"/>
      <c r="H53" s="1127"/>
      <c r="I53" s="1127"/>
      <c r="J53" s="1127"/>
      <c r="K53" s="1127"/>
      <c r="L53" s="1127"/>
      <c r="M53" s="1200"/>
      <c r="N53" s="1200"/>
      <c r="O53" s="1200">
        <v>300</v>
      </c>
      <c r="P53" s="1127">
        <v>300</v>
      </c>
      <c r="Q53" s="1200">
        <v>300</v>
      </c>
      <c r="R53" s="1200"/>
      <c r="S53" s="1200">
        <v>300</v>
      </c>
      <c r="T53" s="1601">
        <v>480</v>
      </c>
      <c r="U53" s="1200"/>
      <c r="V53" s="1602">
        <f>SUM(E53:U53)</f>
        <v>1680</v>
      </c>
      <c r="W53" s="1603" t="s">
        <v>5</v>
      </c>
      <c r="X53" s="1604">
        <v>25000</v>
      </c>
      <c r="Y53" s="1605"/>
      <c r="Z53" s="1606"/>
      <c r="AA53" s="1606"/>
      <c r="AB53" s="1606"/>
      <c r="AC53" s="1606"/>
      <c r="AD53" s="1606"/>
      <c r="AE53" s="1606"/>
      <c r="AF53" s="1606"/>
      <c r="AG53" s="1216"/>
      <c r="AH53" s="1216"/>
      <c r="AI53" s="1606">
        <v>25000</v>
      </c>
      <c r="AJ53" s="1606">
        <v>25000</v>
      </c>
      <c r="AK53" s="1216">
        <v>25000</v>
      </c>
      <c r="AL53" s="1216"/>
      <c r="AM53" s="1216">
        <v>25000</v>
      </c>
      <c r="AN53" s="1607">
        <v>25000</v>
      </c>
      <c r="AO53" s="1216"/>
      <c r="AP53" s="1608">
        <f t="shared" si="101"/>
        <v>42000000</v>
      </c>
      <c r="AQ53" s="1123">
        <f t="shared" si="102"/>
        <v>0</v>
      </c>
      <c r="AR53" s="1123">
        <f t="shared" si="103"/>
        <v>0</v>
      </c>
      <c r="AS53" s="1123">
        <f t="shared" si="104"/>
        <v>0</v>
      </c>
      <c r="AT53" s="1123">
        <f t="shared" si="105"/>
        <v>0</v>
      </c>
      <c r="AU53" s="1123">
        <f t="shared" si="106"/>
        <v>0</v>
      </c>
      <c r="AV53" s="1123">
        <f t="shared" si="107"/>
        <v>0</v>
      </c>
      <c r="AW53" s="1123">
        <f>AE53*K53</f>
        <v>0</v>
      </c>
      <c r="AX53" s="1123">
        <f>AF53*L53</f>
        <v>0</v>
      </c>
      <c r="AY53" s="1202">
        <f t="shared" si="109"/>
        <v>0</v>
      </c>
      <c r="AZ53" s="1202">
        <f t="shared" si="110"/>
        <v>0</v>
      </c>
      <c r="BA53" s="1123">
        <f t="shared" ref="BA53:BA64" si="131">AI53*O53</f>
        <v>7500000</v>
      </c>
      <c r="BB53" s="1123">
        <f t="shared" ref="BB53:BB64" si="132">AJ53*P53</f>
        <v>7500000</v>
      </c>
      <c r="BC53" s="1202">
        <f t="shared" ref="BC53:BG64" si="133">AK53*Q53</f>
        <v>7500000</v>
      </c>
      <c r="BD53" s="1202">
        <f t="shared" si="133"/>
        <v>0</v>
      </c>
      <c r="BE53" s="1202">
        <f t="shared" si="133"/>
        <v>7500000</v>
      </c>
      <c r="BF53" s="1277">
        <f t="shared" si="133"/>
        <v>12000000</v>
      </c>
      <c r="BG53" s="1202">
        <f t="shared" si="133"/>
        <v>0</v>
      </c>
      <c r="BH53" s="1102">
        <f t="shared" ref="BH53:BH64" si="134">SUM(AQ53:BG53)</f>
        <v>42000000</v>
      </c>
      <c r="BI53" s="1123">
        <f t="shared" ref="BI53:BR60" si="135">SUM(AQ53*14%)</f>
        <v>0</v>
      </c>
      <c r="BJ53" s="1123">
        <f t="shared" si="135"/>
        <v>0</v>
      </c>
      <c r="BK53" s="1123">
        <f t="shared" si="135"/>
        <v>0</v>
      </c>
      <c r="BL53" s="1123">
        <f t="shared" si="135"/>
        <v>0</v>
      </c>
      <c r="BM53" s="1123">
        <f t="shared" si="135"/>
        <v>0</v>
      </c>
      <c r="BN53" s="1123">
        <f t="shared" si="135"/>
        <v>0</v>
      </c>
      <c r="BO53" s="1123">
        <f t="shared" si="135"/>
        <v>0</v>
      </c>
      <c r="BP53" s="1123">
        <f t="shared" si="135"/>
        <v>0</v>
      </c>
      <c r="BQ53" s="1123">
        <f t="shared" si="135"/>
        <v>0</v>
      </c>
      <c r="BR53" s="1123">
        <f t="shared" si="135"/>
        <v>0</v>
      </c>
      <c r="BS53" s="1123">
        <f t="shared" ref="BS53:BT57" si="136">SUM(BA53*12%)</f>
        <v>900000</v>
      </c>
      <c r="BT53" s="1123">
        <f t="shared" si="136"/>
        <v>900000</v>
      </c>
      <c r="BU53" s="1123">
        <f t="shared" ref="BU53:BY57" si="137">SUM(BC53*12%)</f>
        <v>900000</v>
      </c>
      <c r="BV53" s="1123">
        <f t="shared" si="137"/>
        <v>0</v>
      </c>
      <c r="BW53" s="1123">
        <f t="shared" si="137"/>
        <v>900000</v>
      </c>
      <c r="BX53" s="1123">
        <f t="shared" si="137"/>
        <v>1440000</v>
      </c>
      <c r="BY53" s="1123">
        <f t="shared" si="137"/>
        <v>0</v>
      </c>
      <c r="BZ53" s="1102">
        <f t="shared" ref="BZ53:BZ60" si="138">SUM(BI53:BY53)</f>
        <v>5040000</v>
      </c>
      <c r="CA53" s="1609">
        <f>AP53-BH53</f>
        <v>0</v>
      </c>
      <c r="CB53" s="1610">
        <f t="shared" ref="CB53:CB64" si="139">X53*D53</f>
        <v>43400000</v>
      </c>
      <c r="CC53" s="1611">
        <f t="shared" ref="CC53:CC60" si="140">CB53-BH53</f>
        <v>1400000</v>
      </c>
      <c r="CD53" s="658">
        <f t="shared" ref="CD53:CD60" si="141">SUM(V53/D53)</f>
        <v>0.967741935483871</v>
      </c>
      <c r="CE53" s="1612">
        <f t="shared" si="115"/>
        <v>0</v>
      </c>
      <c r="CF53" s="1612"/>
      <c r="CG53" s="1083">
        <f t="shared" si="116"/>
        <v>0</v>
      </c>
      <c r="CH53" s="1613">
        <f>SUM(CB53:CB60)</f>
        <v>134400000</v>
      </c>
      <c r="CI53" s="1123"/>
      <c r="CJ53" s="1123"/>
      <c r="CK53" s="1123"/>
      <c r="CL53" s="1123"/>
      <c r="CM53" s="1123"/>
      <c r="CN53" s="1123"/>
      <c r="CO53" s="1123"/>
      <c r="CP53" s="1123"/>
      <c r="CQ53" s="1612">
        <f t="shared" si="130"/>
        <v>0</v>
      </c>
      <c r="CR53" s="1123"/>
      <c r="CS53" s="1123"/>
      <c r="CT53" s="1123"/>
      <c r="CU53" s="1096">
        <f t="shared" si="117"/>
        <v>0</v>
      </c>
      <c r="CV53" s="1123"/>
      <c r="CW53" s="1123"/>
      <c r="CX53" s="1123"/>
      <c r="CY53" s="1123"/>
      <c r="CZ53" s="1123"/>
      <c r="DA53" s="1123"/>
      <c r="DB53" s="1123"/>
      <c r="DC53" s="1123"/>
      <c r="DD53" s="1612"/>
      <c r="DE53" s="1123"/>
      <c r="DF53" s="1123"/>
      <c r="DG53" s="1123"/>
      <c r="DH53" s="1096">
        <f t="shared" si="118"/>
        <v>0</v>
      </c>
    </row>
    <row r="54" spans="1:112" s="37" customFormat="1" ht="24.75" customHeight="1" x14ac:dyDescent="0.2">
      <c r="A54" s="28"/>
      <c r="B54" s="858" t="s">
        <v>676</v>
      </c>
      <c r="C54" s="29" t="s">
        <v>128</v>
      </c>
      <c r="D54" s="700">
        <f>4*56</f>
        <v>224</v>
      </c>
      <c r="E54" s="695"/>
      <c r="F54" s="695"/>
      <c r="G54" s="30"/>
      <c r="H54" s="30"/>
      <c r="I54" s="30"/>
      <c r="J54" s="30"/>
      <c r="K54" s="30"/>
      <c r="L54" s="30"/>
      <c r="M54" s="1136"/>
      <c r="N54" s="1136"/>
      <c r="O54" s="1136">
        <v>0</v>
      </c>
      <c r="P54" s="30">
        <v>0</v>
      </c>
      <c r="Q54" s="1136"/>
      <c r="R54" s="1136"/>
      <c r="S54" s="1136"/>
      <c r="T54" s="1531"/>
      <c r="U54" s="1136"/>
      <c r="V54" s="31">
        <f t="shared" ref="V54:V60" si="142">SUM(E54:U54)</f>
        <v>0</v>
      </c>
      <c r="W54" s="859" t="s">
        <v>5</v>
      </c>
      <c r="X54" s="696">
        <v>25000</v>
      </c>
      <c r="Y54" s="860"/>
      <c r="Z54" s="861"/>
      <c r="AA54" s="861"/>
      <c r="AB54" s="861"/>
      <c r="AC54" s="861"/>
      <c r="AD54" s="861"/>
      <c r="AE54" s="861"/>
      <c r="AF54" s="861"/>
      <c r="AG54" s="1230"/>
      <c r="AH54" s="1230"/>
      <c r="AI54" s="861">
        <v>0</v>
      </c>
      <c r="AJ54" s="861"/>
      <c r="AK54" s="1230"/>
      <c r="AL54" s="1230"/>
      <c r="AM54" s="1230"/>
      <c r="AN54" s="1532"/>
      <c r="AO54" s="1230"/>
      <c r="AP54" s="1304">
        <f t="shared" ref="AP54:AP60" si="143">SUM(V54*X54)</f>
        <v>0</v>
      </c>
      <c r="AQ54" s="862">
        <f t="shared" ref="AQ54:AQ60" si="144">Y54*E54</f>
        <v>0</v>
      </c>
      <c r="AR54" s="862">
        <f t="shared" ref="AR54:AR60" si="145">Z54*F54</f>
        <v>0</v>
      </c>
      <c r="AS54" s="862">
        <f t="shared" ref="AS54:AS60" si="146">AA54*G54</f>
        <v>0</v>
      </c>
      <c r="AT54" s="862">
        <f t="shared" ref="AT54:AT60" si="147">AB54*H54</f>
        <v>0</v>
      </c>
      <c r="AU54" s="862">
        <f t="shared" ref="AU54:AU60" si="148">AC54*I54</f>
        <v>0</v>
      </c>
      <c r="AV54" s="862">
        <f t="shared" ref="AV54:AV60" si="149">AD54*J54</f>
        <v>0</v>
      </c>
      <c r="AW54" s="862">
        <f t="shared" ref="AW54:AW60" si="150">AE54*K54</f>
        <v>0</v>
      </c>
      <c r="AX54" s="862">
        <f t="shared" ref="AX54:AX60" si="151">AF54*L54</f>
        <v>0</v>
      </c>
      <c r="AY54" s="1128">
        <f t="shared" ref="AY54:AY60" si="152">AG54*M54</f>
        <v>0</v>
      </c>
      <c r="AZ54" s="1128">
        <f t="shared" ref="AZ54:AZ60" si="153">AH54*N54</f>
        <v>0</v>
      </c>
      <c r="BA54" s="862">
        <f t="shared" si="131"/>
        <v>0</v>
      </c>
      <c r="BB54" s="862">
        <f t="shared" si="132"/>
        <v>0</v>
      </c>
      <c r="BC54" s="1128">
        <f t="shared" si="133"/>
        <v>0</v>
      </c>
      <c r="BD54" s="1128">
        <f t="shared" si="133"/>
        <v>0</v>
      </c>
      <c r="BE54" s="1128">
        <f t="shared" si="133"/>
        <v>0</v>
      </c>
      <c r="BF54" s="1533">
        <f t="shared" si="133"/>
        <v>0</v>
      </c>
      <c r="BG54" s="1128">
        <f t="shared" si="133"/>
        <v>0</v>
      </c>
      <c r="BH54" s="863">
        <f t="shared" si="134"/>
        <v>0</v>
      </c>
      <c r="BI54" s="862">
        <f t="shared" si="135"/>
        <v>0</v>
      </c>
      <c r="BJ54" s="862">
        <f t="shared" si="135"/>
        <v>0</v>
      </c>
      <c r="BK54" s="862">
        <f t="shared" si="135"/>
        <v>0</v>
      </c>
      <c r="BL54" s="862">
        <f t="shared" si="135"/>
        <v>0</v>
      </c>
      <c r="BM54" s="862">
        <f t="shared" si="135"/>
        <v>0</v>
      </c>
      <c r="BN54" s="862">
        <f t="shared" si="135"/>
        <v>0</v>
      </c>
      <c r="BO54" s="862">
        <f t="shared" si="135"/>
        <v>0</v>
      </c>
      <c r="BP54" s="862">
        <f t="shared" si="135"/>
        <v>0</v>
      </c>
      <c r="BQ54" s="862">
        <f t="shared" si="135"/>
        <v>0</v>
      </c>
      <c r="BR54" s="862">
        <f t="shared" si="135"/>
        <v>0</v>
      </c>
      <c r="BS54" s="862">
        <f t="shared" si="136"/>
        <v>0</v>
      </c>
      <c r="BT54" s="862">
        <f t="shared" si="136"/>
        <v>0</v>
      </c>
      <c r="BU54" s="862">
        <f t="shared" si="137"/>
        <v>0</v>
      </c>
      <c r="BV54" s="862">
        <f t="shared" si="137"/>
        <v>0</v>
      </c>
      <c r="BW54" s="862">
        <f t="shared" si="137"/>
        <v>0</v>
      </c>
      <c r="BX54" s="862">
        <f t="shared" si="137"/>
        <v>0</v>
      </c>
      <c r="BY54" s="862">
        <f t="shared" si="137"/>
        <v>0</v>
      </c>
      <c r="BZ54" s="863">
        <f t="shared" si="138"/>
        <v>0</v>
      </c>
      <c r="CA54" s="698">
        <f>AP54-BH54</f>
        <v>0</v>
      </c>
      <c r="CB54" s="687">
        <f t="shared" si="139"/>
        <v>5600000</v>
      </c>
      <c r="CC54" s="688">
        <f t="shared" si="140"/>
        <v>5600000</v>
      </c>
      <c r="CD54" s="630">
        <f t="shared" si="141"/>
        <v>0</v>
      </c>
      <c r="CE54" s="1081">
        <f t="shared" si="115"/>
        <v>0</v>
      </c>
      <c r="CF54" s="1081"/>
      <c r="CG54" s="1107">
        <f t="shared" si="116"/>
        <v>0</v>
      </c>
      <c r="CH54" s="1084"/>
      <c r="CI54" s="862"/>
      <c r="CJ54" s="862"/>
      <c r="CK54" s="862"/>
      <c r="CL54" s="862"/>
      <c r="CM54" s="862"/>
      <c r="CN54" s="862"/>
      <c r="CO54" s="862"/>
      <c r="CP54" s="862"/>
      <c r="CQ54" s="1081">
        <f t="shared" si="130"/>
        <v>0</v>
      </c>
      <c r="CR54" s="862"/>
      <c r="CS54" s="862"/>
      <c r="CT54" s="862"/>
      <c r="CU54" s="73">
        <f t="shared" si="117"/>
        <v>0</v>
      </c>
      <c r="CV54" s="862"/>
      <c r="CW54" s="862"/>
      <c r="CX54" s="862"/>
      <c r="CY54" s="862"/>
      <c r="CZ54" s="862"/>
      <c r="DA54" s="862"/>
      <c r="DB54" s="862"/>
      <c r="DC54" s="862"/>
      <c r="DD54" s="1081"/>
      <c r="DE54" s="862"/>
      <c r="DF54" s="862"/>
      <c r="DG54" s="862"/>
      <c r="DH54" s="73">
        <f t="shared" si="118"/>
        <v>0</v>
      </c>
    </row>
    <row r="55" spans="1:112" s="38" customFormat="1" ht="24.75" customHeight="1" x14ac:dyDescent="0.2">
      <c r="A55" s="1614"/>
      <c r="B55" s="1597" t="s">
        <v>677</v>
      </c>
      <c r="C55" s="1598" t="s">
        <v>128</v>
      </c>
      <c r="D55" s="1599">
        <f>93*14</f>
        <v>1302</v>
      </c>
      <c r="E55" s="1600"/>
      <c r="F55" s="1600"/>
      <c r="G55" s="1127"/>
      <c r="H55" s="1127"/>
      <c r="I55" s="1127"/>
      <c r="J55" s="1127"/>
      <c r="K55" s="1127"/>
      <c r="L55" s="1127"/>
      <c r="M55" s="1200"/>
      <c r="N55" s="1200"/>
      <c r="O55" s="1200">
        <v>260</v>
      </c>
      <c r="P55" s="1127">
        <v>104</v>
      </c>
      <c r="Q55" s="1200"/>
      <c r="R55" s="1200"/>
      <c r="S55" s="1200"/>
      <c r="T55" s="1601"/>
      <c r="U55" s="1200"/>
      <c r="V55" s="1602">
        <f t="shared" si="142"/>
        <v>364</v>
      </c>
      <c r="W55" s="1603" t="s">
        <v>5</v>
      </c>
      <c r="X55" s="1604">
        <v>25000</v>
      </c>
      <c r="Y55" s="1605"/>
      <c r="Z55" s="1606"/>
      <c r="AA55" s="1606"/>
      <c r="AB55" s="1606"/>
      <c r="AC55" s="1606"/>
      <c r="AD55" s="1606"/>
      <c r="AE55" s="1606"/>
      <c r="AF55" s="1606"/>
      <c r="AG55" s="1216"/>
      <c r="AH55" s="1216"/>
      <c r="AI55" s="1606">
        <v>25000</v>
      </c>
      <c r="AJ55" s="1606">
        <v>25000</v>
      </c>
      <c r="AK55" s="1216"/>
      <c r="AL55" s="1216"/>
      <c r="AM55" s="1216"/>
      <c r="AN55" s="1607"/>
      <c r="AO55" s="1216"/>
      <c r="AP55" s="1608">
        <f t="shared" si="143"/>
        <v>9100000</v>
      </c>
      <c r="AQ55" s="1123">
        <f t="shared" si="144"/>
        <v>0</v>
      </c>
      <c r="AR55" s="1123">
        <f t="shared" si="145"/>
        <v>0</v>
      </c>
      <c r="AS55" s="1123">
        <f t="shared" si="146"/>
        <v>0</v>
      </c>
      <c r="AT55" s="1123">
        <f t="shared" si="147"/>
        <v>0</v>
      </c>
      <c r="AU55" s="1123">
        <f t="shared" si="148"/>
        <v>0</v>
      </c>
      <c r="AV55" s="1123">
        <f t="shared" si="149"/>
        <v>0</v>
      </c>
      <c r="AW55" s="1123">
        <f t="shared" si="150"/>
        <v>0</v>
      </c>
      <c r="AX55" s="1123">
        <f t="shared" si="151"/>
        <v>0</v>
      </c>
      <c r="AY55" s="1202">
        <f t="shared" si="152"/>
        <v>0</v>
      </c>
      <c r="AZ55" s="1202">
        <f t="shared" si="153"/>
        <v>0</v>
      </c>
      <c r="BA55" s="1123">
        <f t="shared" si="131"/>
        <v>6500000</v>
      </c>
      <c r="BB55" s="1123">
        <f t="shared" si="132"/>
        <v>2600000</v>
      </c>
      <c r="BC55" s="1202">
        <f t="shared" si="133"/>
        <v>0</v>
      </c>
      <c r="BD55" s="1202">
        <f t="shared" si="133"/>
        <v>0</v>
      </c>
      <c r="BE55" s="1202">
        <f t="shared" si="133"/>
        <v>0</v>
      </c>
      <c r="BF55" s="1277">
        <f t="shared" si="133"/>
        <v>0</v>
      </c>
      <c r="BG55" s="1202">
        <f t="shared" si="133"/>
        <v>0</v>
      </c>
      <c r="BH55" s="1102">
        <f t="shared" si="134"/>
        <v>9100000</v>
      </c>
      <c r="BI55" s="1123">
        <f t="shared" si="135"/>
        <v>0</v>
      </c>
      <c r="BJ55" s="1123">
        <f t="shared" si="135"/>
        <v>0</v>
      </c>
      <c r="BK55" s="1123">
        <f t="shared" si="135"/>
        <v>0</v>
      </c>
      <c r="BL55" s="1123">
        <f t="shared" si="135"/>
        <v>0</v>
      </c>
      <c r="BM55" s="1123">
        <f t="shared" si="135"/>
        <v>0</v>
      </c>
      <c r="BN55" s="1123">
        <f t="shared" si="135"/>
        <v>0</v>
      </c>
      <c r="BO55" s="1123">
        <f t="shared" si="135"/>
        <v>0</v>
      </c>
      <c r="BP55" s="1123">
        <f t="shared" si="135"/>
        <v>0</v>
      </c>
      <c r="BQ55" s="1123">
        <f t="shared" si="135"/>
        <v>0</v>
      </c>
      <c r="BR55" s="1123">
        <f t="shared" si="135"/>
        <v>0</v>
      </c>
      <c r="BS55" s="1123">
        <f t="shared" si="136"/>
        <v>780000</v>
      </c>
      <c r="BT55" s="1123">
        <f t="shared" si="136"/>
        <v>312000</v>
      </c>
      <c r="BU55" s="1123">
        <f t="shared" si="137"/>
        <v>0</v>
      </c>
      <c r="BV55" s="1123">
        <f t="shared" si="137"/>
        <v>0</v>
      </c>
      <c r="BW55" s="1123">
        <f t="shared" si="137"/>
        <v>0</v>
      </c>
      <c r="BX55" s="1123">
        <f t="shared" si="137"/>
        <v>0</v>
      </c>
      <c r="BY55" s="1123">
        <f t="shared" si="137"/>
        <v>0</v>
      </c>
      <c r="BZ55" s="1102">
        <f t="shared" si="138"/>
        <v>1092000</v>
      </c>
      <c r="CA55" s="1609">
        <f>AP55-BH55</f>
        <v>0</v>
      </c>
      <c r="CB55" s="1610">
        <f t="shared" si="139"/>
        <v>32550000</v>
      </c>
      <c r="CC55" s="1611">
        <f t="shared" si="140"/>
        <v>23450000</v>
      </c>
      <c r="CD55" s="658">
        <f t="shared" si="141"/>
        <v>0.27956989247311825</v>
      </c>
      <c r="CE55" s="1612">
        <f t="shared" si="115"/>
        <v>0</v>
      </c>
      <c r="CF55" s="1612"/>
      <c r="CG55" s="1083">
        <f t="shared" si="116"/>
        <v>0</v>
      </c>
      <c r="CH55" s="1613"/>
      <c r="CI55" s="1123"/>
      <c r="CJ55" s="1123"/>
      <c r="CK55" s="1123"/>
      <c r="CL55" s="1123"/>
      <c r="CM55" s="1123"/>
      <c r="CN55" s="1123"/>
      <c r="CO55" s="1123"/>
      <c r="CP55" s="1123"/>
      <c r="CQ55" s="1612">
        <f t="shared" si="130"/>
        <v>0</v>
      </c>
      <c r="CR55" s="1123"/>
      <c r="CS55" s="1123"/>
      <c r="CT55" s="1123"/>
      <c r="CU55" s="1096">
        <f t="shared" si="117"/>
        <v>0</v>
      </c>
      <c r="CV55" s="1123"/>
      <c r="CW55" s="1123"/>
      <c r="CX55" s="1123"/>
      <c r="CY55" s="1123"/>
      <c r="CZ55" s="1123"/>
      <c r="DA55" s="1123"/>
      <c r="DB55" s="1123"/>
      <c r="DC55" s="1123"/>
      <c r="DD55" s="1612"/>
      <c r="DE55" s="1123"/>
      <c r="DF55" s="1123"/>
      <c r="DG55" s="1123"/>
      <c r="DH55" s="1096">
        <f t="shared" si="118"/>
        <v>0</v>
      </c>
    </row>
    <row r="56" spans="1:112" s="38" customFormat="1" ht="24.75" customHeight="1" x14ac:dyDescent="0.2">
      <c r="A56" s="1614"/>
      <c r="B56" s="1597" t="s">
        <v>678</v>
      </c>
      <c r="C56" s="1598" t="s">
        <v>128</v>
      </c>
      <c r="D56" s="1599">
        <f>20*14</f>
        <v>280</v>
      </c>
      <c r="E56" s="1600"/>
      <c r="F56" s="1600"/>
      <c r="G56" s="1127"/>
      <c r="H56" s="1127"/>
      <c r="I56" s="1127"/>
      <c r="J56" s="1127"/>
      <c r="K56" s="1127"/>
      <c r="L56" s="1127"/>
      <c r="M56" s="1200"/>
      <c r="N56" s="1200"/>
      <c r="O56" s="1200">
        <v>60</v>
      </c>
      <c r="P56" s="1127">
        <v>24</v>
      </c>
      <c r="Q56" s="1200"/>
      <c r="R56" s="1200"/>
      <c r="S56" s="1200"/>
      <c r="T56" s="1601"/>
      <c r="U56" s="1200"/>
      <c r="V56" s="1602">
        <f t="shared" si="142"/>
        <v>84</v>
      </c>
      <c r="W56" s="1603" t="s">
        <v>5</v>
      </c>
      <c r="X56" s="1604">
        <v>25000</v>
      </c>
      <c r="Y56" s="1605"/>
      <c r="Z56" s="1606"/>
      <c r="AA56" s="1606"/>
      <c r="AB56" s="1606"/>
      <c r="AC56" s="1606"/>
      <c r="AD56" s="1606"/>
      <c r="AE56" s="1606"/>
      <c r="AF56" s="1606"/>
      <c r="AG56" s="1216"/>
      <c r="AH56" s="1216"/>
      <c r="AI56" s="1606">
        <v>25000</v>
      </c>
      <c r="AJ56" s="1606">
        <v>25000</v>
      </c>
      <c r="AK56" s="1216"/>
      <c r="AL56" s="1216"/>
      <c r="AM56" s="1216"/>
      <c r="AN56" s="1607"/>
      <c r="AO56" s="1216"/>
      <c r="AP56" s="1608">
        <f t="shared" si="143"/>
        <v>2100000</v>
      </c>
      <c r="AQ56" s="1123">
        <f t="shared" si="144"/>
        <v>0</v>
      </c>
      <c r="AR56" s="1123">
        <f t="shared" si="145"/>
        <v>0</v>
      </c>
      <c r="AS56" s="1123">
        <f t="shared" si="146"/>
        <v>0</v>
      </c>
      <c r="AT56" s="1123">
        <f t="shared" si="147"/>
        <v>0</v>
      </c>
      <c r="AU56" s="1123">
        <f t="shared" si="148"/>
        <v>0</v>
      </c>
      <c r="AV56" s="1123">
        <f t="shared" si="149"/>
        <v>0</v>
      </c>
      <c r="AW56" s="1123">
        <f t="shared" si="150"/>
        <v>0</v>
      </c>
      <c r="AX56" s="1123">
        <f t="shared" si="151"/>
        <v>0</v>
      </c>
      <c r="AY56" s="1202">
        <f t="shared" si="152"/>
        <v>0</v>
      </c>
      <c r="AZ56" s="1202">
        <f t="shared" si="153"/>
        <v>0</v>
      </c>
      <c r="BA56" s="1123">
        <f t="shared" si="131"/>
        <v>1500000</v>
      </c>
      <c r="BB56" s="1123">
        <f t="shared" si="132"/>
        <v>600000</v>
      </c>
      <c r="BC56" s="1202">
        <f t="shared" si="133"/>
        <v>0</v>
      </c>
      <c r="BD56" s="1202">
        <f t="shared" si="133"/>
        <v>0</v>
      </c>
      <c r="BE56" s="1202">
        <f t="shared" si="133"/>
        <v>0</v>
      </c>
      <c r="BF56" s="1277">
        <f t="shared" si="133"/>
        <v>0</v>
      </c>
      <c r="BG56" s="1202">
        <f t="shared" si="133"/>
        <v>0</v>
      </c>
      <c r="BH56" s="1102">
        <f t="shared" si="134"/>
        <v>2100000</v>
      </c>
      <c r="BI56" s="1123">
        <f t="shared" si="135"/>
        <v>0</v>
      </c>
      <c r="BJ56" s="1123">
        <f t="shared" si="135"/>
        <v>0</v>
      </c>
      <c r="BK56" s="1123">
        <f t="shared" si="135"/>
        <v>0</v>
      </c>
      <c r="BL56" s="1123">
        <f t="shared" si="135"/>
        <v>0</v>
      </c>
      <c r="BM56" s="1123">
        <f t="shared" si="135"/>
        <v>0</v>
      </c>
      <c r="BN56" s="1123">
        <f t="shared" si="135"/>
        <v>0</v>
      </c>
      <c r="BO56" s="1123">
        <f t="shared" si="135"/>
        <v>0</v>
      </c>
      <c r="BP56" s="1123">
        <f t="shared" si="135"/>
        <v>0</v>
      </c>
      <c r="BQ56" s="1123">
        <f t="shared" si="135"/>
        <v>0</v>
      </c>
      <c r="BR56" s="1123">
        <f t="shared" si="135"/>
        <v>0</v>
      </c>
      <c r="BS56" s="1123">
        <f t="shared" si="136"/>
        <v>180000</v>
      </c>
      <c r="BT56" s="1123">
        <f t="shared" si="136"/>
        <v>72000</v>
      </c>
      <c r="BU56" s="1123">
        <f t="shared" si="137"/>
        <v>0</v>
      </c>
      <c r="BV56" s="1123">
        <f t="shared" si="137"/>
        <v>0</v>
      </c>
      <c r="BW56" s="1123">
        <f t="shared" si="137"/>
        <v>0</v>
      </c>
      <c r="BX56" s="1123">
        <f t="shared" si="137"/>
        <v>0</v>
      </c>
      <c r="BY56" s="1123">
        <f t="shared" si="137"/>
        <v>0</v>
      </c>
      <c r="BZ56" s="1102">
        <f t="shared" si="138"/>
        <v>252000</v>
      </c>
      <c r="CA56" s="1609">
        <f>AP56-BH56</f>
        <v>0</v>
      </c>
      <c r="CB56" s="1610">
        <f t="shared" si="139"/>
        <v>7000000</v>
      </c>
      <c r="CC56" s="1611">
        <f t="shared" si="140"/>
        <v>4900000</v>
      </c>
      <c r="CD56" s="658">
        <f t="shared" si="141"/>
        <v>0.3</v>
      </c>
      <c r="CE56" s="1612">
        <f t="shared" si="115"/>
        <v>0</v>
      </c>
      <c r="CF56" s="1612"/>
      <c r="CG56" s="1083">
        <f t="shared" si="116"/>
        <v>0</v>
      </c>
      <c r="CH56" s="1613"/>
      <c r="CI56" s="1123"/>
      <c r="CJ56" s="1123"/>
      <c r="CK56" s="1123"/>
      <c r="CL56" s="1123"/>
      <c r="CM56" s="1123"/>
      <c r="CN56" s="1123"/>
      <c r="CO56" s="1123"/>
      <c r="CP56" s="1123"/>
      <c r="CQ56" s="1612">
        <f t="shared" si="130"/>
        <v>0</v>
      </c>
      <c r="CR56" s="1123"/>
      <c r="CS56" s="1123"/>
      <c r="CT56" s="1123"/>
      <c r="CU56" s="1096">
        <f t="shared" si="117"/>
        <v>0</v>
      </c>
      <c r="CV56" s="1123"/>
      <c r="CW56" s="1123"/>
      <c r="CX56" s="1123"/>
      <c r="CY56" s="1123"/>
      <c r="CZ56" s="1123"/>
      <c r="DA56" s="1123"/>
      <c r="DB56" s="1123"/>
      <c r="DC56" s="1123"/>
      <c r="DD56" s="1612"/>
      <c r="DE56" s="1123"/>
      <c r="DF56" s="1123"/>
      <c r="DG56" s="1123"/>
      <c r="DH56" s="1096">
        <f t="shared" si="118"/>
        <v>0</v>
      </c>
    </row>
    <row r="57" spans="1:112" s="38" customFormat="1" ht="24.75" customHeight="1" x14ac:dyDescent="0.2">
      <c r="A57" s="1614"/>
      <c r="B57" s="1597" t="s">
        <v>679</v>
      </c>
      <c r="C57" s="1598" t="s">
        <v>128</v>
      </c>
      <c r="D57" s="1599">
        <f>34*14</f>
        <v>476</v>
      </c>
      <c r="E57" s="1600"/>
      <c r="F57" s="1600"/>
      <c r="G57" s="1127"/>
      <c r="H57" s="1127"/>
      <c r="I57" s="1127"/>
      <c r="J57" s="1127"/>
      <c r="K57" s="1127"/>
      <c r="L57" s="1127"/>
      <c r="M57" s="1200"/>
      <c r="N57" s="1200"/>
      <c r="O57" s="1200">
        <v>60</v>
      </c>
      <c r="P57" s="1127">
        <v>24</v>
      </c>
      <c r="Q57" s="1200"/>
      <c r="R57" s="1200"/>
      <c r="S57" s="1200"/>
      <c r="T57" s="1601"/>
      <c r="U57" s="1200"/>
      <c r="V57" s="1602">
        <f t="shared" ref="V57:V59" si="154">SUM(E57:U57)</f>
        <v>84</v>
      </c>
      <c r="W57" s="1603" t="s">
        <v>5</v>
      </c>
      <c r="X57" s="1604">
        <v>25000</v>
      </c>
      <c r="Y57" s="1605"/>
      <c r="Z57" s="1606"/>
      <c r="AA57" s="1606"/>
      <c r="AB57" s="1606"/>
      <c r="AC57" s="1606"/>
      <c r="AD57" s="1606"/>
      <c r="AE57" s="1606"/>
      <c r="AF57" s="1606"/>
      <c r="AG57" s="1216"/>
      <c r="AH57" s="1216"/>
      <c r="AI57" s="1606">
        <v>25000</v>
      </c>
      <c r="AJ57" s="1606">
        <v>25000</v>
      </c>
      <c r="AK57" s="1216"/>
      <c r="AL57" s="1216"/>
      <c r="AM57" s="1216"/>
      <c r="AN57" s="1607"/>
      <c r="AO57" s="1216"/>
      <c r="AP57" s="1608">
        <f t="shared" ref="AP57:AP59" si="155">SUM(V57*X57)</f>
        <v>2100000</v>
      </c>
      <c r="AQ57" s="1123">
        <f t="shared" ref="AQ57:AQ59" si="156">Y57*E57</f>
        <v>0</v>
      </c>
      <c r="AR57" s="1123">
        <f t="shared" ref="AR57:AR59" si="157">Z57*F57</f>
        <v>0</v>
      </c>
      <c r="AS57" s="1123">
        <f t="shared" ref="AS57:AS59" si="158">AA57*G57</f>
        <v>0</v>
      </c>
      <c r="AT57" s="1123">
        <f t="shared" ref="AT57:AT59" si="159">AB57*H57</f>
        <v>0</v>
      </c>
      <c r="AU57" s="1123">
        <f t="shared" ref="AU57:AU59" si="160">AC57*I57</f>
        <v>0</v>
      </c>
      <c r="AV57" s="1123">
        <f t="shared" ref="AV57:AV59" si="161">AD57*J57</f>
        <v>0</v>
      </c>
      <c r="AW57" s="1123">
        <f t="shared" ref="AW57:AW59" si="162">AE57*K57</f>
        <v>0</v>
      </c>
      <c r="AX57" s="1123">
        <f t="shared" ref="AX57:AX59" si="163">AF57*L57</f>
        <v>0</v>
      </c>
      <c r="AY57" s="1202">
        <f t="shared" ref="AY57:AY59" si="164">AG57*M57</f>
        <v>0</v>
      </c>
      <c r="AZ57" s="1202">
        <f t="shared" ref="AZ57:AZ59" si="165">AH57*N57</f>
        <v>0</v>
      </c>
      <c r="BA57" s="1123">
        <f t="shared" si="131"/>
        <v>1500000</v>
      </c>
      <c r="BB57" s="1123">
        <f t="shared" si="132"/>
        <v>600000</v>
      </c>
      <c r="BC57" s="1202">
        <f t="shared" si="133"/>
        <v>0</v>
      </c>
      <c r="BD57" s="1202">
        <f t="shared" si="133"/>
        <v>0</v>
      </c>
      <c r="BE57" s="1202">
        <f t="shared" si="133"/>
        <v>0</v>
      </c>
      <c r="BF57" s="1277">
        <f t="shared" si="133"/>
        <v>0</v>
      </c>
      <c r="BG57" s="1202">
        <f t="shared" si="133"/>
        <v>0</v>
      </c>
      <c r="BH57" s="1102">
        <f t="shared" si="134"/>
        <v>2100000</v>
      </c>
      <c r="BI57" s="1123">
        <f t="shared" si="135"/>
        <v>0</v>
      </c>
      <c r="BJ57" s="1123">
        <f t="shared" si="135"/>
        <v>0</v>
      </c>
      <c r="BK57" s="1123">
        <f t="shared" si="135"/>
        <v>0</v>
      </c>
      <c r="BL57" s="1123">
        <f t="shared" si="135"/>
        <v>0</v>
      </c>
      <c r="BM57" s="1123">
        <f t="shared" si="135"/>
        <v>0</v>
      </c>
      <c r="BN57" s="1123">
        <f t="shared" si="135"/>
        <v>0</v>
      </c>
      <c r="BO57" s="1123">
        <f t="shared" si="135"/>
        <v>0</v>
      </c>
      <c r="BP57" s="1123">
        <f t="shared" si="135"/>
        <v>0</v>
      </c>
      <c r="BQ57" s="1123">
        <f t="shared" si="135"/>
        <v>0</v>
      </c>
      <c r="BR57" s="1123">
        <f t="shared" si="135"/>
        <v>0</v>
      </c>
      <c r="BS57" s="1123">
        <f t="shared" si="136"/>
        <v>180000</v>
      </c>
      <c r="BT57" s="1123">
        <f t="shared" si="136"/>
        <v>72000</v>
      </c>
      <c r="BU57" s="1123">
        <f t="shared" si="137"/>
        <v>0</v>
      </c>
      <c r="BV57" s="1123">
        <f t="shared" si="137"/>
        <v>0</v>
      </c>
      <c r="BW57" s="1123">
        <f t="shared" si="137"/>
        <v>0</v>
      </c>
      <c r="BX57" s="1123">
        <f t="shared" si="137"/>
        <v>0</v>
      </c>
      <c r="BY57" s="1123">
        <f t="shared" si="137"/>
        <v>0</v>
      </c>
      <c r="BZ57" s="1102">
        <f t="shared" si="138"/>
        <v>252000</v>
      </c>
      <c r="CA57" s="1609">
        <f>AP57-BH57</f>
        <v>0</v>
      </c>
      <c r="CB57" s="1610">
        <f t="shared" si="139"/>
        <v>11900000</v>
      </c>
      <c r="CC57" s="1611">
        <f t="shared" si="140"/>
        <v>9800000</v>
      </c>
      <c r="CD57" s="658">
        <f t="shared" si="141"/>
        <v>0.17647058823529413</v>
      </c>
      <c r="CE57" s="1612">
        <f t="shared" si="115"/>
        <v>0</v>
      </c>
      <c r="CF57" s="1612"/>
      <c r="CG57" s="1083">
        <f t="shared" si="116"/>
        <v>0</v>
      </c>
      <c r="CH57" s="1613"/>
      <c r="CI57" s="1123"/>
      <c r="CJ57" s="1123"/>
      <c r="CK57" s="1123"/>
      <c r="CL57" s="1123"/>
      <c r="CM57" s="1123"/>
      <c r="CN57" s="1123"/>
      <c r="CO57" s="1123"/>
      <c r="CP57" s="1123"/>
      <c r="CQ57" s="1612">
        <f t="shared" si="130"/>
        <v>0</v>
      </c>
      <c r="CR57" s="1123"/>
      <c r="CS57" s="1123"/>
      <c r="CT57" s="1123"/>
      <c r="CU57" s="1096">
        <f t="shared" si="117"/>
        <v>0</v>
      </c>
      <c r="CV57" s="1123"/>
      <c r="CW57" s="1123"/>
      <c r="CX57" s="1123"/>
      <c r="CY57" s="1123"/>
      <c r="CZ57" s="1123"/>
      <c r="DA57" s="1123"/>
      <c r="DB57" s="1123"/>
      <c r="DC57" s="1123"/>
      <c r="DD57" s="1612"/>
      <c r="DE57" s="1123"/>
      <c r="DF57" s="1123"/>
      <c r="DG57" s="1123"/>
      <c r="DH57" s="1096">
        <f t="shared" si="118"/>
        <v>0</v>
      </c>
    </row>
    <row r="58" spans="1:112" s="37" customFormat="1" ht="24.75" customHeight="1" x14ac:dyDescent="0.2">
      <c r="A58" s="28"/>
      <c r="B58" s="858" t="s">
        <v>680</v>
      </c>
      <c r="C58" s="29" t="s">
        <v>128</v>
      </c>
      <c r="D58" s="700">
        <f>12*14</f>
        <v>168</v>
      </c>
      <c r="E58" s="695"/>
      <c r="F58" s="695"/>
      <c r="G58" s="30"/>
      <c r="H58" s="30"/>
      <c r="I58" s="30"/>
      <c r="J58" s="30"/>
      <c r="K58" s="30"/>
      <c r="L58" s="30"/>
      <c r="M58" s="1136"/>
      <c r="N58" s="1136"/>
      <c r="O58" s="1136"/>
      <c r="P58" s="30"/>
      <c r="Q58" s="1136"/>
      <c r="R58" s="1136"/>
      <c r="S58" s="1136"/>
      <c r="T58" s="1531"/>
      <c r="U58" s="1136"/>
      <c r="V58" s="31">
        <f t="shared" si="154"/>
        <v>0</v>
      </c>
      <c r="W58" s="859" t="s">
        <v>5</v>
      </c>
      <c r="X58" s="696">
        <v>25000</v>
      </c>
      <c r="Y58" s="860"/>
      <c r="Z58" s="861"/>
      <c r="AA58" s="861"/>
      <c r="AB58" s="861"/>
      <c r="AC58" s="861"/>
      <c r="AD58" s="861"/>
      <c r="AE58" s="861"/>
      <c r="AF58" s="861"/>
      <c r="AG58" s="1230"/>
      <c r="AH58" s="1230"/>
      <c r="AI58" s="861"/>
      <c r="AJ58" s="861"/>
      <c r="AK58" s="1230"/>
      <c r="AL58" s="1230"/>
      <c r="AM58" s="1230"/>
      <c r="AN58" s="1532"/>
      <c r="AO58" s="1230"/>
      <c r="AP58" s="1304">
        <f t="shared" si="155"/>
        <v>0</v>
      </c>
      <c r="AQ58" s="862">
        <f t="shared" si="156"/>
        <v>0</v>
      </c>
      <c r="AR58" s="862">
        <f t="shared" si="157"/>
        <v>0</v>
      </c>
      <c r="AS58" s="862">
        <f t="shared" si="158"/>
        <v>0</v>
      </c>
      <c r="AT58" s="862">
        <f t="shared" si="159"/>
        <v>0</v>
      </c>
      <c r="AU58" s="862">
        <f t="shared" si="160"/>
        <v>0</v>
      </c>
      <c r="AV58" s="862">
        <f t="shared" si="161"/>
        <v>0</v>
      </c>
      <c r="AW58" s="862">
        <f t="shared" si="162"/>
        <v>0</v>
      </c>
      <c r="AX58" s="862">
        <f t="shared" si="163"/>
        <v>0</v>
      </c>
      <c r="AY58" s="1128">
        <f t="shared" si="164"/>
        <v>0</v>
      </c>
      <c r="AZ58" s="1128">
        <f t="shared" si="165"/>
        <v>0</v>
      </c>
      <c r="BA58" s="862">
        <f t="shared" si="131"/>
        <v>0</v>
      </c>
      <c r="BB58" s="862">
        <f t="shared" si="132"/>
        <v>0</v>
      </c>
      <c r="BC58" s="1128">
        <f t="shared" si="133"/>
        <v>0</v>
      </c>
      <c r="BD58" s="1128">
        <f t="shared" si="133"/>
        <v>0</v>
      </c>
      <c r="BE58" s="1128">
        <f t="shared" si="133"/>
        <v>0</v>
      </c>
      <c r="BF58" s="1533">
        <f t="shared" si="133"/>
        <v>0</v>
      </c>
      <c r="BG58" s="1128">
        <f t="shared" si="133"/>
        <v>0</v>
      </c>
      <c r="BH58" s="863">
        <f t="shared" si="134"/>
        <v>0</v>
      </c>
      <c r="BI58" s="862">
        <f t="shared" si="135"/>
        <v>0</v>
      </c>
      <c r="BJ58" s="862">
        <f t="shared" si="135"/>
        <v>0</v>
      </c>
      <c r="BK58" s="862">
        <f t="shared" si="135"/>
        <v>0</v>
      </c>
      <c r="BL58" s="862">
        <f t="shared" si="135"/>
        <v>0</v>
      </c>
      <c r="BM58" s="862">
        <f t="shared" si="135"/>
        <v>0</v>
      </c>
      <c r="BN58" s="862">
        <f t="shared" si="135"/>
        <v>0</v>
      </c>
      <c r="BO58" s="862">
        <f t="shared" si="135"/>
        <v>0</v>
      </c>
      <c r="BP58" s="862">
        <f t="shared" si="135"/>
        <v>0</v>
      </c>
      <c r="BQ58" s="862">
        <f t="shared" si="135"/>
        <v>0</v>
      </c>
      <c r="BR58" s="862">
        <f t="shared" si="135"/>
        <v>0</v>
      </c>
      <c r="BS58" s="862">
        <f>SUM(BA58*14%)</f>
        <v>0</v>
      </c>
      <c r="BT58" s="862">
        <f>SUM(BB58*14%)</f>
        <v>0</v>
      </c>
      <c r="BU58" s="862">
        <f t="shared" ref="BU58:BY58" si="166">SUM(BC58*14%)</f>
        <v>0</v>
      </c>
      <c r="BV58" s="862">
        <f t="shared" si="166"/>
        <v>0</v>
      </c>
      <c r="BW58" s="862">
        <f t="shared" si="166"/>
        <v>0</v>
      </c>
      <c r="BX58" s="862">
        <f t="shared" si="166"/>
        <v>0</v>
      </c>
      <c r="BY58" s="862">
        <f t="shared" si="166"/>
        <v>0</v>
      </c>
      <c r="BZ58" s="863">
        <f t="shared" si="138"/>
        <v>0</v>
      </c>
      <c r="CA58" s="698">
        <f>AP58-BH58-BZ58</f>
        <v>0</v>
      </c>
      <c r="CB58" s="687">
        <f t="shared" si="139"/>
        <v>4200000</v>
      </c>
      <c r="CC58" s="688">
        <f t="shared" si="140"/>
        <v>4200000</v>
      </c>
      <c r="CD58" s="630">
        <f t="shared" si="141"/>
        <v>0</v>
      </c>
      <c r="CE58" s="1081">
        <f t="shared" si="115"/>
        <v>0</v>
      </c>
      <c r="CF58" s="1081"/>
      <c r="CG58" s="1107">
        <f t="shared" si="116"/>
        <v>0</v>
      </c>
      <c r="CH58" s="1084"/>
      <c r="CI58" s="862"/>
      <c r="CJ58" s="862"/>
      <c r="CK58" s="862"/>
      <c r="CL58" s="862"/>
      <c r="CM58" s="862"/>
      <c r="CN58" s="862"/>
      <c r="CO58" s="862"/>
      <c r="CP58" s="862"/>
      <c r="CQ58" s="1081">
        <f t="shared" si="130"/>
        <v>0</v>
      </c>
      <c r="CR58" s="862"/>
      <c r="CS58" s="862"/>
      <c r="CT58" s="862"/>
      <c r="CU58" s="73">
        <f t="shared" si="117"/>
        <v>0</v>
      </c>
      <c r="CV58" s="862"/>
      <c r="CW58" s="862"/>
      <c r="CX58" s="862"/>
      <c r="CY58" s="862"/>
      <c r="CZ58" s="862"/>
      <c r="DA58" s="862"/>
      <c r="DB58" s="862"/>
      <c r="DC58" s="862"/>
      <c r="DD58" s="1081"/>
      <c r="DE58" s="862"/>
      <c r="DF58" s="862"/>
      <c r="DG58" s="862"/>
      <c r="DH58" s="73">
        <f t="shared" si="118"/>
        <v>0</v>
      </c>
    </row>
    <row r="59" spans="1:112" s="38" customFormat="1" ht="24.75" customHeight="1" x14ac:dyDescent="0.2">
      <c r="A59" s="1614"/>
      <c r="B59" s="1597" t="s">
        <v>622</v>
      </c>
      <c r="C59" s="1598" t="s">
        <v>128</v>
      </c>
      <c r="D59" s="1599">
        <v>420</v>
      </c>
      <c r="E59" s="1600"/>
      <c r="F59" s="1600"/>
      <c r="G59" s="1127"/>
      <c r="H59" s="1127"/>
      <c r="I59" s="1127"/>
      <c r="J59" s="1127"/>
      <c r="K59" s="1127"/>
      <c r="L59" s="1127"/>
      <c r="M59" s="1200"/>
      <c r="N59" s="1200"/>
      <c r="O59" s="1200">
        <v>100</v>
      </c>
      <c r="P59" s="1127"/>
      <c r="Q59" s="1200">
        <v>100</v>
      </c>
      <c r="R59" s="1200"/>
      <c r="S59" s="1200">
        <v>0</v>
      </c>
      <c r="T59" s="1601">
        <v>100</v>
      </c>
      <c r="U59" s="1200"/>
      <c r="V59" s="1602">
        <f t="shared" si="154"/>
        <v>300</v>
      </c>
      <c r="W59" s="1603" t="s">
        <v>5</v>
      </c>
      <c r="X59" s="1604">
        <v>57500</v>
      </c>
      <c r="Y59" s="1605"/>
      <c r="Z59" s="1606"/>
      <c r="AA59" s="1606"/>
      <c r="AB59" s="1606"/>
      <c r="AC59" s="1606"/>
      <c r="AD59" s="1606"/>
      <c r="AE59" s="1606"/>
      <c r="AF59" s="1606"/>
      <c r="AG59" s="1216"/>
      <c r="AH59" s="1216"/>
      <c r="AI59" s="1606">
        <v>46000</v>
      </c>
      <c r="AJ59" s="1606"/>
      <c r="AK59" s="1216">
        <v>46000</v>
      </c>
      <c r="AL59" s="1216"/>
      <c r="AM59" s="1216">
        <v>0</v>
      </c>
      <c r="AN59" s="1607">
        <v>46000</v>
      </c>
      <c r="AO59" s="1216"/>
      <c r="AP59" s="1608">
        <f t="shared" si="155"/>
        <v>17250000</v>
      </c>
      <c r="AQ59" s="1123">
        <f t="shared" si="156"/>
        <v>0</v>
      </c>
      <c r="AR59" s="1123">
        <f t="shared" si="157"/>
        <v>0</v>
      </c>
      <c r="AS59" s="1123">
        <f t="shared" si="158"/>
        <v>0</v>
      </c>
      <c r="AT59" s="1123">
        <f t="shared" si="159"/>
        <v>0</v>
      </c>
      <c r="AU59" s="1123">
        <f t="shared" si="160"/>
        <v>0</v>
      </c>
      <c r="AV59" s="1123">
        <f t="shared" si="161"/>
        <v>0</v>
      </c>
      <c r="AW59" s="1123">
        <f t="shared" si="162"/>
        <v>0</v>
      </c>
      <c r="AX59" s="1123">
        <f t="shared" si="163"/>
        <v>0</v>
      </c>
      <c r="AY59" s="1202">
        <f t="shared" si="164"/>
        <v>0</v>
      </c>
      <c r="AZ59" s="1202">
        <f t="shared" si="165"/>
        <v>0</v>
      </c>
      <c r="BA59" s="1123">
        <f t="shared" si="131"/>
        <v>4600000</v>
      </c>
      <c r="BB59" s="1123">
        <f t="shared" si="132"/>
        <v>0</v>
      </c>
      <c r="BC59" s="1202">
        <f t="shared" si="133"/>
        <v>4600000</v>
      </c>
      <c r="BD59" s="1202">
        <f t="shared" si="133"/>
        <v>0</v>
      </c>
      <c r="BE59" s="1202">
        <f t="shared" si="133"/>
        <v>0</v>
      </c>
      <c r="BF59" s="1277">
        <f t="shared" si="133"/>
        <v>4600000</v>
      </c>
      <c r="BG59" s="1202">
        <f t="shared" si="133"/>
        <v>0</v>
      </c>
      <c r="BH59" s="1102">
        <f t="shared" si="134"/>
        <v>13800000</v>
      </c>
      <c r="BI59" s="1123">
        <f t="shared" si="135"/>
        <v>0</v>
      </c>
      <c r="BJ59" s="1123">
        <f t="shared" si="135"/>
        <v>0</v>
      </c>
      <c r="BK59" s="1123">
        <f t="shared" si="135"/>
        <v>0</v>
      </c>
      <c r="BL59" s="1123">
        <f t="shared" si="135"/>
        <v>0</v>
      </c>
      <c r="BM59" s="1123">
        <f t="shared" si="135"/>
        <v>0</v>
      </c>
      <c r="BN59" s="1123">
        <f t="shared" si="135"/>
        <v>0</v>
      </c>
      <c r="BO59" s="1123">
        <f t="shared" si="135"/>
        <v>0</v>
      </c>
      <c r="BP59" s="1123">
        <f t="shared" si="135"/>
        <v>0</v>
      </c>
      <c r="BQ59" s="1123">
        <f t="shared" si="135"/>
        <v>0</v>
      </c>
      <c r="BR59" s="1123">
        <f t="shared" si="135"/>
        <v>0</v>
      </c>
      <c r="BS59" s="1123">
        <f>SUM(BA59*12.5%)</f>
        <v>575000</v>
      </c>
      <c r="BT59" s="1123">
        <f>SUM(BB59*12.5%)</f>
        <v>0</v>
      </c>
      <c r="BU59" s="1123">
        <f>SUM(BC59*12.5%)</f>
        <v>575000</v>
      </c>
      <c r="BV59" s="1123">
        <f t="shared" ref="BV59:BY59" si="167">SUM(BD59*12.5%)</f>
        <v>0</v>
      </c>
      <c r="BW59" s="1123">
        <f t="shared" si="167"/>
        <v>0</v>
      </c>
      <c r="BX59" s="1123">
        <f t="shared" si="167"/>
        <v>575000</v>
      </c>
      <c r="BY59" s="1123">
        <f t="shared" si="167"/>
        <v>0</v>
      </c>
      <c r="BZ59" s="1102">
        <f t="shared" si="138"/>
        <v>1725000</v>
      </c>
      <c r="CA59" s="1609">
        <f>AP59-BH59</f>
        <v>3450000</v>
      </c>
      <c r="CB59" s="1610">
        <f t="shared" si="139"/>
        <v>24150000</v>
      </c>
      <c r="CC59" s="1611">
        <f t="shared" si="140"/>
        <v>10350000</v>
      </c>
      <c r="CD59" s="658">
        <f t="shared" si="141"/>
        <v>0.7142857142857143</v>
      </c>
      <c r="CE59" s="1612">
        <f>BA59-BS59</f>
        <v>4025000</v>
      </c>
      <c r="CF59" s="1612">
        <f>40000*100</f>
        <v>4000000</v>
      </c>
      <c r="CG59" s="1083">
        <f t="shared" ref="CG59" si="168">SUM(CE59-CF59)</f>
        <v>25000</v>
      </c>
      <c r="CH59" s="1613"/>
      <c r="CI59" s="1123"/>
      <c r="CJ59" s="1123"/>
      <c r="CK59" s="1123"/>
      <c r="CL59" s="1123"/>
      <c r="CM59" s="1123"/>
      <c r="CN59" s="1123"/>
      <c r="CO59" s="1123"/>
      <c r="CP59" s="1123"/>
      <c r="CQ59" s="1612">
        <f t="shared" si="130"/>
        <v>0</v>
      </c>
      <c r="CR59" s="1123"/>
      <c r="CS59" s="1123"/>
      <c r="CT59" s="1123"/>
      <c r="CU59" s="1096">
        <f t="shared" si="117"/>
        <v>0</v>
      </c>
      <c r="CV59" s="1123"/>
      <c r="CW59" s="1123"/>
      <c r="CX59" s="1123"/>
      <c r="CY59" s="1123"/>
      <c r="CZ59" s="1123"/>
      <c r="DA59" s="1123"/>
      <c r="DB59" s="1123"/>
      <c r="DC59" s="1123"/>
      <c r="DD59" s="1612"/>
      <c r="DE59" s="1123"/>
      <c r="DF59" s="1123"/>
      <c r="DG59" s="1123"/>
      <c r="DH59" s="1096">
        <f t="shared" si="118"/>
        <v>0</v>
      </c>
    </row>
    <row r="60" spans="1:112" s="38" customFormat="1" ht="24.75" customHeight="1" x14ac:dyDescent="0.2">
      <c r="A60" s="1614"/>
      <c r="B60" s="1597" t="s">
        <v>623</v>
      </c>
      <c r="C60" s="1598" t="s">
        <v>128</v>
      </c>
      <c r="D60" s="1599">
        <f>5*56</f>
        <v>280</v>
      </c>
      <c r="E60" s="1600"/>
      <c r="F60" s="1600"/>
      <c r="G60" s="1127"/>
      <c r="H60" s="1127"/>
      <c r="I60" s="1127"/>
      <c r="J60" s="1127"/>
      <c r="K60" s="1127"/>
      <c r="L60" s="1127"/>
      <c r="M60" s="1200"/>
      <c r="N60" s="1200"/>
      <c r="O60" s="1200">
        <v>50</v>
      </c>
      <c r="P60" s="1127">
        <v>50</v>
      </c>
      <c r="Q60" s="1200">
        <v>50</v>
      </c>
      <c r="R60" s="1200"/>
      <c r="S60" s="1200">
        <v>50</v>
      </c>
      <c r="T60" s="1601">
        <v>80</v>
      </c>
      <c r="U60" s="1200"/>
      <c r="V60" s="1602">
        <f t="shared" si="142"/>
        <v>280</v>
      </c>
      <c r="W60" s="1603" t="s">
        <v>5</v>
      </c>
      <c r="X60" s="1604">
        <v>20000</v>
      </c>
      <c r="Y60" s="1605"/>
      <c r="Z60" s="1606"/>
      <c r="AA60" s="1606"/>
      <c r="AB60" s="1606"/>
      <c r="AC60" s="1606"/>
      <c r="AD60" s="1606"/>
      <c r="AE60" s="1606"/>
      <c r="AF60" s="1606"/>
      <c r="AG60" s="1216"/>
      <c r="AH60" s="1216"/>
      <c r="AI60" s="1604">
        <v>20000</v>
      </c>
      <c r="AJ60" s="1606">
        <v>20000</v>
      </c>
      <c r="AK60" s="1216">
        <v>20000</v>
      </c>
      <c r="AL60" s="1216"/>
      <c r="AM60" s="1216">
        <v>20000</v>
      </c>
      <c r="AN60" s="1607">
        <v>20000</v>
      </c>
      <c r="AO60" s="1216"/>
      <c r="AP60" s="1608">
        <f t="shared" si="143"/>
        <v>5600000</v>
      </c>
      <c r="AQ60" s="1123">
        <f t="shared" si="144"/>
        <v>0</v>
      </c>
      <c r="AR60" s="1123">
        <f t="shared" si="145"/>
        <v>0</v>
      </c>
      <c r="AS60" s="1123">
        <f t="shared" si="146"/>
        <v>0</v>
      </c>
      <c r="AT60" s="1123">
        <f t="shared" si="147"/>
        <v>0</v>
      </c>
      <c r="AU60" s="1123">
        <f t="shared" si="148"/>
        <v>0</v>
      </c>
      <c r="AV60" s="1123">
        <f t="shared" si="149"/>
        <v>0</v>
      </c>
      <c r="AW60" s="1123">
        <f t="shared" si="150"/>
        <v>0</v>
      </c>
      <c r="AX60" s="1123">
        <f t="shared" si="151"/>
        <v>0</v>
      </c>
      <c r="AY60" s="1202">
        <f t="shared" si="152"/>
        <v>0</v>
      </c>
      <c r="AZ60" s="1202">
        <f t="shared" si="153"/>
        <v>0</v>
      </c>
      <c r="BA60" s="1123">
        <f t="shared" si="131"/>
        <v>1000000</v>
      </c>
      <c r="BB60" s="1123">
        <f t="shared" si="132"/>
        <v>1000000</v>
      </c>
      <c r="BC60" s="1202">
        <f t="shared" si="133"/>
        <v>1000000</v>
      </c>
      <c r="BD60" s="1202">
        <f t="shared" si="133"/>
        <v>0</v>
      </c>
      <c r="BE60" s="1202">
        <f t="shared" si="133"/>
        <v>1000000</v>
      </c>
      <c r="BF60" s="1277">
        <f t="shared" si="133"/>
        <v>1600000</v>
      </c>
      <c r="BG60" s="1202">
        <f t="shared" si="133"/>
        <v>0</v>
      </c>
      <c r="BH60" s="1102">
        <f t="shared" si="134"/>
        <v>5600000</v>
      </c>
      <c r="BI60" s="1123">
        <f t="shared" si="135"/>
        <v>0</v>
      </c>
      <c r="BJ60" s="1123">
        <f t="shared" si="135"/>
        <v>0</v>
      </c>
      <c r="BK60" s="1123">
        <f t="shared" si="135"/>
        <v>0</v>
      </c>
      <c r="BL60" s="1123">
        <f t="shared" si="135"/>
        <v>0</v>
      </c>
      <c r="BM60" s="1123">
        <f t="shared" si="135"/>
        <v>0</v>
      </c>
      <c r="BN60" s="1123">
        <f t="shared" si="135"/>
        <v>0</v>
      </c>
      <c r="BO60" s="1123">
        <f t="shared" si="135"/>
        <v>0</v>
      </c>
      <c r="BP60" s="1123">
        <f t="shared" si="135"/>
        <v>0</v>
      </c>
      <c r="BQ60" s="1123">
        <f t="shared" si="135"/>
        <v>0</v>
      </c>
      <c r="BR60" s="1123">
        <f t="shared" si="135"/>
        <v>0</v>
      </c>
      <c r="BS60" s="1123"/>
      <c r="BT60" s="1123"/>
      <c r="BU60" s="1123"/>
      <c r="BV60" s="1123"/>
      <c r="BW60" s="1123"/>
      <c r="BX60" s="1123"/>
      <c r="BY60" s="1123"/>
      <c r="BZ60" s="1102">
        <f t="shared" si="138"/>
        <v>0</v>
      </c>
      <c r="CA60" s="1609">
        <f>AP60-BH60-BZ60</f>
        <v>0</v>
      </c>
      <c r="CB60" s="1610">
        <f t="shared" si="139"/>
        <v>5600000</v>
      </c>
      <c r="CC60" s="1611">
        <f t="shared" si="140"/>
        <v>0</v>
      </c>
      <c r="CD60" s="658">
        <f t="shared" si="141"/>
        <v>1</v>
      </c>
      <c r="CE60" s="1612">
        <f t="shared" ref="CE60:CE79" si="169">AY60-BQ60</f>
        <v>0</v>
      </c>
      <c r="CF60" s="1612"/>
      <c r="CG60" s="1083">
        <f t="shared" si="116"/>
        <v>0</v>
      </c>
      <c r="CH60" s="1613"/>
      <c r="CI60" s="1123"/>
      <c r="CJ60" s="1123"/>
      <c r="CK60" s="1123"/>
      <c r="CL60" s="1123"/>
      <c r="CM60" s="1123"/>
      <c r="CN60" s="1123"/>
      <c r="CO60" s="1123"/>
      <c r="CP60" s="1123"/>
      <c r="CQ60" s="1612">
        <f t="shared" si="130"/>
        <v>0</v>
      </c>
      <c r="CR60" s="1123"/>
      <c r="CS60" s="1123"/>
      <c r="CT60" s="1123"/>
      <c r="CU60" s="1096">
        <f t="shared" si="117"/>
        <v>0</v>
      </c>
      <c r="CV60" s="1123"/>
      <c r="CW60" s="1123"/>
      <c r="CX60" s="1123"/>
      <c r="CY60" s="1123"/>
      <c r="CZ60" s="1123"/>
      <c r="DA60" s="1123"/>
      <c r="DB60" s="1123"/>
      <c r="DC60" s="1123"/>
      <c r="DD60" s="1612"/>
      <c r="DE60" s="1123"/>
      <c r="DF60" s="1123"/>
      <c r="DG60" s="1123"/>
      <c r="DH60" s="1096">
        <f t="shared" si="118"/>
        <v>0</v>
      </c>
    </row>
    <row r="61" spans="1:112" s="37" customFormat="1" ht="24.75" customHeight="1" x14ac:dyDescent="0.2">
      <c r="A61" s="28">
        <v>4</v>
      </c>
      <c r="B61" s="155" t="s">
        <v>132</v>
      </c>
      <c r="C61" s="29"/>
      <c r="D61" s="867"/>
      <c r="E61" s="699"/>
      <c r="F61" s="30"/>
      <c r="G61" s="30"/>
      <c r="H61" s="30"/>
      <c r="I61" s="30"/>
      <c r="J61" s="30"/>
      <c r="K61" s="30"/>
      <c r="L61" s="30"/>
      <c r="M61" s="1136"/>
      <c r="N61" s="1136"/>
      <c r="O61" s="1136"/>
      <c r="P61" s="30"/>
      <c r="Q61" s="1136"/>
      <c r="R61" s="1136"/>
      <c r="S61" s="1136"/>
      <c r="T61" s="1531"/>
      <c r="U61" s="1136"/>
      <c r="V61" s="31">
        <f t="shared" ref="V61:V64" si="170">SUM(E61:U61)</f>
        <v>0</v>
      </c>
      <c r="W61" s="764"/>
      <c r="X61" s="849"/>
      <c r="Y61" s="850"/>
      <c r="Z61" s="861"/>
      <c r="AA61" s="861"/>
      <c r="AB61" s="861"/>
      <c r="AC61" s="861"/>
      <c r="AD61" s="861"/>
      <c r="AE61" s="861"/>
      <c r="AF61" s="861"/>
      <c r="AG61" s="1230"/>
      <c r="AH61" s="1230"/>
      <c r="AI61" s="861"/>
      <c r="AJ61" s="861"/>
      <c r="AK61" s="1230"/>
      <c r="AL61" s="1230"/>
      <c r="AM61" s="1230"/>
      <c r="AN61" s="1532"/>
      <c r="AO61" s="1230"/>
      <c r="AP61" s="1306">
        <f>SUM(X61*E61)</f>
        <v>0</v>
      </c>
      <c r="AQ61" s="861">
        <f t="shared" si="102"/>
        <v>0</v>
      </c>
      <c r="AR61" s="861">
        <f t="shared" si="103"/>
        <v>0</v>
      </c>
      <c r="AS61" s="861">
        <f t="shared" si="104"/>
        <v>0</v>
      </c>
      <c r="AT61" s="861">
        <f t="shared" si="105"/>
        <v>0</v>
      </c>
      <c r="AU61" s="861">
        <f t="shared" si="106"/>
        <v>0</v>
      </c>
      <c r="AV61" s="861">
        <f t="shared" si="107"/>
        <v>0</v>
      </c>
      <c r="AW61" s="861">
        <f t="shared" ref="AW61:AX64" si="171">AE61*K61</f>
        <v>0</v>
      </c>
      <c r="AX61" s="861">
        <f t="shared" si="171"/>
        <v>0</v>
      </c>
      <c r="AY61" s="1230">
        <f t="shared" si="109"/>
        <v>0</v>
      </c>
      <c r="AZ61" s="1230">
        <f t="shared" si="110"/>
        <v>0</v>
      </c>
      <c r="BA61" s="861">
        <f t="shared" si="131"/>
        <v>0</v>
      </c>
      <c r="BB61" s="861">
        <f t="shared" si="132"/>
        <v>0</v>
      </c>
      <c r="BC61" s="1230">
        <f t="shared" si="133"/>
        <v>0</v>
      </c>
      <c r="BD61" s="1230">
        <f t="shared" si="133"/>
        <v>0</v>
      </c>
      <c r="BE61" s="1230">
        <f t="shared" si="133"/>
        <v>0</v>
      </c>
      <c r="BF61" s="1532">
        <f t="shared" si="133"/>
        <v>0</v>
      </c>
      <c r="BG61" s="1230">
        <f t="shared" si="133"/>
        <v>0</v>
      </c>
      <c r="BH61" s="698">
        <f t="shared" si="134"/>
        <v>0</v>
      </c>
      <c r="BI61" s="861">
        <f t="shared" ref="BI61:BT61" si="172">AQ61*W61</f>
        <v>0</v>
      </c>
      <c r="BJ61" s="861">
        <f t="shared" si="172"/>
        <v>0</v>
      </c>
      <c r="BK61" s="861">
        <f t="shared" si="172"/>
        <v>0</v>
      </c>
      <c r="BL61" s="861">
        <f t="shared" si="172"/>
        <v>0</v>
      </c>
      <c r="BM61" s="861">
        <f t="shared" si="172"/>
        <v>0</v>
      </c>
      <c r="BN61" s="861">
        <f t="shared" si="172"/>
        <v>0</v>
      </c>
      <c r="BO61" s="861">
        <f t="shared" si="172"/>
        <v>0</v>
      </c>
      <c r="BP61" s="861">
        <f t="shared" si="172"/>
        <v>0</v>
      </c>
      <c r="BQ61" s="861">
        <f t="shared" si="172"/>
        <v>0</v>
      </c>
      <c r="BR61" s="861">
        <f t="shared" si="172"/>
        <v>0</v>
      </c>
      <c r="BS61" s="861">
        <f t="shared" si="172"/>
        <v>0</v>
      </c>
      <c r="BT61" s="861">
        <f t="shared" si="172"/>
        <v>0</v>
      </c>
      <c r="BU61" s="861">
        <f t="shared" ref="BU61:BY61" si="173">BC61*AI61</f>
        <v>0</v>
      </c>
      <c r="BV61" s="861">
        <f t="shared" si="173"/>
        <v>0</v>
      </c>
      <c r="BW61" s="861">
        <f t="shared" si="173"/>
        <v>0</v>
      </c>
      <c r="BX61" s="861">
        <f t="shared" si="173"/>
        <v>0</v>
      </c>
      <c r="BY61" s="861">
        <f t="shared" si="173"/>
        <v>0</v>
      </c>
      <c r="BZ61" s="698">
        <f>BH61*14%</f>
        <v>0</v>
      </c>
      <c r="CA61" s="698">
        <f>AP61-BH61-BZ61</f>
        <v>0</v>
      </c>
      <c r="CB61" s="687">
        <f t="shared" si="139"/>
        <v>0</v>
      </c>
      <c r="CC61" s="688">
        <f>CB61-BH61-BZ61</f>
        <v>0</v>
      </c>
      <c r="CD61" s="630"/>
      <c r="CE61" s="1081">
        <f t="shared" si="169"/>
        <v>0</v>
      </c>
      <c r="CF61" s="1081"/>
      <c r="CG61" s="1107">
        <f t="shared" si="116"/>
        <v>0</v>
      </c>
      <c r="CH61" s="1084"/>
      <c r="CI61" s="862"/>
      <c r="CJ61" s="862"/>
      <c r="CK61" s="862"/>
      <c r="CL61" s="862"/>
      <c r="CM61" s="862"/>
      <c r="CN61" s="862"/>
      <c r="CO61" s="862"/>
      <c r="CP61" s="862"/>
      <c r="CQ61" s="1081">
        <f t="shared" si="130"/>
        <v>0</v>
      </c>
      <c r="CR61" s="862"/>
      <c r="CS61" s="862"/>
      <c r="CT61" s="862"/>
      <c r="CU61" s="73">
        <f t="shared" si="117"/>
        <v>0</v>
      </c>
      <c r="CV61" s="862"/>
      <c r="CW61" s="862"/>
      <c r="CX61" s="862"/>
      <c r="CY61" s="862"/>
      <c r="CZ61" s="862"/>
      <c r="DA61" s="862"/>
      <c r="DB61" s="862"/>
      <c r="DC61" s="862"/>
      <c r="DD61" s="1081"/>
      <c r="DE61" s="862"/>
      <c r="DF61" s="862"/>
      <c r="DG61" s="862"/>
      <c r="DH61" s="73">
        <f t="shared" si="118"/>
        <v>0</v>
      </c>
    </row>
    <row r="62" spans="1:112" s="37" customFormat="1" ht="32.25" customHeight="1" x14ac:dyDescent="0.2">
      <c r="A62" s="864"/>
      <c r="B62" s="874" t="s">
        <v>486</v>
      </c>
      <c r="C62" s="205" t="s">
        <v>128</v>
      </c>
      <c r="D62" s="720">
        <v>80</v>
      </c>
      <c r="E62" s="875"/>
      <c r="F62" s="207"/>
      <c r="G62" s="207"/>
      <c r="H62" s="207"/>
      <c r="I62" s="207"/>
      <c r="J62" s="207"/>
      <c r="K62" s="207"/>
      <c r="L62" s="207"/>
      <c r="M62" s="1406"/>
      <c r="N62" s="1406"/>
      <c r="O62" s="1406"/>
      <c r="P62" s="207"/>
      <c r="Q62" s="1406"/>
      <c r="R62" s="1406"/>
      <c r="S62" s="1406"/>
      <c r="T62" s="1508">
        <v>40</v>
      </c>
      <c r="U62" s="1406"/>
      <c r="V62" s="208">
        <f t="shared" si="170"/>
        <v>40</v>
      </c>
      <c r="W62" s="876" t="s">
        <v>45</v>
      </c>
      <c r="X62" s="847">
        <v>10300</v>
      </c>
      <c r="Y62" s="877"/>
      <c r="Z62" s="878"/>
      <c r="AA62" s="878"/>
      <c r="AB62" s="878"/>
      <c r="AC62" s="878"/>
      <c r="AD62" s="878"/>
      <c r="AE62" s="878"/>
      <c r="AF62" s="878"/>
      <c r="AG62" s="1314"/>
      <c r="AH62" s="1314"/>
      <c r="AI62" s="878"/>
      <c r="AJ62" s="878"/>
      <c r="AK62" s="1314"/>
      <c r="AL62" s="1314"/>
      <c r="AM62" s="1314"/>
      <c r="AN62" s="1539">
        <v>10300</v>
      </c>
      <c r="AO62" s="1314"/>
      <c r="AP62" s="1307">
        <f t="shared" ref="AP62:AP64" si="174">SUM(V62*X62)</f>
        <v>412000</v>
      </c>
      <c r="AQ62" s="879">
        <f t="shared" si="102"/>
        <v>0</v>
      </c>
      <c r="AR62" s="879">
        <f t="shared" si="103"/>
        <v>0</v>
      </c>
      <c r="AS62" s="879">
        <f t="shared" si="104"/>
        <v>0</v>
      </c>
      <c r="AT62" s="879">
        <f t="shared" si="105"/>
        <v>0</v>
      </c>
      <c r="AU62" s="879">
        <f t="shared" si="106"/>
        <v>0</v>
      </c>
      <c r="AV62" s="879">
        <f t="shared" si="107"/>
        <v>0</v>
      </c>
      <c r="AW62" s="879">
        <f t="shared" si="171"/>
        <v>0</v>
      </c>
      <c r="AX62" s="879">
        <f t="shared" si="171"/>
        <v>0</v>
      </c>
      <c r="AY62" s="1317">
        <f t="shared" si="109"/>
        <v>0</v>
      </c>
      <c r="AZ62" s="1317">
        <f t="shared" si="110"/>
        <v>0</v>
      </c>
      <c r="BA62" s="879">
        <f t="shared" si="131"/>
        <v>0</v>
      </c>
      <c r="BB62" s="879">
        <f t="shared" si="132"/>
        <v>0</v>
      </c>
      <c r="BC62" s="1317">
        <f t="shared" si="133"/>
        <v>0</v>
      </c>
      <c r="BD62" s="1317">
        <f t="shared" si="133"/>
        <v>0</v>
      </c>
      <c r="BE62" s="1317">
        <f t="shared" si="133"/>
        <v>0</v>
      </c>
      <c r="BF62" s="1540">
        <f t="shared" si="133"/>
        <v>412000</v>
      </c>
      <c r="BG62" s="1317">
        <f t="shared" si="133"/>
        <v>0</v>
      </c>
      <c r="BH62" s="880">
        <f t="shared" si="134"/>
        <v>412000</v>
      </c>
      <c r="BI62" s="879">
        <f t="shared" ref="BI62:BJ64" si="175">SUM(AQ62*14%)</f>
        <v>0</v>
      </c>
      <c r="BJ62" s="879">
        <f t="shared" si="175"/>
        <v>0</v>
      </c>
      <c r="BK62" s="879">
        <f>SUM(AS62*4%)</f>
        <v>0</v>
      </c>
      <c r="BL62" s="879">
        <f t="shared" ref="BL62:BT64" si="176">SUM(AT62*14%)</f>
        <v>0</v>
      </c>
      <c r="BM62" s="879">
        <f t="shared" si="176"/>
        <v>0</v>
      </c>
      <c r="BN62" s="879">
        <f t="shared" si="176"/>
        <v>0</v>
      </c>
      <c r="BO62" s="879">
        <f t="shared" si="176"/>
        <v>0</v>
      </c>
      <c r="BP62" s="879">
        <f t="shared" si="176"/>
        <v>0</v>
      </c>
      <c r="BQ62" s="879">
        <f t="shared" si="176"/>
        <v>0</v>
      </c>
      <c r="BR62" s="879">
        <f t="shared" si="176"/>
        <v>0</v>
      </c>
      <c r="BS62" s="879">
        <f t="shared" si="176"/>
        <v>0</v>
      </c>
      <c r="BT62" s="879">
        <f t="shared" si="176"/>
        <v>0</v>
      </c>
      <c r="BU62" s="879">
        <f t="shared" ref="BU62:BY64" si="177">SUM(BC62*14%)</f>
        <v>0</v>
      </c>
      <c r="BV62" s="879">
        <f t="shared" si="177"/>
        <v>0</v>
      </c>
      <c r="BW62" s="879">
        <f t="shared" si="177"/>
        <v>0</v>
      </c>
      <c r="BX62" s="879">
        <f>SUM(BF62*12%)</f>
        <v>49440</v>
      </c>
      <c r="BY62" s="879">
        <f t="shared" si="177"/>
        <v>0</v>
      </c>
      <c r="BZ62" s="881">
        <f>SUM(BI62:BY62)</f>
        <v>49440</v>
      </c>
      <c r="CA62" s="848">
        <f>AP62-BH62</f>
        <v>0</v>
      </c>
      <c r="CB62" s="681">
        <f t="shared" si="139"/>
        <v>824000</v>
      </c>
      <c r="CC62" s="682">
        <f>CB62-BH62</f>
        <v>412000</v>
      </c>
      <c r="CD62" s="630">
        <f>SUM(V62/D62)</f>
        <v>0.5</v>
      </c>
      <c r="CE62" s="1081">
        <f t="shared" si="169"/>
        <v>0</v>
      </c>
      <c r="CF62" s="1081"/>
      <c r="CG62" s="1107">
        <f t="shared" si="116"/>
        <v>0</v>
      </c>
      <c r="CH62" s="1084"/>
      <c r="CI62" s="862"/>
      <c r="CJ62" s="862"/>
      <c r="CK62" s="862"/>
      <c r="CL62" s="862"/>
      <c r="CM62" s="862"/>
      <c r="CN62" s="862"/>
      <c r="CO62" s="862"/>
      <c r="CP62" s="862"/>
      <c r="CQ62" s="1081">
        <f t="shared" si="130"/>
        <v>0</v>
      </c>
      <c r="CR62" s="862"/>
      <c r="CS62" s="862"/>
      <c r="CT62" s="862"/>
      <c r="CU62" s="73">
        <f t="shared" si="117"/>
        <v>0</v>
      </c>
      <c r="CV62" s="862"/>
      <c r="CW62" s="862"/>
      <c r="CX62" s="862"/>
      <c r="CY62" s="862"/>
      <c r="CZ62" s="862"/>
      <c r="DA62" s="862"/>
      <c r="DB62" s="862"/>
      <c r="DC62" s="862"/>
      <c r="DD62" s="1081"/>
      <c r="DE62" s="862"/>
      <c r="DF62" s="862"/>
      <c r="DG62" s="862"/>
      <c r="DH62" s="73">
        <f t="shared" si="118"/>
        <v>0</v>
      </c>
    </row>
    <row r="63" spans="1:112" s="37" customFormat="1" ht="24.75" customHeight="1" x14ac:dyDescent="0.2">
      <c r="A63" s="28"/>
      <c r="B63" s="882" t="s">
        <v>487</v>
      </c>
      <c r="C63" s="29" t="s">
        <v>128</v>
      </c>
      <c r="D63" s="720">
        <v>80</v>
      </c>
      <c r="E63" s="716"/>
      <c r="F63" s="30"/>
      <c r="G63" s="30"/>
      <c r="H63" s="30"/>
      <c r="I63" s="30"/>
      <c r="J63" s="30"/>
      <c r="K63" s="30"/>
      <c r="L63" s="30"/>
      <c r="M63" s="1136"/>
      <c r="N63" s="1136"/>
      <c r="O63" s="1136"/>
      <c r="P63" s="30"/>
      <c r="Q63" s="1136"/>
      <c r="R63" s="1136"/>
      <c r="S63" s="1136"/>
      <c r="T63" s="1531">
        <v>40</v>
      </c>
      <c r="U63" s="1136"/>
      <c r="V63" s="31">
        <f t="shared" si="170"/>
        <v>40</v>
      </c>
      <c r="W63" s="883" t="s">
        <v>45</v>
      </c>
      <c r="X63" s="717">
        <v>28500</v>
      </c>
      <c r="Y63" s="32"/>
      <c r="Z63" s="884"/>
      <c r="AA63" s="884"/>
      <c r="AB63" s="884"/>
      <c r="AC63" s="884"/>
      <c r="AD63" s="884"/>
      <c r="AE63" s="884"/>
      <c r="AF63" s="884"/>
      <c r="AG63" s="1220"/>
      <c r="AH63" s="1220"/>
      <c r="AI63" s="884"/>
      <c r="AJ63" s="884"/>
      <c r="AK63" s="1220"/>
      <c r="AL63" s="1220"/>
      <c r="AM63" s="1220"/>
      <c r="AN63" s="1539">
        <v>28000</v>
      </c>
      <c r="AO63" s="1220"/>
      <c r="AP63" s="1304">
        <f t="shared" si="174"/>
        <v>1140000</v>
      </c>
      <c r="AQ63" s="862">
        <f t="shared" si="102"/>
        <v>0</v>
      </c>
      <c r="AR63" s="862">
        <f t="shared" si="103"/>
        <v>0</v>
      </c>
      <c r="AS63" s="862">
        <f t="shared" si="104"/>
        <v>0</v>
      </c>
      <c r="AT63" s="862">
        <f t="shared" si="105"/>
        <v>0</v>
      </c>
      <c r="AU63" s="862">
        <f t="shared" si="106"/>
        <v>0</v>
      </c>
      <c r="AV63" s="862">
        <f t="shared" si="107"/>
        <v>0</v>
      </c>
      <c r="AW63" s="862">
        <f t="shared" si="171"/>
        <v>0</v>
      </c>
      <c r="AX63" s="862">
        <f t="shared" si="171"/>
        <v>0</v>
      </c>
      <c r="AY63" s="1128">
        <f t="shared" si="109"/>
        <v>0</v>
      </c>
      <c r="AZ63" s="1128">
        <f t="shared" si="110"/>
        <v>0</v>
      </c>
      <c r="BA63" s="862">
        <f t="shared" si="131"/>
        <v>0</v>
      </c>
      <c r="BB63" s="862">
        <f t="shared" si="132"/>
        <v>0</v>
      </c>
      <c r="BC63" s="1128">
        <f t="shared" si="133"/>
        <v>0</v>
      </c>
      <c r="BD63" s="1128">
        <f t="shared" si="133"/>
        <v>0</v>
      </c>
      <c r="BE63" s="1128">
        <f t="shared" si="133"/>
        <v>0</v>
      </c>
      <c r="BF63" s="1533">
        <f t="shared" si="133"/>
        <v>1120000</v>
      </c>
      <c r="BG63" s="1128">
        <f t="shared" si="133"/>
        <v>0</v>
      </c>
      <c r="BH63" s="863">
        <f t="shared" si="134"/>
        <v>1120000</v>
      </c>
      <c r="BI63" s="862">
        <f t="shared" si="175"/>
        <v>0</v>
      </c>
      <c r="BJ63" s="862">
        <f t="shared" si="175"/>
        <v>0</v>
      </c>
      <c r="BK63" s="862">
        <f>SUM(AS63*4%)</f>
        <v>0</v>
      </c>
      <c r="BL63" s="862">
        <f t="shared" si="176"/>
        <v>0</v>
      </c>
      <c r="BM63" s="862">
        <f t="shared" si="176"/>
        <v>0</v>
      </c>
      <c r="BN63" s="862">
        <f t="shared" si="176"/>
        <v>0</v>
      </c>
      <c r="BO63" s="862">
        <f t="shared" si="176"/>
        <v>0</v>
      </c>
      <c r="BP63" s="862">
        <f t="shared" si="176"/>
        <v>0</v>
      </c>
      <c r="BQ63" s="862">
        <f t="shared" si="176"/>
        <v>0</v>
      </c>
      <c r="BR63" s="862">
        <f t="shared" si="176"/>
        <v>0</v>
      </c>
      <c r="BS63" s="862">
        <f t="shared" si="176"/>
        <v>0</v>
      </c>
      <c r="BT63" s="862">
        <f t="shared" si="176"/>
        <v>0</v>
      </c>
      <c r="BU63" s="862">
        <f t="shared" si="177"/>
        <v>0</v>
      </c>
      <c r="BV63" s="862">
        <f t="shared" si="177"/>
        <v>0</v>
      </c>
      <c r="BW63" s="862">
        <f t="shared" si="177"/>
        <v>0</v>
      </c>
      <c r="BX63" s="879">
        <f>SUM(BF63*12%)</f>
        <v>134400</v>
      </c>
      <c r="BY63" s="862">
        <f t="shared" si="177"/>
        <v>0</v>
      </c>
      <c r="BZ63" s="73">
        <f>SUM(BI63:BY63)</f>
        <v>134400</v>
      </c>
      <c r="CA63" s="848">
        <f>AP63-BH63</f>
        <v>20000</v>
      </c>
      <c r="CB63" s="687">
        <f t="shared" si="139"/>
        <v>2280000</v>
      </c>
      <c r="CC63" s="682">
        <f>CB63-BH63</f>
        <v>1160000</v>
      </c>
      <c r="CD63" s="630">
        <f>SUM(V63/D63)</f>
        <v>0.5</v>
      </c>
      <c r="CE63" s="1081">
        <f t="shared" si="169"/>
        <v>0</v>
      </c>
      <c r="CF63" s="1081"/>
      <c r="CG63" s="1107">
        <f t="shared" si="116"/>
        <v>0</v>
      </c>
      <c r="CH63" s="1084"/>
      <c r="CI63" s="862"/>
      <c r="CJ63" s="862"/>
      <c r="CK63" s="862"/>
      <c r="CL63" s="862"/>
      <c r="CM63" s="862"/>
      <c r="CN63" s="862"/>
      <c r="CO63" s="862"/>
      <c r="CP63" s="862"/>
      <c r="CQ63" s="1081">
        <f t="shared" si="130"/>
        <v>0</v>
      </c>
      <c r="CR63" s="862"/>
      <c r="CS63" s="862"/>
      <c r="CT63" s="862"/>
      <c r="CU63" s="73">
        <f t="shared" si="117"/>
        <v>0</v>
      </c>
      <c r="CV63" s="862"/>
      <c r="CW63" s="862"/>
      <c r="CX63" s="862"/>
      <c r="CY63" s="862"/>
      <c r="CZ63" s="862"/>
      <c r="DA63" s="862"/>
      <c r="DB63" s="862"/>
      <c r="DC63" s="862"/>
      <c r="DD63" s="1081"/>
      <c r="DE63" s="862"/>
      <c r="DF63" s="862"/>
      <c r="DG63" s="862"/>
      <c r="DH63" s="73">
        <f t="shared" si="118"/>
        <v>0</v>
      </c>
    </row>
    <row r="64" spans="1:112" s="37" customFormat="1" ht="28.5" customHeight="1" x14ac:dyDescent="0.2">
      <c r="A64" s="28"/>
      <c r="B64" s="708" t="s">
        <v>135</v>
      </c>
      <c r="C64" s="29" t="s">
        <v>128</v>
      </c>
      <c r="D64" s="720">
        <v>2</v>
      </c>
      <c r="E64" s="683"/>
      <c r="F64" s="30"/>
      <c r="G64" s="30"/>
      <c r="H64" s="30"/>
      <c r="I64" s="30"/>
      <c r="J64" s="30"/>
      <c r="K64" s="30"/>
      <c r="L64" s="30"/>
      <c r="M64" s="1136"/>
      <c r="N64" s="1136"/>
      <c r="O64" s="1136"/>
      <c r="P64" s="30"/>
      <c r="Q64" s="1136"/>
      <c r="R64" s="1136"/>
      <c r="S64" s="1136"/>
      <c r="T64" s="1531"/>
      <c r="U64" s="1136"/>
      <c r="V64" s="31">
        <f t="shared" si="170"/>
        <v>0</v>
      </c>
      <c r="W64" s="883" t="s">
        <v>16</v>
      </c>
      <c r="X64" s="717">
        <v>35000</v>
      </c>
      <c r="Y64" s="885"/>
      <c r="Z64" s="884"/>
      <c r="AA64" s="884"/>
      <c r="AB64" s="884"/>
      <c r="AC64" s="884"/>
      <c r="AD64" s="884"/>
      <c r="AE64" s="884"/>
      <c r="AF64" s="884"/>
      <c r="AG64" s="1220"/>
      <c r="AH64" s="1220"/>
      <c r="AI64" s="884"/>
      <c r="AJ64" s="884"/>
      <c r="AK64" s="1220"/>
      <c r="AL64" s="1220"/>
      <c r="AM64" s="1220"/>
      <c r="AN64" s="1539"/>
      <c r="AO64" s="1573"/>
      <c r="AP64" s="1304">
        <f t="shared" si="174"/>
        <v>0</v>
      </c>
      <c r="AQ64" s="862">
        <f t="shared" si="102"/>
        <v>0</v>
      </c>
      <c r="AR64" s="862">
        <f t="shared" si="103"/>
        <v>0</v>
      </c>
      <c r="AS64" s="862">
        <f t="shared" si="104"/>
        <v>0</v>
      </c>
      <c r="AT64" s="862">
        <f t="shared" si="105"/>
        <v>0</v>
      </c>
      <c r="AU64" s="862">
        <f t="shared" si="106"/>
        <v>0</v>
      </c>
      <c r="AV64" s="862">
        <f t="shared" si="107"/>
        <v>0</v>
      </c>
      <c r="AW64" s="862">
        <f t="shared" si="171"/>
        <v>0</v>
      </c>
      <c r="AX64" s="862">
        <f t="shared" si="171"/>
        <v>0</v>
      </c>
      <c r="AY64" s="1128">
        <f t="shared" si="109"/>
        <v>0</v>
      </c>
      <c r="AZ64" s="1128">
        <f t="shared" si="110"/>
        <v>0</v>
      </c>
      <c r="BA64" s="862">
        <f t="shared" si="131"/>
        <v>0</v>
      </c>
      <c r="BB64" s="862">
        <f t="shared" si="132"/>
        <v>0</v>
      </c>
      <c r="BC64" s="1128">
        <f t="shared" si="133"/>
        <v>0</v>
      </c>
      <c r="BD64" s="1128">
        <f t="shared" si="133"/>
        <v>0</v>
      </c>
      <c r="BE64" s="1128">
        <f t="shared" si="133"/>
        <v>0</v>
      </c>
      <c r="BF64" s="1533">
        <f t="shared" si="133"/>
        <v>0</v>
      </c>
      <c r="BG64" s="1128">
        <f t="shared" si="133"/>
        <v>0</v>
      </c>
      <c r="BH64" s="863">
        <f t="shared" si="134"/>
        <v>0</v>
      </c>
      <c r="BI64" s="862">
        <f t="shared" si="175"/>
        <v>0</v>
      </c>
      <c r="BJ64" s="862">
        <f t="shared" si="175"/>
        <v>0</v>
      </c>
      <c r="BK64" s="862">
        <f>SUM(AS64*14%)</f>
        <v>0</v>
      </c>
      <c r="BL64" s="862">
        <f t="shared" si="176"/>
        <v>0</v>
      </c>
      <c r="BM64" s="862">
        <f t="shared" si="176"/>
        <v>0</v>
      </c>
      <c r="BN64" s="862">
        <f t="shared" si="176"/>
        <v>0</v>
      </c>
      <c r="BO64" s="862">
        <f t="shared" si="176"/>
        <v>0</v>
      </c>
      <c r="BP64" s="862">
        <f t="shared" si="176"/>
        <v>0</v>
      </c>
      <c r="BQ64" s="862">
        <f t="shared" si="176"/>
        <v>0</v>
      </c>
      <c r="BR64" s="862">
        <f t="shared" si="176"/>
        <v>0</v>
      </c>
      <c r="BS64" s="862">
        <f t="shared" si="176"/>
        <v>0</v>
      </c>
      <c r="BT64" s="862">
        <f t="shared" si="176"/>
        <v>0</v>
      </c>
      <c r="BU64" s="862">
        <f t="shared" si="177"/>
        <v>0</v>
      </c>
      <c r="BV64" s="862">
        <f t="shared" si="177"/>
        <v>0</v>
      </c>
      <c r="BW64" s="862">
        <f t="shared" si="177"/>
        <v>0</v>
      </c>
      <c r="BX64" s="862">
        <f t="shared" si="177"/>
        <v>0</v>
      </c>
      <c r="BY64" s="862">
        <f>SUM(BG64*2%)</f>
        <v>0</v>
      </c>
      <c r="BZ64" s="73">
        <f>SUM(BI64:BY64)</f>
        <v>0</v>
      </c>
      <c r="CA64" s="686">
        <f>AP64-BH64</f>
        <v>0</v>
      </c>
      <c r="CB64" s="687">
        <f t="shared" si="139"/>
        <v>70000</v>
      </c>
      <c r="CC64" s="682">
        <f>CB64-BH64</f>
        <v>70000</v>
      </c>
      <c r="CD64" s="630">
        <f>SUM(V64/D64)</f>
        <v>0</v>
      </c>
      <c r="CE64" s="1081">
        <f t="shared" si="169"/>
        <v>0</v>
      </c>
      <c r="CF64" s="1081"/>
      <c r="CG64" s="1107">
        <f t="shared" si="116"/>
        <v>0</v>
      </c>
      <c r="CH64" s="1084"/>
      <c r="CI64" s="862"/>
      <c r="CJ64" s="862"/>
      <c r="CK64" s="862"/>
      <c r="CL64" s="862"/>
      <c r="CM64" s="862"/>
      <c r="CN64" s="862"/>
      <c r="CO64" s="862"/>
      <c r="CP64" s="862"/>
      <c r="CQ64" s="1081">
        <f t="shared" si="130"/>
        <v>0</v>
      </c>
      <c r="CR64" s="862"/>
      <c r="CS64" s="862"/>
      <c r="CT64" s="862"/>
      <c r="CU64" s="73">
        <f t="shared" si="117"/>
        <v>0</v>
      </c>
      <c r="CV64" s="862"/>
      <c r="CW64" s="862"/>
      <c r="CX64" s="862"/>
      <c r="CY64" s="862"/>
      <c r="CZ64" s="862"/>
      <c r="DA64" s="862"/>
      <c r="DB64" s="862"/>
      <c r="DC64" s="862"/>
      <c r="DD64" s="1081"/>
      <c r="DE64" s="862"/>
      <c r="DF64" s="862"/>
      <c r="DG64" s="862"/>
      <c r="DH64" s="73">
        <f t="shared" si="118"/>
        <v>0</v>
      </c>
    </row>
    <row r="65" spans="1:112" s="637" customFormat="1" ht="28.5" customHeight="1" x14ac:dyDescent="0.2">
      <c r="A65" s="670">
        <v>5</v>
      </c>
      <c r="B65" s="631" t="s">
        <v>478</v>
      </c>
      <c r="C65" s="634"/>
      <c r="D65" s="705"/>
      <c r="E65" s="634"/>
      <c r="F65" s="634"/>
      <c r="G65" s="634"/>
      <c r="H65" s="30"/>
      <c r="I65" s="634"/>
      <c r="J65" s="634"/>
      <c r="K65" s="634"/>
      <c r="L65" s="634"/>
      <c r="M65" s="1315"/>
      <c r="N65" s="1315"/>
      <c r="O65" s="1315"/>
      <c r="P65" s="634"/>
      <c r="Q65" s="1315"/>
      <c r="R65" s="1315"/>
      <c r="S65" s="1315"/>
      <c r="T65" s="1511"/>
      <c r="U65" s="1315"/>
      <c r="V65" s="634"/>
      <c r="W65" s="634"/>
      <c r="X65" s="634"/>
      <c r="Y65" s="634"/>
      <c r="Z65" s="634"/>
      <c r="AA65" s="634"/>
      <c r="AB65" s="634"/>
      <c r="AC65" s="634"/>
      <c r="AD65" s="634"/>
      <c r="AE65" s="634"/>
      <c r="AF65" s="634"/>
      <c r="AG65" s="1315"/>
      <c r="AH65" s="1315"/>
      <c r="AI65" s="634"/>
      <c r="AJ65" s="634"/>
      <c r="AK65" s="1315"/>
      <c r="AL65" s="1315"/>
      <c r="AM65" s="1315"/>
      <c r="AN65" s="1511"/>
      <c r="AO65" s="1315"/>
      <c r="AP65" s="634"/>
      <c r="AQ65" s="634"/>
      <c r="AR65" s="634"/>
      <c r="AS65" s="634"/>
      <c r="AT65" s="634"/>
      <c r="AU65" s="634"/>
      <c r="AV65" s="634"/>
      <c r="AW65" s="634"/>
      <c r="AX65" s="634"/>
      <c r="AY65" s="1315"/>
      <c r="AZ65" s="1315"/>
      <c r="BA65" s="634"/>
      <c r="BB65" s="634"/>
      <c r="BC65" s="1315"/>
      <c r="BD65" s="1315"/>
      <c r="BE65" s="1315"/>
      <c r="BF65" s="1511"/>
      <c r="BG65" s="1315"/>
      <c r="BH65" s="634"/>
      <c r="BI65" s="634"/>
      <c r="BJ65" s="634"/>
      <c r="BK65" s="634"/>
      <c r="BL65" s="634"/>
      <c r="BM65" s="634"/>
      <c r="BN65" s="634"/>
      <c r="BO65" s="634"/>
      <c r="BP65" s="634"/>
      <c r="BQ65" s="634"/>
      <c r="BR65" s="634"/>
      <c r="BS65" s="634"/>
      <c r="BT65" s="634"/>
      <c r="BU65" s="634"/>
      <c r="BV65" s="634"/>
      <c r="BW65" s="634"/>
      <c r="BX65" s="634"/>
      <c r="BY65" s="634"/>
      <c r="BZ65" s="634"/>
      <c r="CA65" s="622"/>
      <c r="CB65" s="687"/>
      <c r="CC65" s="688"/>
      <c r="CD65" s="37"/>
      <c r="CE65" s="1081">
        <f t="shared" si="169"/>
        <v>0</v>
      </c>
      <c r="CF65" s="1081"/>
      <c r="CG65" s="1107">
        <f t="shared" si="116"/>
        <v>0</v>
      </c>
      <c r="CH65" s="1084"/>
      <c r="CI65" s="862"/>
      <c r="CJ65" s="862"/>
      <c r="CK65" s="862"/>
      <c r="CL65" s="862"/>
      <c r="CM65" s="862"/>
      <c r="CN65" s="862"/>
      <c r="CO65" s="862"/>
      <c r="CP65" s="862"/>
      <c r="CQ65" s="1081">
        <f t="shared" si="130"/>
        <v>0</v>
      </c>
      <c r="CR65" s="862"/>
      <c r="CS65" s="862"/>
      <c r="CT65" s="862"/>
      <c r="CU65" s="73">
        <f t="shared" si="117"/>
        <v>0</v>
      </c>
      <c r="CV65" s="862"/>
      <c r="CW65" s="862"/>
      <c r="CX65" s="862"/>
      <c r="CY65" s="862"/>
      <c r="CZ65" s="862"/>
      <c r="DA65" s="862"/>
      <c r="DB65" s="862"/>
      <c r="DC65" s="862"/>
      <c r="DD65" s="1081"/>
      <c r="DE65" s="862"/>
      <c r="DF65" s="862"/>
      <c r="DG65" s="862"/>
      <c r="DH65" s="73">
        <f t="shared" si="118"/>
        <v>0</v>
      </c>
    </row>
    <row r="66" spans="1:112" s="37" customFormat="1" ht="24.75" customHeight="1" x14ac:dyDescent="0.2">
      <c r="A66" s="864"/>
      <c r="B66" s="706" t="s">
        <v>479</v>
      </c>
      <c r="C66" s="205" t="s">
        <v>128</v>
      </c>
      <c r="D66" s="709">
        <v>50</v>
      </c>
      <c r="E66" s="676">
        <v>50</v>
      </c>
      <c r="F66" s="207"/>
      <c r="G66" s="207"/>
      <c r="H66" s="30"/>
      <c r="I66" s="207"/>
      <c r="J66" s="207"/>
      <c r="K66" s="207"/>
      <c r="L66" s="207"/>
      <c r="M66" s="1406"/>
      <c r="N66" s="1406"/>
      <c r="O66" s="1406"/>
      <c r="P66" s="207"/>
      <c r="Q66" s="1406"/>
      <c r="R66" s="1406"/>
      <c r="S66" s="1406"/>
      <c r="T66" s="1508"/>
      <c r="U66" s="1406"/>
      <c r="V66" s="208">
        <f t="shared" ref="V66:V70" si="178">SUM(E66:U66)</f>
        <v>50</v>
      </c>
      <c r="W66" s="710" t="s">
        <v>27</v>
      </c>
      <c r="X66" s="675">
        <v>37100</v>
      </c>
      <c r="Y66" s="877">
        <v>30000</v>
      </c>
      <c r="Z66" s="878"/>
      <c r="AA66" s="878"/>
      <c r="AB66" s="878"/>
      <c r="AC66" s="878"/>
      <c r="AD66" s="878"/>
      <c r="AE66" s="878"/>
      <c r="AF66" s="878"/>
      <c r="AG66" s="1314"/>
      <c r="AH66" s="1314"/>
      <c r="AI66" s="878"/>
      <c r="AJ66" s="878"/>
      <c r="AK66" s="1314"/>
      <c r="AL66" s="1314"/>
      <c r="AM66" s="1314"/>
      <c r="AN66" s="1541"/>
      <c r="AO66" s="1314"/>
      <c r="AP66" s="1307">
        <f t="shared" ref="AP66:AP70" si="179">SUM(V66*X66)</f>
        <v>1855000</v>
      </c>
      <c r="AQ66" s="879">
        <f t="shared" ref="AQ66:AQ70" si="180">Y66*E66</f>
        <v>1500000</v>
      </c>
      <c r="AR66" s="879">
        <f t="shared" ref="AR66:AR70" si="181">Z66*F66</f>
        <v>0</v>
      </c>
      <c r="AS66" s="879">
        <f t="shared" ref="AS66:AS70" si="182">AA66*G66</f>
        <v>0</v>
      </c>
      <c r="AT66" s="879">
        <f t="shared" ref="AT66:AT70" si="183">AB66*H66</f>
        <v>0</v>
      </c>
      <c r="AU66" s="879">
        <f t="shared" ref="AU66:AU70" si="184">AC66*I66</f>
        <v>0</v>
      </c>
      <c r="AV66" s="879">
        <f t="shared" ref="AV66:AV70" si="185">AD66*J66</f>
        <v>0</v>
      </c>
      <c r="AW66" s="879">
        <f t="shared" ref="AW66:AW70" si="186">AE66*K66</f>
        <v>0</v>
      </c>
      <c r="AX66" s="879">
        <f t="shared" ref="AX66:AX70" si="187">AF66*L66</f>
        <v>0</v>
      </c>
      <c r="AY66" s="1317">
        <f t="shared" ref="AY66:AY70" si="188">AG66*M66</f>
        <v>0</v>
      </c>
      <c r="AZ66" s="1317">
        <f t="shared" ref="AZ66:AZ70" si="189">AH66*N66</f>
        <v>0</v>
      </c>
      <c r="BA66" s="879">
        <f t="shared" ref="BA66:BB70" si="190">AI66*O66</f>
        <v>0</v>
      </c>
      <c r="BB66" s="879">
        <f t="shared" si="190"/>
        <v>0</v>
      </c>
      <c r="BC66" s="1317">
        <f t="shared" ref="BC66:BG70" si="191">AK66*Q66</f>
        <v>0</v>
      </c>
      <c r="BD66" s="1317">
        <f t="shared" si="191"/>
        <v>0</v>
      </c>
      <c r="BE66" s="1317">
        <f t="shared" si="191"/>
        <v>0</v>
      </c>
      <c r="BF66" s="1540">
        <f t="shared" si="191"/>
        <v>0</v>
      </c>
      <c r="BG66" s="1317">
        <f t="shared" si="191"/>
        <v>0</v>
      </c>
      <c r="BH66" s="880">
        <f>SUM(AQ66:BG66)</f>
        <v>1500000</v>
      </c>
      <c r="BI66" s="862">
        <f>SUM(AQ66*3%)</f>
        <v>45000</v>
      </c>
      <c r="BJ66" s="879">
        <f t="shared" ref="BJ66:BT70" si="192">SUM(AR66*14%)</f>
        <v>0</v>
      </c>
      <c r="BK66" s="879">
        <f t="shared" si="192"/>
        <v>0</v>
      </c>
      <c r="BL66" s="879">
        <f t="shared" si="192"/>
        <v>0</v>
      </c>
      <c r="BM66" s="879">
        <f t="shared" si="192"/>
        <v>0</v>
      </c>
      <c r="BN66" s="879">
        <f t="shared" si="192"/>
        <v>0</v>
      </c>
      <c r="BO66" s="879">
        <f t="shared" si="192"/>
        <v>0</v>
      </c>
      <c r="BP66" s="879">
        <f t="shared" si="192"/>
        <v>0</v>
      </c>
      <c r="BQ66" s="879">
        <f t="shared" si="192"/>
        <v>0</v>
      </c>
      <c r="BR66" s="879">
        <f t="shared" si="192"/>
        <v>0</v>
      </c>
      <c r="BS66" s="879">
        <f t="shared" si="192"/>
        <v>0</v>
      </c>
      <c r="BT66" s="879">
        <f t="shared" si="192"/>
        <v>0</v>
      </c>
      <c r="BU66" s="879">
        <f t="shared" ref="BU66:BY70" si="193">SUM(BC66*14%)</f>
        <v>0</v>
      </c>
      <c r="BV66" s="879">
        <f t="shared" si="193"/>
        <v>0</v>
      </c>
      <c r="BW66" s="879">
        <f t="shared" si="193"/>
        <v>0</v>
      </c>
      <c r="BX66" s="879">
        <f t="shared" si="193"/>
        <v>0</v>
      </c>
      <c r="BY66" s="879">
        <f t="shared" si="193"/>
        <v>0</v>
      </c>
      <c r="BZ66" s="881">
        <f>SUM(BI66:BY66)</f>
        <v>45000</v>
      </c>
      <c r="CA66" s="686">
        <f>AP66-BH66-BZ66</f>
        <v>310000</v>
      </c>
      <c r="CB66" s="687">
        <f>X66*D66</f>
        <v>1855000</v>
      </c>
      <c r="CC66" s="688">
        <f>CB66-BH66-BZ66</f>
        <v>310000</v>
      </c>
      <c r="CD66" s="630">
        <f>SUM(V66/D66)</f>
        <v>1</v>
      </c>
      <c r="CE66" s="1081">
        <f t="shared" si="169"/>
        <v>0</v>
      </c>
      <c r="CF66" s="1081"/>
      <c r="CG66" s="1107">
        <f t="shared" si="116"/>
        <v>0</v>
      </c>
      <c r="CH66" s="1084"/>
      <c r="CI66" s="862"/>
      <c r="CJ66" s="862"/>
      <c r="CK66" s="862"/>
      <c r="CL66" s="862"/>
      <c r="CM66" s="862"/>
      <c r="CN66" s="862"/>
      <c r="CO66" s="862"/>
      <c r="CP66" s="862"/>
      <c r="CQ66" s="1081">
        <f t="shared" si="130"/>
        <v>0</v>
      </c>
      <c r="CR66" s="862"/>
      <c r="CS66" s="862"/>
      <c r="CT66" s="862"/>
      <c r="CU66" s="73">
        <f t="shared" si="117"/>
        <v>0</v>
      </c>
      <c r="CV66" s="862"/>
      <c r="CW66" s="862"/>
      <c r="CX66" s="862"/>
      <c r="CY66" s="862"/>
      <c r="CZ66" s="862"/>
      <c r="DA66" s="862"/>
      <c r="DB66" s="862"/>
      <c r="DC66" s="862"/>
      <c r="DD66" s="1081"/>
      <c r="DE66" s="862"/>
      <c r="DF66" s="862"/>
      <c r="DG66" s="862"/>
      <c r="DH66" s="73">
        <f t="shared" si="118"/>
        <v>0</v>
      </c>
    </row>
    <row r="67" spans="1:112" s="37" customFormat="1" ht="31.5" customHeight="1" x14ac:dyDescent="0.2">
      <c r="A67" s="28"/>
      <c r="B67" s="706" t="s">
        <v>163</v>
      </c>
      <c r="C67" s="29" t="s">
        <v>128</v>
      </c>
      <c r="D67" s="709">
        <v>5</v>
      </c>
      <c r="E67" s="676">
        <v>5</v>
      </c>
      <c r="F67" s="30"/>
      <c r="G67" s="30"/>
      <c r="H67" s="30"/>
      <c r="I67" s="30"/>
      <c r="J67" s="30"/>
      <c r="K67" s="30"/>
      <c r="L67" s="30"/>
      <c r="M67" s="1136"/>
      <c r="N67" s="1136"/>
      <c r="O67" s="1136"/>
      <c r="P67" s="30"/>
      <c r="Q67" s="1136"/>
      <c r="R67" s="1136"/>
      <c r="S67" s="1136"/>
      <c r="T67" s="1531"/>
      <c r="U67" s="1136"/>
      <c r="V67" s="31">
        <f t="shared" si="178"/>
        <v>5</v>
      </c>
      <c r="W67" s="710" t="s">
        <v>0</v>
      </c>
      <c r="X67" s="675">
        <v>49500</v>
      </c>
      <c r="Y67" s="32">
        <v>40000</v>
      </c>
      <c r="Z67" s="884"/>
      <c r="AA67" s="884"/>
      <c r="AB67" s="884"/>
      <c r="AC67" s="884"/>
      <c r="AD67" s="884"/>
      <c r="AE67" s="884"/>
      <c r="AF67" s="884"/>
      <c r="AG67" s="1220"/>
      <c r="AH67" s="1220"/>
      <c r="AI67" s="884"/>
      <c r="AJ67" s="884"/>
      <c r="AK67" s="1220"/>
      <c r="AL67" s="1220"/>
      <c r="AM67" s="1220"/>
      <c r="AN67" s="1539"/>
      <c r="AO67" s="1220"/>
      <c r="AP67" s="1304">
        <f t="shared" si="179"/>
        <v>247500</v>
      </c>
      <c r="AQ67" s="862">
        <f t="shared" si="180"/>
        <v>200000</v>
      </c>
      <c r="AR67" s="862">
        <f t="shared" si="181"/>
        <v>0</v>
      </c>
      <c r="AS67" s="862">
        <f t="shared" si="182"/>
        <v>0</v>
      </c>
      <c r="AT67" s="862">
        <f t="shared" si="183"/>
        <v>0</v>
      </c>
      <c r="AU67" s="862">
        <f t="shared" si="184"/>
        <v>0</v>
      </c>
      <c r="AV67" s="862">
        <f t="shared" si="185"/>
        <v>0</v>
      </c>
      <c r="AW67" s="862">
        <f t="shared" si="186"/>
        <v>0</v>
      </c>
      <c r="AX67" s="862">
        <f t="shared" si="187"/>
        <v>0</v>
      </c>
      <c r="AY67" s="1128">
        <f t="shared" si="188"/>
        <v>0</v>
      </c>
      <c r="AZ67" s="1128">
        <f t="shared" si="189"/>
        <v>0</v>
      </c>
      <c r="BA67" s="862">
        <f t="shared" si="190"/>
        <v>0</v>
      </c>
      <c r="BB67" s="862">
        <f t="shared" si="190"/>
        <v>0</v>
      </c>
      <c r="BC67" s="1128">
        <f t="shared" si="191"/>
        <v>0</v>
      </c>
      <c r="BD67" s="1128">
        <f t="shared" si="191"/>
        <v>0</v>
      </c>
      <c r="BE67" s="1128">
        <f t="shared" si="191"/>
        <v>0</v>
      </c>
      <c r="BF67" s="1533">
        <f t="shared" si="191"/>
        <v>0</v>
      </c>
      <c r="BG67" s="1128">
        <f t="shared" si="191"/>
        <v>0</v>
      </c>
      <c r="BH67" s="863">
        <f>SUM(AQ67:BG67)</f>
        <v>200000</v>
      </c>
      <c r="BI67" s="862">
        <f>SUM(AQ67*3%)</f>
        <v>6000</v>
      </c>
      <c r="BJ67" s="862">
        <f t="shared" si="192"/>
        <v>0</v>
      </c>
      <c r="BK67" s="862">
        <f t="shared" si="192"/>
        <v>0</v>
      </c>
      <c r="BL67" s="862">
        <f t="shared" si="192"/>
        <v>0</v>
      </c>
      <c r="BM67" s="862">
        <f t="shared" si="192"/>
        <v>0</v>
      </c>
      <c r="BN67" s="862">
        <f t="shared" si="192"/>
        <v>0</v>
      </c>
      <c r="BO67" s="862">
        <f t="shared" si="192"/>
        <v>0</v>
      </c>
      <c r="BP67" s="862">
        <f t="shared" si="192"/>
        <v>0</v>
      </c>
      <c r="BQ67" s="862">
        <f t="shared" si="192"/>
        <v>0</v>
      </c>
      <c r="BR67" s="862">
        <f t="shared" si="192"/>
        <v>0</v>
      </c>
      <c r="BS67" s="862">
        <f t="shared" si="192"/>
        <v>0</v>
      </c>
      <c r="BT67" s="862">
        <f t="shared" si="192"/>
        <v>0</v>
      </c>
      <c r="BU67" s="862">
        <f t="shared" si="193"/>
        <v>0</v>
      </c>
      <c r="BV67" s="862">
        <f t="shared" si="193"/>
        <v>0</v>
      </c>
      <c r="BW67" s="862">
        <f t="shared" si="193"/>
        <v>0</v>
      </c>
      <c r="BX67" s="862">
        <f t="shared" si="193"/>
        <v>0</v>
      </c>
      <c r="BY67" s="862">
        <f t="shared" si="193"/>
        <v>0</v>
      </c>
      <c r="BZ67" s="73">
        <f>SUM(BI67:BY67)</f>
        <v>6000</v>
      </c>
      <c r="CA67" s="686">
        <f>AP67-BH67-BZ67</f>
        <v>41500</v>
      </c>
      <c r="CB67" s="687">
        <f>X67*D67</f>
        <v>247500</v>
      </c>
      <c r="CC67" s="688">
        <f>CB67-BH67-BZ67</f>
        <v>41500</v>
      </c>
      <c r="CD67" s="630">
        <f>SUM(V67/D67)</f>
        <v>1</v>
      </c>
      <c r="CE67" s="1081">
        <f t="shared" si="169"/>
        <v>0</v>
      </c>
      <c r="CF67" s="1081"/>
      <c r="CG67" s="1107">
        <f t="shared" si="116"/>
        <v>0</v>
      </c>
      <c r="CH67" s="1084"/>
      <c r="CI67" s="862"/>
      <c r="CJ67" s="862"/>
      <c r="CK67" s="862"/>
      <c r="CL67" s="862"/>
      <c r="CM67" s="862"/>
      <c r="CN67" s="862"/>
      <c r="CO67" s="862"/>
      <c r="CP67" s="862"/>
      <c r="CQ67" s="1081">
        <f t="shared" si="130"/>
        <v>0</v>
      </c>
      <c r="CR67" s="862"/>
      <c r="CS67" s="862"/>
      <c r="CT67" s="862"/>
      <c r="CU67" s="73">
        <f t="shared" si="117"/>
        <v>0</v>
      </c>
      <c r="CV67" s="862"/>
      <c r="CW67" s="862"/>
      <c r="CX67" s="862"/>
      <c r="CY67" s="862"/>
      <c r="CZ67" s="862"/>
      <c r="DA67" s="862"/>
      <c r="DB67" s="862"/>
      <c r="DC67" s="862"/>
      <c r="DD67" s="1081"/>
      <c r="DE67" s="862"/>
      <c r="DF67" s="862"/>
      <c r="DG67" s="862"/>
      <c r="DH67" s="73">
        <f t="shared" si="118"/>
        <v>0</v>
      </c>
    </row>
    <row r="68" spans="1:112" s="37" customFormat="1" ht="32.25" customHeight="1" x14ac:dyDescent="0.2">
      <c r="A68" s="28"/>
      <c r="B68" s="706" t="s">
        <v>161</v>
      </c>
      <c r="C68" s="29" t="s">
        <v>128</v>
      </c>
      <c r="D68" s="709">
        <v>5</v>
      </c>
      <c r="E68" s="676">
        <v>5</v>
      </c>
      <c r="F68" s="30"/>
      <c r="G68" s="30"/>
      <c r="H68" s="30"/>
      <c r="I68" s="30"/>
      <c r="J68" s="30"/>
      <c r="K68" s="30"/>
      <c r="L68" s="30"/>
      <c r="M68" s="1136"/>
      <c r="N68" s="1136"/>
      <c r="O68" s="1136"/>
      <c r="P68" s="30"/>
      <c r="Q68" s="1136"/>
      <c r="R68" s="1136"/>
      <c r="S68" s="1136"/>
      <c r="T68" s="1531"/>
      <c r="U68" s="1136"/>
      <c r="V68" s="31">
        <f t="shared" si="178"/>
        <v>5</v>
      </c>
      <c r="W68" s="710" t="s">
        <v>27</v>
      </c>
      <c r="X68" s="675">
        <v>22700</v>
      </c>
      <c r="Y68" s="32">
        <v>20000</v>
      </c>
      <c r="Z68" s="884"/>
      <c r="AA68" s="884"/>
      <c r="AB68" s="884"/>
      <c r="AC68" s="884"/>
      <c r="AD68" s="884"/>
      <c r="AE68" s="884"/>
      <c r="AF68" s="884"/>
      <c r="AG68" s="1220"/>
      <c r="AH68" s="1220"/>
      <c r="AI68" s="884"/>
      <c r="AJ68" s="884"/>
      <c r="AK68" s="1220"/>
      <c r="AL68" s="1220"/>
      <c r="AM68" s="1220"/>
      <c r="AN68" s="1539"/>
      <c r="AO68" s="1220"/>
      <c r="AP68" s="1304">
        <f t="shared" si="179"/>
        <v>113500</v>
      </c>
      <c r="AQ68" s="862">
        <f t="shared" si="180"/>
        <v>100000</v>
      </c>
      <c r="AR68" s="862">
        <f t="shared" si="181"/>
        <v>0</v>
      </c>
      <c r="AS68" s="862">
        <f t="shared" si="182"/>
        <v>0</v>
      </c>
      <c r="AT68" s="862">
        <f t="shared" si="183"/>
        <v>0</v>
      </c>
      <c r="AU68" s="862">
        <f t="shared" si="184"/>
        <v>0</v>
      </c>
      <c r="AV68" s="862">
        <f t="shared" si="185"/>
        <v>0</v>
      </c>
      <c r="AW68" s="862">
        <f t="shared" si="186"/>
        <v>0</v>
      </c>
      <c r="AX68" s="862">
        <f t="shared" si="187"/>
        <v>0</v>
      </c>
      <c r="AY68" s="1128">
        <f t="shared" si="188"/>
        <v>0</v>
      </c>
      <c r="AZ68" s="1128">
        <f t="shared" si="189"/>
        <v>0</v>
      </c>
      <c r="BA68" s="862">
        <f t="shared" si="190"/>
        <v>0</v>
      </c>
      <c r="BB68" s="862">
        <f t="shared" si="190"/>
        <v>0</v>
      </c>
      <c r="BC68" s="1128">
        <f t="shared" si="191"/>
        <v>0</v>
      </c>
      <c r="BD68" s="1128">
        <f t="shared" si="191"/>
        <v>0</v>
      </c>
      <c r="BE68" s="1128">
        <f t="shared" si="191"/>
        <v>0</v>
      </c>
      <c r="BF68" s="1533">
        <f t="shared" si="191"/>
        <v>0</v>
      </c>
      <c r="BG68" s="1128">
        <f t="shared" si="191"/>
        <v>0</v>
      </c>
      <c r="BH68" s="863">
        <f>SUM(AQ68:BG68)</f>
        <v>100000</v>
      </c>
      <c r="BI68" s="862">
        <f>SUM(AQ68*3%)</f>
        <v>3000</v>
      </c>
      <c r="BJ68" s="862">
        <f t="shared" si="192"/>
        <v>0</v>
      </c>
      <c r="BK68" s="862">
        <f t="shared" si="192"/>
        <v>0</v>
      </c>
      <c r="BL68" s="862">
        <f t="shared" si="192"/>
        <v>0</v>
      </c>
      <c r="BM68" s="862">
        <f t="shared" si="192"/>
        <v>0</v>
      </c>
      <c r="BN68" s="862">
        <f t="shared" si="192"/>
        <v>0</v>
      </c>
      <c r="BO68" s="862">
        <f t="shared" si="192"/>
        <v>0</v>
      </c>
      <c r="BP68" s="862">
        <f t="shared" si="192"/>
        <v>0</v>
      </c>
      <c r="BQ68" s="862">
        <f t="shared" si="192"/>
        <v>0</v>
      </c>
      <c r="BR68" s="862">
        <f t="shared" si="192"/>
        <v>0</v>
      </c>
      <c r="BS68" s="862">
        <f t="shared" si="192"/>
        <v>0</v>
      </c>
      <c r="BT68" s="862">
        <f t="shared" si="192"/>
        <v>0</v>
      </c>
      <c r="BU68" s="862">
        <f t="shared" si="193"/>
        <v>0</v>
      </c>
      <c r="BV68" s="862">
        <f t="shared" si="193"/>
        <v>0</v>
      </c>
      <c r="BW68" s="862">
        <f t="shared" si="193"/>
        <v>0</v>
      </c>
      <c r="BX68" s="862">
        <f t="shared" si="193"/>
        <v>0</v>
      </c>
      <c r="BY68" s="862">
        <f t="shared" si="193"/>
        <v>0</v>
      </c>
      <c r="BZ68" s="73">
        <f>SUM(BI68:BY68)</f>
        <v>3000</v>
      </c>
      <c r="CA68" s="686">
        <f>AP68-BH68-BZ68</f>
        <v>10500</v>
      </c>
      <c r="CB68" s="687">
        <f>X68*D68</f>
        <v>113500</v>
      </c>
      <c r="CC68" s="688">
        <f>CB68-BH68-BZ68</f>
        <v>10500</v>
      </c>
      <c r="CD68" s="630">
        <f>SUM(V68/D68)</f>
        <v>1</v>
      </c>
      <c r="CE68" s="1081">
        <f t="shared" si="169"/>
        <v>0</v>
      </c>
      <c r="CF68" s="1081"/>
      <c r="CG68" s="1107">
        <f t="shared" si="116"/>
        <v>0</v>
      </c>
      <c r="CH68" s="1084"/>
      <c r="CI68" s="862"/>
      <c r="CJ68" s="862"/>
      <c r="CK68" s="862"/>
      <c r="CL68" s="862"/>
      <c r="CM68" s="862"/>
      <c r="CN68" s="862"/>
      <c r="CO68" s="862"/>
      <c r="CP68" s="862"/>
      <c r="CQ68" s="1081">
        <f t="shared" si="130"/>
        <v>0</v>
      </c>
      <c r="CR68" s="862"/>
      <c r="CS68" s="862"/>
      <c r="CT68" s="862"/>
      <c r="CU68" s="73">
        <f t="shared" si="117"/>
        <v>0</v>
      </c>
      <c r="CV68" s="862"/>
      <c r="CW68" s="862"/>
      <c r="CX68" s="862"/>
      <c r="CY68" s="862"/>
      <c r="CZ68" s="862"/>
      <c r="DA68" s="862"/>
      <c r="DB68" s="862"/>
      <c r="DC68" s="862"/>
      <c r="DD68" s="1081"/>
      <c r="DE68" s="862"/>
      <c r="DF68" s="862"/>
      <c r="DG68" s="862"/>
      <c r="DH68" s="73">
        <f t="shared" si="118"/>
        <v>0</v>
      </c>
    </row>
    <row r="69" spans="1:112" s="37" customFormat="1" ht="24.75" customHeight="1" x14ac:dyDescent="0.2">
      <c r="A69" s="28"/>
      <c r="B69" s="706" t="s">
        <v>480</v>
      </c>
      <c r="C69" s="29" t="s">
        <v>128</v>
      </c>
      <c r="D69" s="709">
        <v>5</v>
      </c>
      <c r="E69" s="676">
        <v>5</v>
      </c>
      <c r="F69" s="30"/>
      <c r="G69" s="30"/>
      <c r="H69" s="30"/>
      <c r="I69" s="30"/>
      <c r="J69" s="30"/>
      <c r="K69" s="30"/>
      <c r="L69" s="30"/>
      <c r="M69" s="1136"/>
      <c r="N69" s="1136"/>
      <c r="O69" s="1136"/>
      <c r="P69" s="30"/>
      <c r="Q69" s="1136"/>
      <c r="R69" s="1136"/>
      <c r="S69" s="1136"/>
      <c r="T69" s="1531"/>
      <c r="U69" s="1136"/>
      <c r="V69" s="31">
        <f t="shared" si="178"/>
        <v>5</v>
      </c>
      <c r="W69" s="710" t="s">
        <v>27</v>
      </c>
      <c r="X69" s="675">
        <v>11400</v>
      </c>
      <c r="Y69" s="32">
        <v>10000</v>
      </c>
      <c r="Z69" s="884"/>
      <c r="AA69" s="884"/>
      <c r="AB69" s="884"/>
      <c r="AC69" s="884"/>
      <c r="AD69" s="884"/>
      <c r="AE69" s="884"/>
      <c r="AF69" s="884"/>
      <c r="AG69" s="1220"/>
      <c r="AH69" s="1220"/>
      <c r="AI69" s="884"/>
      <c r="AJ69" s="884"/>
      <c r="AK69" s="1220"/>
      <c r="AL69" s="1220"/>
      <c r="AM69" s="1220"/>
      <c r="AN69" s="1539"/>
      <c r="AO69" s="1220"/>
      <c r="AP69" s="1304">
        <f t="shared" si="179"/>
        <v>57000</v>
      </c>
      <c r="AQ69" s="862">
        <f t="shared" si="180"/>
        <v>50000</v>
      </c>
      <c r="AR69" s="862">
        <f t="shared" si="181"/>
        <v>0</v>
      </c>
      <c r="AS69" s="862">
        <f t="shared" si="182"/>
        <v>0</v>
      </c>
      <c r="AT69" s="862">
        <f t="shared" si="183"/>
        <v>0</v>
      </c>
      <c r="AU69" s="862">
        <f t="shared" si="184"/>
        <v>0</v>
      </c>
      <c r="AV69" s="862">
        <f t="shared" si="185"/>
        <v>0</v>
      </c>
      <c r="AW69" s="862">
        <f t="shared" si="186"/>
        <v>0</v>
      </c>
      <c r="AX69" s="862">
        <f t="shared" si="187"/>
        <v>0</v>
      </c>
      <c r="AY69" s="1128">
        <f t="shared" si="188"/>
        <v>0</v>
      </c>
      <c r="AZ69" s="1128">
        <f t="shared" si="189"/>
        <v>0</v>
      </c>
      <c r="BA69" s="862">
        <f t="shared" si="190"/>
        <v>0</v>
      </c>
      <c r="BB69" s="862">
        <f t="shared" si="190"/>
        <v>0</v>
      </c>
      <c r="BC69" s="1128">
        <f t="shared" si="191"/>
        <v>0</v>
      </c>
      <c r="BD69" s="1128">
        <f t="shared" si="191"/>
        <v>0</v>
      </c>
      <c r="BE69" s="1128">
        <f t="shared" si="191"/>
        <v>0</v>
      </c>
      <c r="BF69" s="1533">
        <f t="shared" si="191"/>
        <v>0</v>
      </c>
      <c r="BG69" s="1128">
        <f t="shared" si="191"/>
        <v>0</v>
      </c>
      <c r="BH69" s="863">
        <f>SUM(AQ69:BG69)</f>
        <v>50000</v>
      </c>
      <c r="BI69" s="862">
        <f>SUM(AQ69*3%)</f>
        <v>1500</v>
      </c>
      <c r="BJ69" s="862">
        <f t="shared" si="192"/>
        <v>0</v>
      </c>
      <c r="BK69" s="862">
        <f t="shared" si="192"/>
        <v>0</v>
      </c>
      <c r="BL69" s="862">
        <f t="shared" si="192"/>
        <v>0</v>
      </c>
      <c r="BM69" s="862">
        <f t="shared" si="192"/>
        <v>0</v>
      </c>
      <c r="BN69" s="862">
        <f t="shared" si="192"/>
        <v>0</v>
      </c>
      <c r="BO69" s="862">
        <f t="shared" si="192"/>
        <v>0</v>
      </c>
      <c r="BP69" s="862">
        <f t="shared" si="192"/>
        <v>0</v>
      </c>
      <c r="BQ69" s="862">
        <f t="shared" si="192"/>
        <v>0</v>
      </c>
      <c r="BR69" s="862">
        <f t="shared" si="192"/>
        <v>0</v>
      </c>
      <c r="BS69" s="862">
        <f t="shared" si="192"/>
        <v>0</v>
      </c>
      <c r="BT69" s="862">
        <f t="shared" si="192"/>
        <v>0</v>
      </c>
      <c r="BU69" s="862">
        <f t="shared" si="193"/>
        <v>0</v>
      </c>
      <c r="BV69" s="862">
        <f t="shared" si="193"/>
        <v>0</v>
      </c>
      <c r="BW69" s="862">
        <f t="shared" si="193"/>
        <v>0</v>
      </c>
      <c r="BX69" s="862">
        <f t="shared" si="193"/>
        <v>0</v>
      </c>
      <c r="BY69" s="862">
        <f t="shared" si="193"/>
        <v>0</v>
      </c>
      <c r="BZ69" s="73">
        <f>SUM(BI69:BY69)</f>
        <v>1500</v>
      </c>
      <c r="CA69" s="686">
        <f>AP69-BH69-BZ69</f>
        <v>5500</v>
      </c>
      <c r="CB69" s="687">
        <f>X69*D69</f>
        <v>57000</v>
      </c>
      <c r="CC69" s="688">
        <f>CB69-BH69-BZ69</f>
        <v>5500</v>
      </c>
      <c r="CD69" s="630">
        <f>SUM(V69/D69)</f>
        <v>1</v>
      </c>
      <c r="CE69" s="1081">
        <f t="shared" si="169"/>
        <v>0</v>
      </c>
      <c r="CF69" s="1081"/>
      <c r="CG69" s="1107">
        <f t="shared" si="116"/>
        <v>0</v>
      </c>
      <c r="CH69" s="1084"/>
      <c r="CI69" s="862"/>
      <c r="CJ69" s="862"/>
      <c r="CK69" s="862"/>
      <c r="CL69" s="862"/>
      <c r="CM69" s="862"/>
      <c r="CN69" s="862"/>
      <c r="CO69" s="862"/>
      <c r="CP69" s="862"/>
      <c r="CQ69" s="1081">
        <f t="shared" si="130"/>
        <v>0</v>
      </c>
      <c r="CR69" s="862"/>
      <c r="CS69" s="862"/>
      <c r="CT69" s="862"/>
      <c r="CU69" s="73">
        <f t="shared" si="117"/>
        <v>0</v>
      </c>
      <c r="CV69" s="862"/>
      <c r="CW69" s="862"/>
      <c r="CX69" s="862"/>
      <c r="CY69" s="862"/>
      <c r="CZ69" s="862"/>
      <c r="DA69" s="862"/>
      <c r="DB69" s="862"/>
      <c r="DC69" s="862"/>
      <c r="DD69" s="1081"/>
      <c r="DE69" s="862"/>
      <c r="DF69" s="862"/>
      <c r="DG69" s="862"/>
      <c r="DH69" s="73">
        <f t="shared" si="118"/>
        <v>0</v>
      </c>
    </row>
    <row r="70" spans="1:112" s="37" customFormat="1" ht="27" customHeight="1" x14ac:dyDescent="0.2">
      <c r="A70" s="28"/>
      <c r="B70" s="706" t="s">
        <v>481</v>
      </c>
      <c r="C70" s="29" t="s">
        <v>128</v>
      </c>
      <c r="D70" s="709">
        <v>5</v>
      </c>
      <c r="E70" s="676">
        <v>5</v>
      </c>
      <c r="F70" s="30"/>
      <c r="G70" s="30"/>
      <c r="H70" s="30"/>
      <c r="I70" s="30"/>
      <c r="J70" s="30"/>
      <c r="K70" s="30"/>
      <c r="L70" s="30"/>
      <c r="M70" s="1136"/>
      <c r="N70" s="1136"/>
      <c r="O70" s="1136"/>
      <c r="P70" s="30"/>
      <c r="Q70" s="1136"/>
      <c r="R70" s="1136"/>
      <c r="S70" s="1136"/>
      <c r="T70" s="1531"/>
      <c r="U70" s="1136"/>
      <c r="V70" s="31">
        <f t="shared" si="178"/>
        <v>5</v>
      </c>
      <c r="W70" s="710" t="s">
        <v>27</v>
      </c>
      <c r="X70" s="675">
        <v>8140</v>
      </c>
      <c r="Y70" s="32">
        <v>5000</v>
      </c>
      <c r="Z70" s="884"/>
      <c r="AA70" s="884"/>
      <c r="AB70" s="884"/>
      <c r="AC70" s="884"/>
      <c r="AD70" s="884"/>
      <c r="AE70" s="884"/>
      <c r="AF70" s="884"/>
      <c r="AG70" s="1220"/>
      <c r="AH70" s="1220"/>
      <c r="AI70" s="884"/>
      <c r="AJ70" s="884"/>
      <c r="AK70" s="1220"/>
      <c r="AL70" s="1220"/>
      <c r="AM70" s="1220"/>
      <c r="AN70" s="1539"/>
      <c r="AO70" s="1220"/>
      <c r="AP70" s="1304">
        <f t="shared" si="179"/>
        <v>40700</v>
      </c>
      <c r="AQ70" s="862">
        <f t="shared" si="180"/>
        <v>25000</v>
      </c>
      <c r="AR70" s="862">
        <f t="shared" si="181"/>
        <v>0</v>
      </c>
      <c r="AS70" s="862">
        <f t="shared" si="182"/>
        <v>0</v>
      </c>
      <c r="AT70" s="862">
        <f t="shared" si="183"/>
        <v>0</v>
      </c>
      <c r="AU70" s="862">
        <f t="shared" si="184"/>
        <v>0</v>
      </c>
      <c r="AV70" s="862">
        <f t="shared" si="185"/>
        <v>0</v>
      </c>
      <c r="AW70" s="862">
        <f t="shared" si="186"/>
        <v>0</v>
      </c>
      <c r="AX70" s="862">
        <f t="shared" si="187"/>
        <v>0</v>
      </c>
      <c r="AY70" s="1128">
        <f t="shared" si="188"/>
        <v>0</v>
      </c>
      <c r="AZ70" s="1128">
        <f t="shared" si="189"/>
        <v>0</v>
      </c>
      <c r="BA70" s="862">
        <f t="shared" si="190"/>
        <v>0</v>
      </c>
      <c r="BB70" s="862">
        <f t="shared" si="190"/>
        <v>0</v>
      </c>
      <c r="BC70" s="1128">
        <f t="shared" si="191"/>
        <v>0</v>
      </c>
      <c r="BD70" s="1128">
        <f t="shared" si="191"/>
        <v>0</v>
      </c>
      <c r="BE70" s="1128">
        <f t="shared" si="191"/>
        <v>0</v>
      </c>
      <c r="BF70" s="1533">
        <f t="shared" si="191"/>
        <v>0</v>
      </c>
      <c r="BG70" s="1128">
        <f t="shared" si="191"/>
        <v>0</v>
      </c>
      <c r="BH70" s="863">
        <f>SUM(AQ70:BG70)</f>
        <v>25000</v>
      </c>
      <c r="BI70" s="862">
        <f>SUM(AQ70*3%)</f>
        <v>750</v>
      </c>
      <c r="BJ70" s="862">
        <f t="shared" si="192"/>
        <v>0</v>
      </c>
      <c r="BK70" s="862">
        <f t="shared" si="192"/>
        <v>0</v>
      </c>
      <c r="BL70" s="862">
        <f t="shared" si="192"/>
        <v>0</v>
      </c>
      <c r="BM70" s="862">
        <f t="shared" si="192"/>
        <v>0</v>
      </c>
      <c r="BN70" s="862">
        <f t="shared" si="192"/>
        <v>0</v>
      </c>
      <c r="BO70" s="862">
        <f t="shared" si="192"/>
        <v>0</v>
      </c>
      <c r="BP70" s="862">
        <f t="shared" si="192"/>
        <v>0</v>
      </c>
      <c r="BQ70" s="862">
        <f t="shared" si="192"/>
        <v>0</v>
      </c>
      <c r="BR70" s="862">
        <f t="shared" si="192"/>
        <v>0</v>
      </c>
      <c r="BS70" s="862">
        <f t="shared" si="192"/>
        <v>0</v>
      </c>
      <c r="BT70" s="862">
        <f t="shared" si="192"/>
        <v>0</v>
      </c>
      <c r="BU70" s="862">
        <f t="shared" si="193"/>
        <v>0</v>
      </c>
      <c r="BV70" s="862">
        <f t="shared" si="193"/>
        <v>0</v>
      </c>
      <c r="BW70" s="862">
        <f t="shared" si="193"/>
        <v>0</v>
      </c>
      <c r="BX70" s="862">
        <f t="shared" si="193"/>
        <v>0</v>
      </c>
      <c r="BY70" s="862">
        <f t="shared" si="193"/>
        <v>0</v>
      </c>
      <c r="BZ70" s="73">
        <f>SUM(BI70:BY70)</f>
        <v>750</v>
      </c>
      <c r="CA70" s="686">
        <f>AP70-BH70-BZ70</f>
        <v>14950</v>
      </c>
      <c r="CB70" s="687">
        <f>X70*D70</f>
        <v>40700</v>
      </c>
      <c r="CC70" s="688">
        <f>CB70-BH70-BZ70</f>
        <v>14950</v>
      </c>
      <c r="CD70" s="630">
        <f>SUM(V70/D70)</f>
        <v>1</v>
      </c>
      <c r="CE70" s="1081">
        <f t="shared" si="169"/>
        <v>0</v>
      </c>
      <c r="CF70" s="1081"/>
      <c r="CG70" s="1107">
        <f t="shared" si="116"/>
        <v>0</v>
      </c>
      <c r="CH70" s="1084"/>
      <c r="CI70" s="862"/>
      <c r="CJ70" s="862"/>
      <c r="CK70" s="862"/>
      <c r="CL70" s="862"/>
      <c r="CM70" s="862"/>
      <c r="CN70" s="862"/>
      <c r="CO70" s="862"/>
      <c r="CP70" s="862"/>
      <c r="CQ70" s="1081">
        <f t="shared" si="130"/>
        <v>0</v>
      </c>
      <c r="CR70" s="862"/>
      <c r="CS70" s="862"/>
      <c r="CT70" s="862"/>
      <c r="CU70" s="73">
        <f t="shared" si="117"/>
        <v>0</v>
      </c>
      <c r="CV70" s="862"/>
      <c r="CW70" s="862"/>
      <c r="CX70" s="862"/>
      <c r="CY70" s="862"/>
      <c r="CZ70" s="862"/>
      <c r="DA70" s="862"/>
      <c r="DB70" s="862"/>
      <c r="DC70" s="862"/>
      <c r="DD70" s="1081"/>
      <c r="DE70" s="862"/>
      <c r="DF70" s="862"/>
      <c r="DG70" s="862"/>
      <c r="DH70" s="73">
        <f t="shared" si="118"/>
        <v>0</v>
      </c>
    </row>
    <row r="71" spans="1:112" s="37" customFormat="1" ht="27" customHeight="1" x14ac:dyDescent="0.2">
      <c r="A71" s="28"/>
      <c r="B71" s="707" t="s">
        <v>482</v>
      </c>
      <c r="C71" s="29"/>
      <c r="D71" s="713"/>
      <c r="E71" s="683"/>
      <c r="F71" s="30"/>
      <c r="G71" s="30"/>
      <c r="H71" s="30"/>
      <c r="I71" s="30"/>
      <c r="J71" s="30"/>
      <c r="K71" s="30"/>
      <c r="L71" s="30"/>
      <c r="M71" s="1136"/>
      <c r="N71" s="1136"/>
      <c r="O71" s="1136"/>
      <c r="P71" s="30"/>
      <c r="Q71" s="1136"/>
      <c r="R71" s="1136"/>
      <c r="S71" s="1136"/>
      <c r="T71" s="1531"/>
      <c r="U71" s="1136"/>
      <c r="V71" s="31"/>
      <c r="W71" s="714"/>
      <c r="X71" s="715"/>
      <c r="Y71" s="32"/>
      <c r="Z71" s="886"/>
      <c r="AA71" s="884"/>
      <c r="AB71" s="884"/>
      <c r="AC71" s="884"/>
      <c r="AD71" s="884"/>
      <c r="AE71" s="884"/>
      <c r="AF71" s="884"/>
      <c r="AG71" s="1220"/>
      <c r="AH71" s="1220"/>
      <c r="AI71" s="884"/>
      <c r="AJ71" s="884"/>
      <c r="AK71" s="1220"/>
      <c r="AL71" s="1220"/>
      <c r="AM71" s="1220"/>
      <c r="AN71" s="1539"/>
      <c r="AO71" s="1220"/>
      <c r="AP71" s="1304"/>
      <c r="AQ71" s="862"/>
      <c r="AR71" s="862"/>
      <c r="AS71" s="862"/>
      <c r="AT71" s="862"/>
      <c r="AU71" s="862"/>
      <c r="AV71" s="862"/>
      <c r="AW71" s="862"/>
      <c r="AX71" s="862"/>
      <c r="AY71" s="1128"/>
      <c r="AZ71" s="1128"/>
      <c r="BA71" s="862"/>
      <c r="BB71" s="862"/>
      <c r="BC71" s="1128"/>
      <c r="BD71" s="1128"/>
      <c r="BE71" s="1128"/>
      <c r="BF71" s="1533"/>
      <c r="BG71" s="1128"/>
      <c r="BH71" s="863"/>
      <c r="BI71" s="862"/>
      <c r="BJ71" s="862"/>
      <c r="BK71" s="862"/>
      <c r="BL71" s="862"/>
      <c r="BM71" s="862"/>
      <c r="BN71" s="862"/>
      <c r="BO71" s="862"/>
      <c r="BP71" s="862"/>
      <c r="BQ71" s="862"/>
      <c r="BR71" s="862"/>
      <c r="BS71" s="862"/>
      <c r="BT71" s="862"/>
      <c r="BU71" s="862"/>
      <c r="BV71" s="862"/>
      <c r="BW71" s="862"/>
      <c r="BX71" s="862"/>
      <c r="BY71" s="862"/>
      <c r="BZ71" s="73"/>
      <c r="CA71" s="686"/>
      <c r="CB71" s="687"/>
      <c r="CC71" s="688"/>
      <c r="CD71" s="630"/>
      <c r="CE71" s="1081">
        <f t="shared" si="169"/>
        <v>0</v>
      </c>
      <c r="CF71" s="1081"/>
      <c r="CG71" s="1107">
        <f t="shared" si="116"/>
        <v>0</v>
      </c>
      <c r="CH71" s="1084"/>
      <c r="CI71" s="862"/>
      <c r="CJ71" s="862"/>
      <c r="CK71" s="862"/>
      <c r="CL71" s="862"/>
      <c r="CM71" s="862"/>
      <c r="CN71" s="862"/>
      <c r="CO71" s="862"/>
      <c r="CP71" s="862"/>
      <c r="CQ71" s="1081">
        <f t="shared" si="130"/>
        <v>0</v>
      </c>
      <c r="CR71" s="862"/>
      <c r="CS71" s="862"/>
      <c r="CT71" s="862"/>
      <c r="CU71" s="73">
        <f t="shared" si="117"/>
        <v>0</v>
      </c>
      <c r="CV71" s="862"/>
      <c r="CW71" s="862"/>
      <c r="CX71" s="862"/>
      <c r="CY71" s="862"/>
      <c r="CZ71" s="862"/>
      <c r="DA71" s="862"/>
      <c r="DB71" s="862"/>
      <c r="DC71" s="862"/>
      <c r="DD71" s="1081"/>
      <c r="DE71" s="862"/>
      <c r="DF71" s="862"/>
      <c r="DG71" s="862"/>
      <c r="DH71" s="73">
        <f t="shared" si="118"/>
        <v>0</v>
      </c>
    </row>
    <row r="72" spans="1:112" s="37" customFormat="1" ht="24.75" customHeight="1" x14ac:dyDescent="0.2">
      <c r="A72" s="28"/>
      <c r="B72" s="141" t="s">
        <v>483</v>
      </c>
      <c r="C72" s="29" t="s">
        <v>128</v>
      </c>
      <c r="D72" s="887">
        <v>25</v>
      </c>
      <c r="E72" s="716"/>
      <c r="F72" s="716"/>
      <c r="G72" s="30"/>
      <c r="H72" s="30">
        <v>25</v>
      </c>
      <c r="I72" s="30"/>
      <c r="J72" s="30"/>
      <c r="K72" s="30"/>
      <c r="L72" s="30"/>
      <c r="M72" s="1136"/>
      <c r="N72" s="1136"/>
      <c r="O72" s="1136"/>
      <c r="P72" s="30"/>
      <c r="Q72" s="1136"/>
      <c r="R72" s="1136"/>
      <c r="S72" s="1136"/>
      <c r="T72" s="1531"/>
      <c r="U72" s="1136"/>
      <c r="V72" s="31">
        <f t="shared" ref="V72:V74" si="194">SUM(E72:U72)</f>
        <v>25</v>
      </c>
      <c r="W72" s="883" t="s">
        <v>130</v>
      </c>
      <c r="X72" s="717">
        <v>320700</v>
      </c>
      <c r="Y72" s="32"/>
      <c r="Z72" s="32"/>
      <c r="AA72" s="884"/>
      <c r="AB72" s="884">
        <v>155000</v>
      </c>
      <c r="AC72" s="884"/>
      <c r="AD72" s="884"/>
      <c r="AE72" s="884"/>
      <c r="AF72" s="884"/>
      <c r="AG72" s="1220"/>
      <c r="AH72" s="1220"/>
      <c r="AI72" s="884"/>
      <c r="AJ72" s="884"/>
      <c r="AK72" s="1220"/>
      <c r="AL72" s="1220"/>
      <c r="AM72" s="1220"/>
      <c r="AN72" s="1539"/>
      <c r="AO72" s="1220"/>
      <c r="AP72" s="1304">
        <f t="shared" ref="AP72:AP74" si="195">SUM(V72*X72)</f>
        <v>8017500</v>
      </c>
      <c r="AQ72" s="862">
        <f t="shared" ref="AQ72:AQ74" si="196">Y72*E72</f>
        <v>0</v>
      </c>
      <c r="AR72" s="862">
        <f t="shared" ref="AR72:AR74" si="197">Z72*F72</f>
        <v>0</v>
      </c>
      <c r="AS72" s="862">
        <f t="shared" ref="AS72:AS74" si="198">AA72*G72</f>
        <v>0</v>
      </c>
      <c r="AT72" s="862">
        <f t="shared" ref="AT72:AT74" si="199">AB72*H72</f>
        <v>3875000</v>
      </c>
      <c r="AU72" s="862">
        <f t="shared" ref="AU72:AU74" si="200">AC72*I72</f>
        <v>0</v>
      </c>
      <c r="AV72" s="862">
        <f t="shared" ref="AV72:AV74" si="201">AD72*J72</f>
        <v>0</v>
      </c>
      <c r="AW72" s="862">
        <f t="shared" ref="AW72:AW74" si="202">AE72*K72</f>
        <v>0</v>
      </c>
      <c r="AX72" s="862">
        <f t="shared" ref="AX72:AX74" si="203">AF72*L72</f>
        <v>0</v>
      </c>
      <c r="AY72" s="1128">
        <f t="shared" ref="AY72:AY74" si="204">AG72*M72</f>
        <v>0</v>
      </c>
      <c r="AZ72" s="1128">
        <f t="shared" ref="AZ72:AZ74" si="205">AH72*N72</f>
        <v>0</v>
      </c>
      <c r="BA72" s="862">
        <f t="shared" ref="BA72:BB74" si="206">AI72*O72</f>
        <v>0</v>
      </c>
      <c r="BB72" s="862">
        <f t="shared" si="206"/>
        <v>0</v>
      </c>
      <c r="BC72" s="1128">
        <f t="shared" ref="BC72:BG74" si="207">AK72*Q72</f>
        <v>0</v>
      </c>
      <c r="BD72" s="1128">
        <f t="shared" si="207"/>
        <v>0</v>
      </c>
      <c r="BE72" s="1128">
        <f t="shared" si="207"/>
        <v>0</v>
      </c>
      <c r="BF72" s="1533">
        <f t="shared" si="207"/>
        <v>0</v>
      </c>
      <c r="BG72" s="1128">
        <f t="shared" si="207"/>
        <v>0</v>
      </c>
      <c r="BH72" s="863">
        <f>SUM(AQ72:BG72)</f>
        <v>3875000</v>
      </c>
      <c r="BI72" s="862">
        <f>SUM(AQ72*14%)</f>
        <v>0</v>
      </c>
      <c r="BJ72" s="862"/>
      <c r="BK72" s="862">
        <f t="shared" ref="BK72:BT74" si="208">SUM(AS72*14%)</f>
        <v>0</v>
      </c>
      <c r="BL72" s="862">
        <f t="shared" si="208"/>
        <v>542500</v>
      </c>
      <c r="BM72" s="862">
        <f t="shared" si="208"/>
        <v>0</v>
      </c>
      <c r="BN72" s="862">
        <f t="shared" si="208"/>
        <v>0</v>
      </c>
      <c r="BO72" s="862">
        <f t="shared" si="208"/>
        <v>0</v>
      </c>
      <c r="BP72" s="862">
        <f t="shared" si="208"/>
        <v>0</v>
      </c>
      <c r="BQ72" s="862">
        <f t="shared" si="208"/>
        <v>0</v>
      </c>
      <c r="BR72" s="862">
        <f t="shared" si="208"/>
        <v>0</v>
      </c>
      <c r="BS72" s="862">
        <f t="shared" si="208"/>
        <v>0</v>
      </c>
      <c r="BT72" s="862">
        <f t="shared" si="208"/>
        <v>0</v>
      </c>
      <c r="BU72" s="862">
        <f t="shared" ref="BU72:BY74" si="209">SUM(BC72*14%)</f>
        <v>0</v>
      </c>
      <c r="BV72" s="862">
        <f t="shared" si="209"/>
        <v>0</v>
      </c>
      <c r="BW72" s="862">
        <f t="shared" si="209"/>
        <v>0</v>
      </c>
      <c r="BX72" s="862">
        <f t="shared" si="209"/>
        <v>0</v>
      </c>
      <c r="BY72" s="862">
        <f t="shared" si="209"/>
        <v>0</v>
      </c>
      <c r="BZ72" s="73">
        <f>SUM(BI72:BY72)</f>
        <v>542500</v>
      </c>
      <c r="CA72" s="686">
        <f>AP72-BH72-BZ72</f>
        <v>3600000</v>
      </c>
      <c r="CB72" s="687">
        <f>X72*D72</f>
        <v>8017500</v>
      </c>
      <c r="CC72" s="688">
        <f>CB72-BH72-BZ72</f>
        <v>3600000</v>
      </c>
      <c r="CD72" s="630">
        <f>SUM(V72/D72)</f>
        <v>1</v>
      </c>
      <c r="CE72" s="1081">
        <f t="shared" si="169"/>
        <v>0</v>
      </c>
      <c r="CF72" s="1081"/>
      <c r="CG72" s="1107">
        <f t="shared" si="116"/>
        <v>0</v>
      </c>
      <c r="CH72" s="1084"/>
      <c r="CI72" s="862"/>
      <c r="CJ72" s="862"/>
      <c r="CK72" s="862"/>
      <c r="CL72" s="862"/>
      <c r="CM72" s="862"/>
      <c r="CN72" s="862"/>
      <c r="CO72" s="862"/>
      <c r="CP72" s="862"/>
      <c r="CQ72" s="1081">
        <f t="shared" si="130"/>
        <v>0</v>
      </c>
      <c r="CR72" s="862"/>
      <c r="CS72" s="862"/>
      <c r="CT72" s="862"/>
      <c r="CU72" s="73">
        <f t="shared" si="117"/>
        <v>0</v>
      </c>
      <c r="CV72" s="862"/>
      <c r="CW72" s="862"/>
      <c r="CX72" s="862"/>
      <c r="CY72" s="862"/>
      <c r="CZ72" s="862"/>
      <c r="DA72" s="862"/>
      <c r="DB72" s="862"/>
      <c r="DC72" s="862"/>
      <c r="DD72" s="1081"/>
      <c r="DE72" s="862"/>
      <c r="DF72" s="862"/>
      <c r="DG72" s="862"/>
      <c r="DH72" s="73">
        <f t="shared" si="118"/>
        <v>0</v>
      </c>
    </row>
    <row r="73" spans="1:112" s="37" customFormat="1" ht="24.75" customHeight="1" x14ac:dyDescent="0.2">
      <c r="A73" s="28"/>
      <c r="B73" s="141" t="s">
        <v>484</v>
      </c>
      <c r="C73" s="29" t="s">
        <v>128</v>
      </c>
      <c r="D73" s="887">
        <v>25</v>
      </c>
      <c r="E73" s="716"/>
      <c r="F73" s="716"/>
      <c r="G73" s="30"/>
      <c r="H73" s="30">
        <v>25</v>
      </c>
      <c r="I73" s="30"/>
      <c r="J73" s="30"/>
      <c r="K73" s="30"/>
      <c r="L73" s="30"/>
      <c r="M73" s="1136"/>
      <c r="N73" s="1136"/>
      <c r="O73" s="1136"/>
      <c r="P73" s="30"/>
      <c r="Q73" s="1136"/>
      <c r="R73" s="1136"/>
      <c r="S73" s="1136"/>
      <c r="T73" s="1531"/>
      <c r="U73" s="1136"/>
      <c r="V73" s="31">
        <f t="shared" si="194"/>
        <v>25</v>
      </c>
      <c r="W73" s="883" t="s">
        <v>0</v>
      </c>
      <c r="X73" s="717">
        <v>309900</v>
      </c>
      <c r="Y73" s="32"/>
      <c r="Z73" s="32"/>
      <c r="AA73" s="884"/>
      <c r="AB73" s="884">
        <v>170000</v>
      </c>
      <c r="AC73" s="884"/>
      <c r="AD73" s="884"/>
      <c r="AE73" s="884"/>
      <c r="AF73" s="884"/>
      <c r="AG73" s="1220"/>
      <c r="AH73" s="1220"/>
      <c r="AI73" s="884"/>
      <c r="AJ73" s="884"/>
      <c r="AK73" s="1220"/>
      <c r="AL73" s="1220"/>
      <c r="AM73" s="1220"/>
      <c r="AN73" s="1539"/>
      <c r="AO73" s="1220"/>
      <c r="AP73" s="1304">
        <f t="shared" si="195"/>
        <v>7747500</v>
      </c>
      <c r="AQ73" s="862">
        <f t="shared" si="196"/>
        <v>0</v>
      </c>
      <c r="AR73" s="862">
        <f t="shared" si="197"/>
        <v>0</v>
      </c>
      <c r="AS73" s="862">
        <f t="shared" si="198"/>
        <v>0</v>
      </c>
      <c r="AT73" s="862">
        <f t="shared" si="199"/>
        <v>4250000</v>
      </c>
      <c r="AU73" s="862">
        <f t="shared" si="200"/>
        <v>0</v>
      </c>
      <c r="AV73" s="862">
        <f t="shared" si="201"/>
        <v>0</v>
      </c>
      <c r="AW73" s="862">
        <f t="shared" si="202"/>
        <v>0</v>
      </c>
      <c r="AX73" s="862">
        <f t="shared" si="203"/>
        <v>0</v>
      </c>
      <c r="AY73" s="1128">
        <f t="shared" si="204"/>
        <v>0</v>
      </c>
      <c r="AZ73" s="1128">
        <f t="shared" si="205"/>
        <v>0</v>
      </c>
      <c r="BA73" s="862">
        <f t="shared" si="206"/>
        <v>0</v>
      </c>
      <c r="BB73" s="862">
        <f t="shared" si="206"/>
        <v>0</v>
      </c>
      <c r="BC73" s="1128">
        <f t="shared" si="207"/>
        <v>0</v>
      </c>
      <c r="BD73" s="1128">
        <f t="shared" si="207"/>
        <v>0</v>
      </c>
      <c r="BE73" s="1128">
        <f t="shared" si="207"/>
        <v>0</v>
      </c>
      <c r="BF73" s="1533">
        <f t="shared" si="207"/>
        <v>0</v>
      </c>
      <c r="BG73" s="1128">
        <f t="shared" si="207"/>
        <v>0</v>
      </c>
      <c r="BH73" s="863">
        <f>SUM(AQ73:BG73)</f>
        <v>4250000</v>
      </c>
      <c r="BI73" s="862">
        <f>SUM(AQ73*14%)</f>
        <v>0</v>
      </c>
      <c r="BJ73" s="862"/>
      <c r="BK73" s="862">
        <f t="shared" si="208"/>
        <v>0</v>
      </c>
      <c r="BL73" s="862">
        <f t="shared" si="208"/>
        <v>595000</v>
      </c>
      <c r="BM73" s="862">
        <f t="shared" si="208"/>
        <v>0</v>
      </c>
      <c r="BN73" s="862">
        <f t="shared" si="208"/>
        <v>0</v>
      </c>
      <c r="BO73" s="862">
        <f t="shared" si="208"/>
        <v>0</v>
      </c>
      <c r="BP73" s="862">
        <f t="shared" si="208"/>
        <v>0</v>
      </c>
      <c r="BQ73" s="862">
        <f t="shared" si="208"/>
        <v>0</v>
      </c>
      <c r="BR73" s="862">
        <f t="shared" si="208"/>
        <v>0</v>
      </c>
      <c r="BS73" s="862">
        <f t="shared" si="208"/>
        <v>0</v>
      </c>
      <c r="BT73" s="862">
        <f t="shared" si="208"/>
        <v>0</v>
      </c>
      <c r="BU73" s="862">
        <f t="shared" si="209"/>
        <v>0</v>
      </c>
      <c r="BV73" s="862">
        <f t="shared" si="209"/>
        <v>0</v>
      </c>
      <c r="BW73" s="862">
        <f t="shared" si="209"/>
        <v>0</v>
      </c>
      <c r="BX73" s="862">
        <f t="shared" si="209"/>
        <v>0</v>
      </c>
      <c r="BY73" s="862">
        <f t="shared" si="209"/>
        <v>0</v>
      </c>
      <c r="BZ73" s="73">
        <f>SUM(BI73:BY73)</f>
        <v>595000</v>
      </c>
      <c r="CA73" s="686">
        <f>AP73-BH73-BZ73</f>
        <v>2902500</v>
      </c>
      <c r="CB73" s="687">
        <f>X73*D73</f>
        <v>7747500</v>
      </c>
      <c r="CC73" s="688">
        <f>CB73-BH73-BZ73</f>
        <v>2902500</v>
      </c>
      <c r="CD73" s="630">
        <f>SUM(V73/D73)</f>
        <v>1</v>
      </c>
      <c r="CE73" s="1081">
        <f t="shared" si="169"/>
        <v>0</v>
      </c>
      <c r="CF73" s="1081"/>
      <c r="CG73" s="1107">
        <f t="shared" si="116"/>
        <v>0</v>
      </c>
      <c r="CH73" s="1084"/>
      <c r="CI73" s="862"/>
      <c r="CJ73" s="862"/>
      <c r="CK73" s="862"/>
      <c r="CL73" s="862"/>
      <c r="CM73" s="862"/>
      <c r="CN73" s="862"/>
      <c r="CO73" s="862"/>
      <c r="CP73" s="862"/>
      <c r="CQ73" s="1081">
        <f t="shared" si="130"/>
        <v>0</v>
      </c>
      <c r="CR73" s="862"/>
      <c r="CS73" s="862"/>
      <c r="CT73" s="862"/>
      <c r="CU73" s="73">
        <f t="shared" si="117"/>
        <v>0</v>
      </c>
      <c r="CV73" s="862"/>
      <c r="CW73" s="862"/>
      <c r="CX73" s="862"/>
      <c r="CY73" s="862"/>
      <c r="CZ73" s="862"/>
      <c r="DA73" s="862"/>
      <c r="DB73" s="862"/>
      <c r="DC73" s="862"/>
      <c r="DD73" s="1081"/>
      <c r="DE73" s="862"/>
      <c r="DF73" s="862"/>
      <c r="DG73" s="862"/>
      <c r="DH73" s="73">
        <f t="shared" si="118"/>
        <v>0</v>
      </c>
    </row>
    <row r="74" spans="1:112" s="37" customFormat="1" ht="24.75" customHeight="1" x14ac:dyDescent="0.2">
      <c r="A74" s="28"/>
      <c r="B74" s="141" t="s">
        <v>485</v>
      </c>
      <c r="C74" s="29" t="s">
        <v>128</v>
      </c>
      <c r="D74" s="887">
        <v>25</v>
      </c>
      <c r="E74" s="716"/>
      <c r="F74" s="716"/>
      <c r="G74" s="30"/>
      <c r="H74" s="30">
        <v>25</v>
      </c>
      <c r="I74" s="30"/>
      <c r="J74" s="30"/>
      <c r="K74" s="30"/>
      <c r="L74" s="30"/>
      <c r="M74" s="1136"/>
      <c r="N74" s="1136"/>
      <c r="O74" s="1136"/>
      <c r="P74" s="30"/>
      <c r="Q74" s="1136"/>
      <c r="R74" s="1136"/>
      <c r="S74" s="1136"/>
      <c r="T74" s="1531"/>
      <c r="U74" s="1136"/>
      <c r="V74" s="31">
        <f t="shared" si="194"/>
        <v>25</v>
      </c>
      <c r="W74" s="883" t="s">
        <v>488</v>
      </c>
      <c r="X74" s="717">
        <v>568100</v>
      </c>
      <c r="Y74" s="885"/>
      <c r="Z74" s="885"/>
      <c r="AA74" s="884"/>
      <c r="AB74" s="884">
        <v>260000</v>
      </c>
      <c r="AC74" s="884"/>
      <c r="AD74" s="884"/>
      <c r="AE74" s="884"/>
      <c r="AF74" s="884"/>
      <c r="AG74" s="1220"/>
      <c r="AH74" s="1220"/>
      <c r="AI74" s="884"/>
      <c r="AJ74" s="884"/>
      <c r="AK74" s="1220"/>
      <c r="AL74" s="1220"/>
      <c r="AM74" s="1220"/>
      <c r="AN74" s="1539"/>
      <c r="AO74" s="1220"/>
      <c r="AP74" s="1304">
        <f t="shared" si="195"/>
        <v>14202500</v>
      </c>
      <c r="AQ74" s="862">
        <f t="shared" si="196"/>
        <v>0</v>
      </c>
      <c r="AR74" s="862">
        <f t="shared" si="197"/>
        <v>0</v>
      </c>
      <c r="AS74" s="862">
        <f t="shared" si="198"/>
        <v>0</v>
      </c>
      <c r="AT74" s="862">
        <f t="shared" si="199"/>
        <v>6500000</v>
      </c>
      <c r="AU74" s="862">
        <f t="shared" si="200"/>
        <v>0</v>
      </c>
      <c r="AV74" s="862">
        <f t="shared" si="201"/>
        <v>0</v>
      </c>
      <c r="AW74" s="862">
        <f t="shared" si="202"/>
        <v>0</v>
      </c>
      <c r="AX74" s="862">
        <f t="shared" si="203"/>
        <v>0</v>
      </c>
      <c r="AY74" s="1128">
        <f t="shared" si="204"/>
        <v>0</v>
      </c>
      <c r="AZ74" s="1128">
        <f t="shared" si="205"/>
        <v>0</v>
      </c>
      <c r="BA74" s="862">
        <f t="shared" si="206"/>
        <v>0</v>
      </c>
      <c r="BB74" s="862">
        <f t="shared" si="206"/>
        <v>0</v>
      </c>
      <c r="BC74" s="1128">
        <f t="shared" si="207"/>
        <v>0</v>
      </c>
      <c r="BD74" s="1128">
        <f t="shared" si="207"/>
        <v>0</v>
      </c>
      <c r="BE74" s="1128">
        <f t="shared" si="207"/>
        <v>0</v>
      </c>
      <c r="BF74" s="1533">
        <f t="shared" si="207"/>
        <v>0</v>
      </c>
      <c r="BG74" s="1128">
        <f t="shared" si="207"/>
        <v>0</v>
      </c>
      <c r="BH74" s="863">
        <f>SUM(AQ74:BG74)</f>
        <v>6500000</v>
      </c>
      <c r="BI74" s="862">
        <f>SUM(AQ74*14%)</f>
        <v>0</v>
      </c>
      <c r="BJ74" s="862">
        <f>SUM(AR74*14%)</f>
        <v>0</v>
      </c>
      <c r="BK74" s="862">
        <f t="shared" si="208"/>
        <v>0</v>
      </c>
      <c r="BL74" s="862">
        <f t="shared" si="208"/>
        <v>910000.00000000012</v>
      </c>
      <c r="BM74" s="862">
        <f t="shared" si="208"/>
        <v>0</v>
      </c>
      <c r="BN74" s="862">
        <f t="shared" si="208"/>
        <v>0</v>
      </c>
      <c r="BO74" s="862">
        <f t="shared" si="208"/>
        <v>0</v>
      </c>
      <c r="BP74" s="862">
        <f t="shared" si="208"/>
        <v>0</v>
      </c>
      <c r="BQ74" s="862">
        <f t="shared" si="208"/>
        <v>0</v>
      </c>
      <c r="BR74" s="862">
        <f t="shared" si="208"/>
        <v>0</v>
      </c>
      <c r="BS74" s="862">
        <f t="shared" si="208"/>
        <v>0</v>
      </c>
      <c r="BT74" s="862">
        <f t="shared" si="208"/>
        <v>0</v>
      </c>
      <c r="BU74" s="862">
        <f t="shared" si="209"/>
        <v>0</v>
      </c>
      <c r="BV74" s="862">
        <f t="shared" si="209"/>
        <v>0</v>
      </c>
      <c r="BW74" s="862">
        <f t="shared" si="209"/>
        <v>0</v>
      </c>
      <c r="BX74" s="862">
        <f t="shared" si="209"/>
        <v>0</v>
      </c>
      <c r="BY74" s="862">
        <f t="shared" si="209"/>
        <v>0</v>
      </c>
      <c r="BZ74" s="73">
        <f>SUM(BI74:BY74)</f>
        <v>910000.00000000012</v>
      </c>
      <c r="CA74" s="686">
        <f>AP74-BH74-BZ74</f>
        <v>6792500</v>
      </c>
      <c r="CB74" s="687">
        <f>X74*D74</f>
        <v>14202500</v>
      </c>
      <c r="CC74" s="688">
        <f>CB74-BH74-BZ74</f>
        <v>6792500</v>
      </c>
      <c r="CD74" s="630">
        <f>SUM(V74/D74)</f>
        <v>1</v>
      </c>
      <c r="CE74" s="1081">
        <f t="shared" si="169"/>
        <v>0</v>
      </c>
      <c r="CF74" s="1081"/>
      <c r="CG74" s="1107">
        <f t="shared" si="116"/>
        <v>0</v>
      </c>
      <c r="CH74" s="1084"/>
      <c r="CI74" s="862"/>
      <c r="CJ74" s="862"/>
      <c r="CK74" s="862"/>
      <c r="CL74" s="862"/>
      <c r="CM74" s="862"/>
      <c r="CN74" s="862"/>
      <c r="CO74" s="862"/>
      <c r="CP74" s="862"/>
      <c r="CQ74" s="1081">
        <f t="shared" si="130"/>
        <v>0</v>
      </c>
      <c r="CR74" s="862"/>
      <c r="CS74" s="862"/>
      <c r="CT74" s="862"/>
      <c r="CU74" s="73">
        <f t="shared" si="117"/>
        <v>0</v>
      </c>
      <c r="CV74" s="862"/>
      <c r="CW74" s="862"/>
      <c r="CX74" s="862"/>
      <c r="CY74" s="862"/>
      <c r="CZ74" s="862"/>
      <c r="DA74" s="862"/>
      <c r="DB74" s="862"/>
      <c r="DC74" s="862"/>
      <c r="DD74" s="1081"/>
      <c r="DE74" s="862"/>
      <c r="DF74" s="862"/>
      <c r="DG74" s="862"/>
      <c r="DH74" s="73">
        <f t="shared" si="118"/>
        <v>0</v>
      </c>
    </row>
    <row r="75" spans="1:112" s="37" customFormat="1" ht="39" customHeight="1" x14ac:dyDescent="0.2">
      <c r="A75" s="888">
        <v>6</v>
      </c>
      <c r="B75" s="889" t="s">
        <v>476</v>
      </c>
      <c r="C75" s="29"/>
      <c r="D75" s="701"/>
      <c r="E75" s="695"/>
      <c r="F75" s="30"/>
      <c r="G75" s="30"/>
      <c r="H75" s="30"/>
      <c r="I75" s="30"/>
      <c r="J75" s="30"/>
      <c r="K75" s="30"/>
      <c r="L75" s="30"/>
      <c r="M75" s="1136"/>
      <c r="N75" s="1136"/>
      <c r="O75" s="1136"/>
      <c r="P75" s="30"/>
      <c r="Q75" s="1136"/>
      <c r="R75" s="1136"/>
      <c r="S75" s="1136"/>
      <c r="T75" s="1531"/>
      <c r="U75" s="1136"/>
      <c r="V75" s="31"/>
      <c r="W75" s="867"/>
      <c r="X75" s="697"/>
      <c r="Y75" s="890"/>
      <c r="Z75" s="861"/>
      <c r="AA75" s="861"/>
      <c r="AB75" s="861"/>
      <c r="AC75" s="861"/>
      <c r="AD75" s="861"/>
      <c r="AE75" s="861"/>
      <c r="AF75" s="861"/>
      <c r="AG75" s="1230"/>
      <c r="AH75" s="1230"/>
      <c r="AI75" s="861"/>
      <c r="AJ75" s="861"/>
      <c r="AK75" s="1230"/>
      <c r="AL75" s="1230"/>
      <c r="AM75" s="1230"/>
      <c r="AN75" s="1532"/>
      <c r="AO75" s="1230"/>
      <c r="AP75" s="1306"/>
      <c r="AQ75" s="861"/>
      <c r="AR75" s="861"/>
      <c r="AS75" s="861"/>
      <c r="AT75" s="861"/>
      <c r="AU75" s="861"/>
      <c r="AV75" s="861"/>
      <c r="AW75" s="861"/>
      <c r="AX75" s="861"/>
      <c r="AY75" s="1230"/>
      <c r="AZ75" s="1230"/>
      <c r="BA75" s="861"/>
      <c r="BB75" s="861"/>
      <c r="BC75" s="1230"/>
      <c r="BD75" s="1230"/>
      <c r="BE75" s="1230"/>
      <c r="BF75" s="1532"/>
      <c r="BG75" s="1230"/>
      <c r="BH75" s="698"/>
      <c r="BI75" s="861"/>
      <c r="BJ75" s="861"/>
      <c r="BK75" s="861"/>
      <c r="BL75" s="861"/>
      <c r="BM75" s="861"/>
      <c r="BN75" s="861"/>
      <c r="BO75" s="861"/>
      <c r="BP75" s="861"/>
      <c r="BQ75" s="861"/>
      <c r="BR75" s="861"/>
      <c r="BS75" s="861"/>
      <c r="BT75" s="861"/>
      <c r="BU75" s="861"/>
      <c r="BV75" s="861"/>
      <c r="BW75" s="861"/>
      <c r="BX75" s="861"/>
      <c r="BY75" s="861"/>
      <c r="BZ75" s="698"/>
      <c r="CA75" s="698"/>
      <c r="CB75" s="687"/>
      <c r="CC75" s="688"/>
      <c r="CD75" s="630"/>
      <c r="CE75" s="1081">
        <f t="shared" si="169"/>
        <v>0</v>
      </c>
      <c r="CF75" s="1081"/>
      <c r="CG75" s="1107">
        <f t="shared" si="116"/>
        <v>0</v>
      </c>
      <c r="CH75" s="1084"/>
      <c r="CI75" s="862"/>
      <c r="CJ75" s="862"/>
      <c r="CK75" s="862"/>
      <c r="CL75" s="862"/>
      <c r="CM75" s="862"/>
      <c r="CN75" s="862"/>
      <c r="CO75" s="862"/>
      <c r="CP75" s="862"/>
      <c r="CQ75" s="1081">
        <f t="shared" si="130"/>
        <v>0</v>
      </c>
      <c r="CR75" s="862"/>
      <c r="CS75" s="862"/>
      <c r="CT75" s="862"/>
      <c r="CU75" s="73">
        <f t="shared" si="117"/>
        <v>0</v>
      </c>
      <c r="CV75" s="862"/>
      <c r="CW75" s="862"/>
      <c r="CX75" s="862"/>
      <c r="CY75" s="862"/>
      <c r="CZ75" s="862"/>
      <c r="DA75" s="862"/>
      <c r="DB75" s="862"/>
      <c r="DC75" s="862"/>
      <c r="DD75" s="1081"/>
      <c r="DE75" s="862"/>
      <c r="DF75" s="862"/>
      <c r="DG75" s="862"/>
      <c r="DH75" s="73">
        <f t="shared" si="118"/>
        <v>0</v>
      </c>
    </row>
    <row r="76" spans="1:112" s="38" customFormat="1" ht="24.75" customHeight="1" x14ac:dyDescent="0.2">
      <c r="A76" s="1614"/>
      <c r="B76" s="1615" t="s">
        <v>624</v>
      </c>
      <c r="C76" s="1598" t="s">
        <v>128</v>
      </c>
      <c r="D76" s="1599">
        <f>5*56</f>
        <v>280</v>
      </c>
      <c r="E76" s="1616"/>
      <c r="F76" s="1127"/>
      <c r="G76" s="1127"/>
      <c r="H76" s="1127"/>
      <c r="I76" s="1127"/>
      <c r="J76" s="1127"/>
      <c r="K76" s="1127"/>
      <c r="L76" s="1127"/>
      <c r="M76" s="1200"/>
      <c r="N76" s="1200"/>
      <c r="O76" s="1200">
        <v>20</v>
      </c>
      <c r="P76" s="1127">
        <v>20</v>
      </c>
      <c r="Q76" s="1200">
        <v>20</v>
      </c>
      <c r="R76" s="1200"/>
      <c r="S76" s="1200">
        <v>20</v>
      </c>
      <c r="T76" s="1601">
        <v>32</v>
      </c>
      <c r="U76" s="1200"/>
      <c r="V76" s="1602">
        <f t="shared" ref="V76" si="210">SUM(E76:U76)</f>
        <v>112</v>
      </c>
      <c r="W76" s="1617" t="s">
        <v>0</v>
      </c>
      <c r="X76" s="1599">
        <v>25000</v>
      </c>
      <c r="Y76" s="1618"/>
      <c r="Z76" s="1606"/>
      <c r="AA76" s="1606"/>
      <c r="AB76" s="1606"/>
      <c r="AC76" s="1606"/>
      <c r="AD76" s="1606"/>
      <c r="AE76" s="1606"/>
      <c r="AF76" s="1606"/>
      <c r="AG76" s="1216"/>
      <c r="AH76" s="1216"/>
      <c r="AI76" s="1606">
        <v>25000</v>
      </c>
      <c r="AJ76" s="1606">
        <v>25000</v>
      </c>
      <c r="AK76" s="1216">
        <v>25000</v>
      </c>
      <c r="AL76" s="1216"/>
      <c r="AM76" s="1216">
        <v>25000</v>
      </c>
      <c r="AN76" s="1607">
        <v>25000</v>
      </c>
      <c r="AO76" s="1216"/>
      <c r="AP76" s="1608">
        <f t="shared" ref="AP76" si="211">SUM(V76*X76)</f>
        <v>2800000</v>
      </c>
      <c r="AQ76" s="1123">
        <f t="shared" ref="AQ76" si="212">Y76*E76</f>
        <v>0</v>
      </c>
      <c r="AR76" s="1123">
        <f t="shared" ref="AR76" si="213">Z76*F76</f>
        <v>0</v>
      </c>
      <c r="AS76" s="1123">
        <f t="shared" ref="AS76" si="214">AA76*G76</f>
        <v>0</v>
      </c>
      <c r="AT76" s="1123">
        <f t="shared" ref="AT76" si="215">AB76*H76</f>
        <v>0</v>
      </c>
      <c r="AU76" s="1123">
        <f t="shared" ref="AU76" si="216">AC76*I76</f>
        <v>0</v>
      </c>
      <c r="AV76" s="1123">
        <f t="shared" ref="AV76" si="217">AD76*J76</f>
        <v>0</v>
      </c>
      <c r="AW76" s="1123">
        <f t="shared" ref="AW76" si="218">AE76*K76</f>
        <v>0</v>
      </c>
      <c r="AX76" s="1123">
        <f t="shared" ref="AX76" si="219">AF76*L76</f>
        <v>0</v>
      </c>
      <c r="AY76" s="1202">
        <f t="shared" ref="AY76" si="220">AG76*M76</f>
        <v>0</v>
      </c>
      <c r="AZ76" s="1202">
        <f t="shared" ref="AZ76" si="221">AH76*N76</f>
        <v>0</v>
      </c>
      <c r="BA76" s="1123">
        <f>AI76*O76</f>
        <v>500000</v>
      </c>
      <c r="BB76" s="1123">
        <f>AJ76*P76</f>
        <v>500000</v>
      </c>
      <c r="BC76" s="1202">
        <f t="shared" ref="BC76:BG76" si="222">AK76*Q76</f>
        <v>500000</v>
      </c>
      <c r="BD76" s="1202">
        <f t="shared" si="222"/>
        <v>0</v>
      </c>
      <c r="BE76" s="1202">
        <f t="shared" si="222"/>
        <v>500000</v>
      </c>
      <c r="BF76" s="1277">
        <f t="shared" si="222"/>
        <v>800000</v>
      </c>
      <c r="BG76" s="1202">
        <f t="shared" si="222"/>
        <v>0</v>
      </c>
      <c r="BH76" s="1102">
        <f>SUM(AQ76:BG76)</f>
        <v>2800000</v>
      </c>
      <c r="BI76" s="1123">
        <f t="shared" ref="BI76:BR76" si="223">SUM(AQ76*14%)</f>
        <v>0</v>
      </c>
      <c r="BJ76" s="1123">
        <f t="shared" si="223"/>
        <v>0</v>
      </c>
      <c r="BK76" s="1123">
        <f t="shared" si="223"/>
        <v>0</v>
      </c>
      <c r="BL76" s="1123">
        <f t="shared" si="223"/>
        <v>0</v>
      </c>
      <c r="BM76" s="1123">
        <f t="shared" si="223"/>
        <v>0</v>
      </c>
      <c r="BN76" s="1123">
        <f t="shared" si="223"/>
        <v>0</v>
      </c>
      <c r="BO76" s="1123">
        <f t="shared" si="223"/>
        <v>0</v>
      </c>
      <c r="BP76" s="1123">
        <f t="shared" si="223"/>
        <v>0</v>
      </c>
      <c r="BQ76" s="1123">
        <f t="shared" si="223"/>
        <v>0</v>
      </c>
      <c r="BR76" s="1123">
        <f t="shared" si="223"/>
        <v>0</v>
      </c>
      <c r="BS76" s="1123">
        <f>SUM(BA76*12%)</f>
        <v>60000</v>
      </c>
      <c r="BT76" s="1123">
        <f>SUM(BB76*12%)</f>
        <v>60000</v>
      </c>
      <c r="BU76" s="1123">
        <f t="shared" ref="BU76:BY76" si="224">SUM(BC76*12%)</f>
        <v>60000</v>
      </c>
      <c r="BV76" s="1123">
        <f t="shared" si="224"/>
        <v>0</v>
      </c>
      <c r="BW76" s="1123">
        <f t="shared" si="224"/>
        <v>60000</v>
      </c>
      <c r="BX76" s="1123">
        <f t="shared" si="224"/>
        <v>96000</v>
      </c>
      <c r="BY76" s="1123">
        <f t="shared" si="224"/>
        <v>0</v>
      </c>
      <c r="BZ76" s="1102">
        <f>SUM(BI76:BY76)</f>
        <v>336000</v>
      </c>
      <c r="CA76" s="1609">
        <f>AP76-BH76</f>
        <v>0</v>
      </c>
      <c r="CB76" s="1610">
        <f>X76*D76</f>
        <v>7000000</v>
      </c>
      <c r="CC76" s="1611">
        <f>CB76-BH76</f>
        <v>4200000</v>
      </c>
      <c r="CD76" s="658">
        <f>SUM(V76/D76)</f>
        <v>0.4</v>
      </c>
      <c r="CE76" s="1612">
        <f t="shared" si="169"/>
        <v>0</v>
      </c>
      <c r="CF76" s="1612"/>
      <c r="CG76" s="1083">
        <f t="shared" si="116"/>
        <v>0</v>
      </c>
      <c r="CH76" s="1613"/>
      <c r="CI76" s="1123"/>
      <c r="CJ76" s="1123"/>
      <c r="CK76" s="1123"/>
      <c r="CL76" s="1123"/>
      <c r="CM76" s="1123"/>
      <c r="CN76" s="1123"/>
      <c r="CO76" s="1123"/>
      <c r="CP76" s="1123"/>
      <c r="CQ76" s="1612">
        <f t="shared" si="130"/>
        <v>0</v>
      </c>
      <c r="CR76" s="1123"/>
      <c r="CS76" s="1123"/>
      <c r="CT76" s="1123"/>
      <c r="CU76" s="1096">
        <f t="shared" si="117"/>
        <v>0</v>
      </c>
      <c r="CV76" s="1123"/>
      <c r="CW76" s="1123"/>
      <c r="CX76" s="1123"/>
      <c r="CY76" s="1123"/>
      <c r="CZ76" s="1123"/>
      <c r="DA76" s="1123"/>
      <c r="DB76" s="1123"/>
      <c r="DC76" s="1123"/>
      <c r="DD76" s="1612"/>
      <c r="DE76" s="1123"/>
      <c r="DF76" s="1123"/>
      <c r="DG76" s="1123"/>
      <c r="DH76" s="1096">
        <f t="shared" si="118"/>
        <v>0</v>
      </c>
    </row>
    <row r="77" spans="1:112" s="37" customFormat="1" ht="24.75" customHeight="1" x14ac:dyDescent="0.2">
      <c r="A77" s="888">
        <v>7</v>
      </c>
      <c r="B77" s="1542" t="s">
        <v>605</v>
      </c>
      <c r="C77" s="29" t="s">
        <v>128</v>
      </c>
      <c r="D77" s="915"/>
      <c r="E77" s="683"/>
      <c r="F77" s="683"/>
      <c r="G77" s="683"/>
      <c r="H77" s="30"/>
      <c r="I77" s="30"/>
      <c r="J77" s="30"/>
      <c r="K77" s="30"/>
      <c r="L77" s="30"/>
      <c r="M77" s="1136"/>
      <c r="N77" s="1136"/>
      <c r="O77" s="1136"/>
      <c r="P77" s="1136"/>
      <c r="Q77" s="1136"/>
      <c r="R77" s="1136"/>
      <c r="S77" s="1136"/>
      <c r="T77" s="1531"/>
      <c r="U77" s="1136"/>
      <c r="V77" s="31"/>
      <c r="W77" s="1543"/>
      <c r="X77" s="684"/>
      <c r="Y77" s="684"/>
      <c r="Z77" s="684"/>
      <c r="AA77" s="684"/>
      <c r="AB77" s="684"/>
      <c r="AC77" s="884"/>
      <c r="AD77" s="884"/>
      <c r="AE77" s="884"/>
      <c r="AF77" s="884"/>
      <c r="AG77" s="1220"/>
      <c r="AH77" s="1220"/>
      <c r="AI77" s="884"/>
      <c r="AJ77" s="884"/>
      <c r="AK77" s="1220"/>
      <c r="AL77" s="1220"/>
      <c r="AM77" s="1220"/>
      <c r="AN77" s="1539"/>
      <c r="AO77" s="1220"/>
      <c r="AP77" s="1304"/>
      <c r="AQ77" s="862"/>
      <c r="AR77" s="862"/>
      <c r="AS77" s="862"/>
      <c r="AT77" s="862"/>
      <c r="AU77" s="862"/>
      <c r="AV77" s="862"/>
      <c r="AW77" s="862"/>
      <c r="AX77" s="862"/>
      <c r="AY77" s="1128"/>
      <c r="AZ77" s="1128"/>
      <c r="BA77" s="862"/>
      <c r="BB77" s="862"/>
      <c r="BC77" s="1128"/>
      <c r="BD77" s="1128"/>
      <c r="BE77" s="1128"/>
      <c r="BF77" s="1533"/>
      <c r="BG77" s="1128"/>
      <c r="BH77" s="863"/>
      <c r="BI77" s="862"/>
      <c r="BJ77" s="862"/>
      <c r="BK77" s="862"/>
      <c r="BL77" s="862"/>
      <c r="BM77" s="862"/>
      <c r="BN77" s="862"/>
      <c r="BO77" s="862"/>
      <c r="BP77" s="862"/>
      <c r="BQ77" s="862"/>
      <c r="BR77" s="862"/>
      <c r="BS77" s="862"/>
      <c r="BT77" s="862"/>
      <c r="BU77" s="862"/>
      <c r="BV77" s="862"/>
      <c r="BW77" s="862"/>
      <c r="BX77" s="862"/>
      <c r="BY77" s="862"/>
      <c r="BZ77" s="73"/>
      <c r="CA77" s="686"/>
      <c r="CB77" s="687"/>
      <c r="CC77" s="688"/>
      <c r="CD77" s="630"/>
      <c r="CE77" s="1081">
        <f t="shared" si="169"/>
        <v>0</v>
      </c>
      <c r="CF77" s="1081"/>
      <c r="CG77" s="1107">
        <f t="shared" si="116"/>
        <v>0</v>
      </c>
      <c r="CH77" s="1084"/>
      <c r="CI77" s="862"/>
      <c r="CJ77" s="862"/>
      <c r="CK77" s="862"/>
      <c r="CL77" s="862"/>
      <c r="CM77" s="862"/>
      <c r="CN77" s="862"/>
      <c r="CO77" s="862"/>
      <c r="CP77" s="862"/>
      <c r="CQ77" s="1081">
        <f t="shared" si="130"/>
        <v>0</v>
      </c>
      <c r="CR77" s="862"/>
      <c r="CS77" s="862"/>
      <c r="CT77" s="862"/>
      <c r="CU77" s="73">
        <f t="shared" si="117"/>
        <v>0</v>
      </c>
      <c r="CV77" s="862"/>
      <c r="CW77" s="862"/>
      <c r="CX77" s="862"/>
      <c r="CY77" s="862"/>
      <c r="CZ77" s="862"/>
      <c r="DA77" s="862"/>
      <c r="DB77" s="862"/>
      <c r="DC77" s="862"/>
      <c r="DD77" s="1081"/>
      <c r="DE77" s="862"/>
      <c r="DF77" s="862"/>
      <c r="DG77" s="862"/>
      <c r="DH77" s="73">
        <f t="shared" si="118"/>
        <v>0</v>
      </c>
    </row>
    <row r="78" spans="1:112" s="37" customFormat="1" ht="24.75" customHeight="1" x14ac:dyDescent="0.2">
      <c r="A78" s="28"/>
      <c r="B78" s="1544" t="s">
        <v>606</v>
      </c>
      <c r="C78" s="29" t="s">
        <v>128</v>
      </c>
      <c r="D78" s="915">
        <v>24</v>
      </c>
      <c r="E78" s="683">
        <v>2</v>
      </c>
      <c r="F78" s="683">
        <v>2</v>
      </c>
      <c r="G78" s="683">
        <v>2</v>
      </c>
      <c r="H78" s="30">
        <v>2</v>
      </c>
      <c r="I78" s="30">
        <v>2</v>
      </c>
      <c r="J78" s="30">
        <v>2</v>
      </c>
      <c r="K78" s="30">
        <v>2</v>
      </c>
      <c r="L78" s="30">
        <v>2</v>
      </c>
      <c r="M78" s="1136">
        <v>2</v>
      </c>
      <c r="N78" s="1136">
        <v>2</v>
      </c>
      <c r="O78" s="1136"/>
      <c r="P78" s="1136"/>
      <c r="Q78" s="1136"/>
      <c r="R78" s="1136">
        <v>2</v>
      </c>
      <c r="S78" s="1136"/>
      <c r="T78" s="1531">
        <v>2</v>
      </c>
      <c r="U78" s="1136"/>
      <c r="V78" s="31">
        <f>SUM(E78:U78)</f>
        <v>24</v>
      </c>
      <c r="W78" s="1543" t="s">
        <v>107</v>
      </c>
      <c r="X78" s="684">
        <v>300000</v>
      </c>
      <c r="Y78" s="684">
        <v>300000</v>
      </c>
      <c r="Z78" s="684">
        <v>300000</v>
      </c>
      <c r="AA78" s="684">
        <v>300000</v>
      </c>
      <c r="AB78" s="684">
        <v>300000</v>
      </c>
      <c r="AC78" s="684">
        <v>300000</v>
      </c>
      <c r="AD78" s="684">
        <v>300000</v>
      </c>
      <c r="AE78" s="684">
        <v>300000</v>
      </c>
      <c r="AF78" s="884">
        <v>300000</v>
      </c>
      <c r="AG78" s="1220">
        <v>300000</v>
      </c>
      <c r="AH78" s="1220">
        <v>300000</v>
      </c>
      <c r="AI78" s="884"/>
      <c r="AJ78" s="884"/>
      <c r="AK78" s="1220"/>
      <c r="AL78" s="1220">
        <v>300000</v>
      </c>
      <c r="AM78" s="1220"/>
      <c r="AN78" s="1539">
        <v>300000</v>
      </c>
      <c r="AO78" s="1220"/>
      <c r="AP78" s="1304">
        <f t="shared" ref="AP78:AP79" si="225">SUM(V78*X78)</f>
        <v>7200000</v>
      </c>
      <c r="AQ78" s="862">
        <f t="shared" ref="AQ78:AQ79" si="226">Y78*E78</f>
        <v>600000</v>
      </c>
      <c r="AR78" s="862">
        <f t="shared" ref="AR78:AR79" si="227">Z78*F78</f>
        <v>600000</v>
      </c>
      <c r="AS78" s="862">
        <f t="shared" ref="AS78:AS79" si="228">AA78*G78</f>
        <v>600000</v>
      </c>
      <c r="AT78" s="862">
        <f t="shared" ref="AT78:AT79" si="229">AB78*H78</f>
        <v>600000</v>
      </c>
      <c r="AU78" s="862">
        <f t="shared" ref="AU78:AU79" si="230">AC78*I78</f>
        <v>600000</v>
      </c>
      <c r="AV78" s="862">
        <f t="shared" ref="AV78:AV79" si="231">AD78*J78</f>
        <v>600000</v>
      </c>
      <c r="AW78" s="862">
        <f t="shared" ref="AW78:AW79" si="232">AE78*K78</f>
        <v>600000</v>
      </c>
      <c r="AX78" s="862">
        <f t="shared" ref="AX78:AX79" si="233">AF78*L78</f>
        <v>600000</v>
      </c>
      <c r="AY78" s="1128">
        <f t="shared" ref="AY78:AY79" si="234">AG78*M78</f>
        <v>600000</v>
      </c>
      <c r="AZ78" s="1128">
        <f t="shared" ref="AZ78:AZ79" si="235">AH78*N78</f>
        <v>600000</v>
      </c>
      <c r="BA78" s="862">
        <f>AI78*O78</f>
        <v>0</v>
      </c>
      <c r="BB78" s="862">
        <f>AJ78*P78</f>
        <v>0</v>
      </c>
      <c r="BC78" s="1128">
        <f t="shared" ref="BC78:BG79" si="236">AK78*Q78</f>
        <v>0</v>
      </c>
      <c r="BD78" s="1128">
        <f t="shared" si="236"/>
        <v>600000</v>
      </c>
      <c r="BE78" s="1128">
        <f t="shared" si="236"/>
        <v>0</v>
      </c>
      <c r="BF78" s="1533">
        <f t="shared" si="236"/>
        <v>600000</v>
      </c>
      <c r="BG78" s="1128">
        <f t="shared" si="236"/>
        <v>0</v>
      </c>
      <c r="BH78" s="863">
        <f>SUM(AQ78:BG78)</f>
        <v>7200000</v>
      </c>
      <c r="BI78" s="862"/>
      <c r="BJ78" s="862"/>
      <c r="BK78" s="862"/>
      <c r="BL78" s="862"/>
      <c r="BM78" s="862"/>
      <c r="BN78" s="862"/>
      <c r="BO78" s="862"/>
      <c r="BP78" s="862"/>
      <c r="BQ78" s="862"/>
      <c r="BR78" s="862"/>
      <c r="BS78" s="862"/>
      <c r="BT78" s="862"/>
      <c r="BU78" s="862"/>
      <c r="BV78" s="862"/>
      <c r="BW78" s="862"/>
      <c r="BX78" s="862"/>
      <c r="BY78" s="862"/>
      <c r="BZ78" s="73">
        <f>SUM(BI78:BY78)</f>
        <v>0</v>
      </c>
      <c r="CA78" s="686">
        <f>AP78-BH78-BZ78</f>
        <v>0</v>
      </c>
      <c r="CB78" s="687">
        <f>X78*D78</f>
        <v>7200000</v>
      </c>
      <c r="CC78" s="688">
        <f>CB78-BH78-BZ78</f>
        <v>0</v>
      </c>
      <c r="CD78" s="630">
        <f>SUM(V78/D78)</f>
        <v>1</v>
      </c>
      <c r="CE78" s="1081">
        <f t="shared" si="169"/>
        <v>600000</v>
      </c>
      <c r="CF78" s="1081">
        <f>300000*2</f>
        <v>600000</v>
      </c>
      <c r="CG78" s="1107">
        <f t="shared" si="116"/>
        <v>0</v>
      </c>
      <c r="CH78" s="1084"/>
      <c r="CI78" s="862"/>
      <c r="CJ78" s="862"/>
      <c r="CK78" s="862"/>
      <c r="CL78" s="862"/>
      <c r="CM78" s="862"/>
      <c r="CN78" s="862"/>
      <c r="CO78" s="862"/>
      <c r="CP78" s="862"/>
      <c r="CQ78" s="1081">
        <f t="shared" si="130"/>
        <v>75000</v>
      </c>
      <c r="CR78" s="862"/>
      <c r="CS78" s="862"/>
      <c r="CT78" s="862"/>
      <c r="CU78" s="73">
        <f t="shared" si="117"/>
        <v>75000</v>
      </c>
      <c r="CV78" s="862"/>
      <c r="CW78" s="862"/>
      <c r="CX78" s="862"/>
      <c r="CY78" s="862"/>
      <c r="CZ78" s="862"/>
      <c r="DA78" s="862"/>
      <c r="DB78" s="862"/>
      <c r="DC78" s="862"/>
      <c r="DD78" s="1081"/>
      <c r="DE78" s="862"/>
      <c r="DF78" s="862"/>
      <c r="DG78" s="862"/>
      <c r="DH78" s="73">
        <f t="shared" si="118"/>
        <v>0</v>
      </c>
    </row>
    <row r="79" spans="1:112" s="37" customFormat="1" ht="31.5" customHeight="1" thickBot="1" x14ac:dyDescent="0.25">
      <c r="A79" s="28"/>
      <c r="B79" s="1544" t="s">
        <v>607</v>
      </c>
      <c r="C79" s="29" t="s">
        <v>128</v>
      </c>
      <c r="D79" s="915">
        <v>12</v>
      </c>
      <c r="E79" s="683">
        <v>1</v>
      </c>
      <c r="F79" s="683">
        <v>1</v>
      </c>
      <c r="G79" s="683">
        <v>1</v>
      </c>
      <c r="H79" s="30">
        <v>1</v>
      </c>
      <c r="I79" s="30">
        <v>1</v>
      </c>
      <c r="J79" s="30">
        <v>1</v>
      </c>
      <c r="K79" s="30">
        <v>1</v>
      </c>
      <c r="L79" s="30">
        <v>1</v>
      </c>
      <c r="M79" s="1136">
        <v>1</v>
      </c>
      <c r="N79" s="1136">
        <v>1</v>
      </c>
      <c r="O79" s="1136"/>
      <c r="P79" s="1136"/>
      <c r="Q79" s="1136"/>
      <c r="R79" s="1136">
        <v>1</v>
      </c>
      <c r="S79" s="1136"/>
      <c r="T79" s="1531">
        <v>1</v>
      </c>
      <c r="U79" s="1136"/>
      <c r="V79" s="31">
        <f>SUM(E79:U79)</f>
        <v>12</v>
      </c>
      <c r="W79" s="188" t="s">
        <v>107</v>
      </c>
      <c r="X79" s="684">
        <v>100000</v>
      </c>
      <c r="Y79" s="684">
        <v>100000</v>
      </c>
      <c r="Z79" s="684">
        <v>100000</v>
      </c>
      <c r="AA79" s="684">
        <v>100000</v>
      </c>
      <c r="AB79" s="684">
        <v>100000</v>
      </c>
      <c r="AC79" s="684">
        <v>100000</v>
      </c>
      <c r="AD79" s="684">
        <v>100000</v>
      </c>
      <c r="AE79" s="684">
        <v>100000</v>
      </c>
      <c r="AF79" s="884">
        <v>100000</v>
      </c>
      <c r="AG79" s="1220">
        <v>100000</v>
      </c>
      <c r="AH79" s="1220">
        <v>100000</v>
      </c>
      <c r="AI79" s="884"/>
      <c r="AJ79" s="884"/>
      <c r="AK79" s="1220"/>
      <c r="AL79" s="1220">
        <v>100000</v>
      </c>
      <c r="AM79" s="1220"/>
      <c r="AN79" s="1539">
        <v>100000</v>
      </c>
      <c r="AO79" s="1220"/>
      <c r="AP79" s="1304">
        <f t="shared" si="225"/>
        <v>1200000</v>
      </c>
      <c r="AQ79" s="862">
        <f t="shared" si="226"/>
        <v>100000</v>
      </c>
      <c r="AR79" s="862">
        <f t="shared" si="227"/>
        <v>100000</v>
      </c>
      <c r="AS79" s="862">
        <f t="shared" si="228"/>
        <v>100000</v>
      </c>
      <c r="AT79" s="862">
        <f t="shared" si="229"/>
        <v>100000</v>
      </c>
      <c r="AU79" s="862">
        <f t="shared" si="230"/>
        <v>100000</v>
      </c>
      <c r="AV79" s="862">
        <f t="shared" si="231"/>
        <v>100000</v>
      </c>
      <c r="AW79" s="862">
        <f t="shared" si="232"/>
        <v>100000</v>
      </c>
      <c r="AX79" s="862">
        <f t="shared" si="233"/>
        <v>100000</v>
      </c>
      <c r="AY79" s="1128">
        <f t="shared" si="234"/>
        <v>100000</v>
      </c>
      <c r="AZ79" s="1128">
        <f t="shared" si="235"/>
        <v>100000</v>
      </c>
      <c r="BA79" s="862">
        <f>AI79*O79</f>
        <v>0</v>
      </c>
      <c r="BB79" s="862">
        <f>AJ79*P79</f>
        <v>0</v>
      </c>
      <c r="BC79" s="1128">
        <f t="shared" si="236"/>
        <v>0</v>
      </c>
      <c r="BD79" s="1128">
        <f t="shared" si="236"/>
        <v>100000</v>
      </c>
      <c r="BE79" s="1128">
        <f t="shared" si="236"/>
        <v>0</v>
      </c>
      <c r="BF79" s="1533">
        <f t="shared" si="236"/>
        <v>100000</v>
      </c>
      <c r="BG79" s="1128">
        <f t="shared" si="236"/>
        <v>0</v>
      </c>
      <c r="BH79" s="863">
        <f>SUM(AQ79:BG79)</f>
        <v>1200000</v>
      </c>
      <c r="BI79" s="862"/>
      <c r="BJ79" s="862"/>
      <c r="BK79" s="862"/>
      <c r="BL79" s="862"/>
      <c r="BM79" s="862"/>
      <c r="BN79" s="862"/>
      <c r="BO79" s="862"/>
      <c r="BP79" s="862"/>
      <c r="BQ79" s="862"/>
      <c r="BR79" s="862"/>
      <c r="BS79" s="862"/>
      <c r="BT79" s="862"/>
      <c r="BU79" s="862"/>
      <c r="BV79" s="862"/>
      <c r="BW79" s="862"/>
      <c r="BX79" s="862"/>
      <c r="BY79" s="862"/>
      <c r="BZ79" s="73">
        <f>SUM(BI79:BY79)</f>
        <v>0</v>
      </c>
      <c r="CA79" s="686">
        <f>AP79-BH79-BZ79</f>
        <v>0</v>
      </c>
      <c r="CB79" s="687">
        <f>X79*D79</f>
        <v>1200000</v>
      </c>
      <c r="CC79" s="688">
        <f>CB79-BH79-BZ79</f>
        <v>0</v>
      </c>
      <c r="CD79" s="630">
        <f>SUM(V79/D79)</f>
        <v>1</v>
      </c>
      <c r="CE79" s="1081">
        <f t="shared" si="169"/>
        <v>100000</v>
      </c>
      <c r="CF79" s="1081">
        <f>100000*1</f>
        <v>100000</v>
      </c>
      <c r="CG79" s="1107">
        <f t="shared" si="116"/>
        <v>0</v>
      </c>
      <c r="CH79" s="1084"/>
      <c r="CI79" s="862"/>
      <c r="CJ79" s="862"/>
      <c r="CK79" s="862"/>
      <c r="CL79" s="862"/>
      <c r="CM79" s="862"/>
      <c r="CN79" s="862"/>
      <c r="CO79" s="862"/>
      <c r="CP79" s="862"/>
      <c r="CQ79" s="1081">
        <f t="shared" si="130"/>
        <v>12500</v>
      </c>
      <c r="CR79" s="862"/>
      <c r="CS79" s="862"/>
      <c r="CT79" s="862"/>
      <c r="CU79" s="73">
        <f t="shared" si="117"/>
        <v>12500</v>
      </c>
      <c r="CV79" s="862"/>
      <c r="CW79" s="862"/>
      <c r="CX79" s="862"/>
      <c r="CY79" s="862"/>
      <c r="CZ79" s="862"/>
      <c r="DA79" s="862"/>
      <c r="DB79" s="862"/>
      <c r="DC79" s="862"/>
      <c r="DD79" s="1081"/>
      <c r="DE79" s="862"/>
      <c r="DF79" s="862"/>
      <c r="DG79" s="862"/>
      <c r="DH79" s="73">
        <f t="shared" si="118"/>
        <v>0</v>
      </c>
    </row>
    <row r="80" spans="1:112" s="38" customFormat="1" ht="24.75" customHeight="1" thickBot="1" x14ac:dyDescent="0.25">
      <c r="A80" s="577">
        <v>3</v>
      </c>
      <c r="B80" s="44" t="s">
        <v>4</v>
      </c>
      <c r="C80" s="44"/>
      <c r="D80" s="222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7"/>
      <c r="W80" s="77"/>
      <c r="X80" s="101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50"/>
      <c r="AJ80" s="1050"/>
      <c r="AK80" s="1050"/>
      <c r="AL80" s="1050"/>
      <c r="AM80" s="1050"/>
      <c r="AN80" s="1510"/>
      <c r="AO80" s="1574"/>
      <c r="AP80" s="103">
        <f t="shared" ref="AP80:CC80" si="237">SUM(AP47:AP79)</f>
        <v>289983200</v>
      </c>
      <c r="AQ80" s="103">
        <f t="shared" si="237"/>
        <v>16475000</v>
      </c>
      <c r="AR80" s="315">
        <f>SUM(AR47:AR79)</f>
        <v>14600000</v>
      </c>
      <c r="AS80" s="315">
        <f t="shared" si="237"/>
        <v>14600000</v>
      </c>
      <c r="AT80" s="315">
        <f t="shared" si="237"/>
        <v>29225000</v>
      </c>
      <c r="AU80" s="315">
        <f t="shared" si="237"/>
        <v>14600000</v>
      </c>
      <c r="AV80" s="315">
        <f t="shared" si="237"/>
        <v>14600000</v>
      </c>
      <c r="AW80" s="315">
        <f t="shared" si="237"/>
        <v>14600000</v>
      </c>
      <c r="AX80" s="315">
        <f t="shared" si="237"/>
        <v>14600000</v>
      </c>
      <c r="AY80" s="103">
        <f t="shared" si="237"/>
        <v>14600000</v>
      </c>
      <c r="AZ80" s="1318">
        <f t="shared" si="237"/>
        <v>14600000</v>
      </c>
      <c r="BA80" s="1375">
        <f>SUM(BA47:BA79)</f>
        <v>23100000</v>
      </c>
      <c r="BB80" s="1375">
        <f>SUM(BB47:BB79)</f>
        <v>12800000</v>
      </c>
      <c r="BC80" s="1375">
        <f>SUM(BC47:BC79)</f>
        <v>13600000</v>
      </c>
      <c r="BD80" s="1375">
        <f t="shared" ref="BD80:BG80" si="238">SUM(BD47:BD79)</f>
        <v>14600000</v>
      </c>
      <c r="BE80" s="1380">
        <f t="shared" si="238"/>
        <v>9000000</v>
      </c>
      <c r="BF80" s="1375">
        <f t="shared" si="238"/>
        <v>35132000</v>
      </c>
      <c r="BG80" s="1375">
        <f t="shared" si="238"/>
        <v>0</v>
      </c>
      <c r="BH80" s="103">
        <f t="shared" si="237"/>
        <v>270732000</v>
      </c>
      <c r="BI80" s="103">
        <f t="shared" si="237"/>
        <v>56250</v>
      </c>
      <c r="BJ80" s="103">
        <f t="shared" si="237"/>
        <v>0</v>
      </c>
      <c r="BK80" s="103">
        <f t="shared" si="237"/>
        <v>0</v>
      </c>
      <c r="BL80" s="103">
        <f t="shared" si="237"/>
        <v>2047500</v>
      </c>
      <c r="BM80" s="103">
        <f t="shared" si="237"/>
        <v>0</v>
      </c>
      <c r="BN80" s="103">
        <f t="shared" si="237"/>
        <v>0</v>
      </c>
      <c r="BO80" s="103">
        <f t="shared" si="237"/>
        <v>0</v>
      </c>
      <c r="BP80" s="103">
        <f t="shared" si="237"/>
        <v>0</v>
      </c>
      <c r="BQ80" s="103">
        <f t="shared" si="237"/>
        <v>0</v>
      </c>
      <c r="BR80" s="103">
        <f t="shared" si="237"/>
        <v>0</v>
      </c>
      <c r="BS80" s="1051">
        <f t="shared" si="237"/>
        <v>2675000</v>
      </c>
      <c r="BT80" s="1051">
        <f t="shared" ref="BT80:BY80" si="239">SUM(BT47:BT79)</f>
        <v>1416000</v>
      </c>
      <c r="BU80" s="1051">
        <f t="shared" si="239"/>
        <v>1535000</v>
      </c>
      <c r="BV80" s="1051">
        <f t="shared" si="239"/>
        <v>0</v>
      </c>
      <c r="BW80" s="1051">
        <f t="shared" si="239"/>
        <v>960000</v>
      </c>
      <c r="BX80" s="1051">
        <f t="shared" si="239"/>
        <v>2294840</v>
      </c>
      <c r="BY80" s="1051">
        <f t="shared" si="239"/>
        <v>0</v>
      </c>
      <c r="BZ80" s="103">
        <f t="shared" si="237"/>
        <v>10984590</v>
      </c>
      <c r="CA80" s="103">
        <f t="shared" si="237"/>
        <v>17147450</v>
      </c>
      <c r="CB80" s="103">
        <f t="shared" si="237"/>
        <v>352055200</v>
      </c>
      <c r="CC80" s="103">
        <f t="shared" si="237"/>
        <v>79219450</v>
      </c>
      <c r="CD80" s="164">
        <v>1</v>
      </c>
      <c r="CE80" s="1083">
        <f>SUM(CE47:CE79)</f>
        <v>18625000</v>
      </c>
      <c r="CF80" s="1083">
        <f>SUM(CF47:CF79)</f>
        <v>18600000</v>
      </c>
      <c r="CG80" s="1083">
        <f>SUM(CG47:CG79)</f>
        <v>25000</v>
      </c>
      <c r="CH80" s="1101"/>
      <c r="CI80" s="1102"/>
      <c r="CJ80" s="1102"/>
      <c r="CK80" s="1102"/>
      <c r="CL80" s="1102"/>
      <c r="CM80" s="1102"/>
      <c r="CN80" s="1102"/>
      <c r="CO80" s="1102"/>
      <c r="CP80" s="1102"/>
      <c r="CQ80" s="1083">
        <f t="shared" si="130"/>
        <v>1825000</v>
      </c>
      <c r="CR80" s="1102"/>
      <c r="CS80" s="1102"/>
      <c r="CT80" s="1102"/>
      <c r="CU80" s="1096">
        <f t="shared" si="117"/>
        <v>1825000</v>
      </c>
      <c r="CV80" s="1102"/>
      <c r="CW80" s="1102"/>
      <c r="CX80" s="1102"/>
      <c r="CY80" s="1102"/>
      <c r="CZ80" s="1102"/>
      <c r="DA80" s="1102"/>
      <c r="DB80" s="1102"/>
      <c r="DC80" s="1102"/>
      <c r="DD80" s="1083"/>
      <c r="DE80" s="1102"/>
      <c r="DF80" s="1102"/>
      <c r="DG80" s="1102"/>
      <c r="DH80" s="1096">
        <f t="shared" si="118"/>
        <v>0</v>
      </c>
    </row>
    <row r="81" spans="1:118" s="20" customFormat="1" ht="24.75" customHeight="1" x14ac:dyDescent="0.2">
      <c r="A81" s="50"/>
      <c r="D81" s="223"/>
      <c r="E81" s="50"/>
      <c r="F81" s="50"/>
      <c r="G81" s="50"/>
      <c r="H81" s="50"/>
      <c r="I81" s="50"/>
      <c r="J81" s="50"/>
      <c r="K81" s="50"/>
      <c r="L81" s="50"/>
      <c r="M81" s="50"/>
      <c r="N81" s="165"/>
      <c r="O81" s="50"/>
      <c r="P81" s="50"/>
      <c r="Q81" s="50"/>
      <c r="R81" s="50"/>
      <c r="S81" s="50"/>
      <c r="T81" s="50"/>
      <c r="U81" s="50"/>
      <c r="V81" s="50"/>
      <c r="W81" s="50"/>
      <c r="AI81" s="40"/>
      <c r="AJ81" s="40"/>
      <c r="AK81" s="40"/>
      <c r="AL81" s="40"/>
      <c r="AM81" s="40"/>
      <c r="AN81" s="40"/>
      <c r="AO81" s="40"/>
      <c r="BH81" s="51">
        <f>SUM(BH53+BH55+BH56+BH57+BH59+BH59+BH60+BH76)</f>
        <v>91300000</v>
      </c>
      <c r="BS81" s="40"/>
      <c r="BT81" s="40"/>
      <c r="BU81" s="40"/>
      <c r="BV81" s="40"/>
      <c r="BW81" s="40"/>
      <c r="BX81" s="123"/>
      <c r="BY81" s="40"/>
      <c r="BZ81" s="51">
        <f>SUM(BZ53+BZ55+BZ56+BZ57+BZ59+BZ59+BZ60+BZ76)</f>
        <v>10422000</v>
      </c>
      <c r="CA81" s="53"/>
      <c r="CB81" s="54"/>
      <c r="CC81" s="55">
        <f>SUM(CA80)</f>
        <v>17147450</v>
      </c>
      <c r="CD81" s="40" t="s">
        <v>38</v>
      </c>
      <c r="CE81" s="171"/>
      <c r="CF81" s="24"/>
      <c r="CG81" s="236">
        <v>25000</v>
      </c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</row>
    <row r="82" spans="1:118" s="20" customFormat="1" ht="24.75" customHeight="1" x14ac:dyDescent="0.2">
      <c r="A82" s="50"/>
      <c r="D82" s="223"/>
      <c r="E82" s="50"/>
      <c r="F82" s="50"/>
      <c r="G82" s="50"/>
      <c r="H82" s="50"/>
      <c r="I82" s="50"/>
      <c r="J82" s="50"/>
      <c r="K82" s="50"/>
      <c r="L82" s="50"/>
      <c r="M82" s="50"/>
      <c r="N82" s="165"/>
      <c r="O82" s="50"/>
      <c r="P82" s="50"/>
      <c r="Q82" s="50"/>
      <c r="R82" s="50"/>
      <c r="S82" s="50"/>
      <c r="T82" s="50"/>
      <c r="U82" s="50"/>
      <c r="V82" s="50"/>
      <c r="W82" s="50"/>
      <c r="AI82" s="40"/>
      <c r="AJ82" s="40"/>
      <c r="AK82" s="40"/>
      <c r="AL82" s="40"/>
      <c r="AM82" s="40"/>
      <c r="AN82" s="40"/>
      <c r="AO82" s="40"/>
      <c r="AR82" s="174"/>
      <c r="BH82" s="40"/>
      <c r="BI82" s="388"/>
      <c r="BJ82" s="388"/>
      <c r="BK82" s="388"/>
      <c r="BL82" s="388"/>
      <c r="BM82" s="388"/>
      <c r="BN82" s="388"/>
      <c r="BO82" s="388"/>
      <c r="BP82" s="388"/>
      <c r="BQ82" s="388"/>
      <c r="BR82" s="123"/>
      <c r="BS82" s="123"/>
      <c r="BT82" s="123"/>
      <c r="BU82" s="123"/>
      <c r="BV82" s="123"/>
      <c r="BW82" s="123"/>
      <c r="BX82" s="123"/>
      <c r="BY82" s="123"/>
      <c r="BZ82" s="1619">
        <f>SUM(BH81+BZ81)</f>
        <v>101722000</v>
      </c>
      <c r="CA82" s="123"/>
      <c r="CB82" s="123"/>
      <c r="CC82" s="57">
        <f>SUM(CC80-CC81)</f>
        <v>62072000</v>
      </c>
      <c r="CD82" s="40" t="s">
        <v>37</v>
      </c>
      <c r="CE82" s="171"/>
      <c r="CF82" s="24"/>
      <c r="CG82" s="236">
        <v>25000</v>
      </c>
      <c r="CH82" s="236">
        <f>CG81+CG82</f>
        <v>50000</v>
      </c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</row>
    <row r="83" spans="1:118" s="20" customFormat="1" ht="24.75" customHeight="1" x14ac:dyDescent="0.2">
      <c r="A83" s="1730" t="s">
        <v>8</v>
      </c>
      <c r="B83" s="1731"/>
      <c r="C83" s="124" t="s">
        <v>131</v>
      </c>
      <c r="D83" s="136"/>
      <c r="E83" s="23"/>
      <c r="F83" s="23"/>
      <c r="G83" s="23"/>
      <c r="H83" s="23"/>
      <c r="I83" s="23"/>
      <c r="J83" s="23"/>
      <c r="K83" s="23"/>
      <c r="L83" s="23"/>
      <c r="M83" s="23"/>
      <c r="N83" s="1090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7"/>
      <c r="AJ83" s="137"/>
      <c r="AK83" s="137"/>
      <c r="AL83" s="137"/>
      <c r="AM83" s="137"/>
      <c r="AN83" s="137"/>
      <c r="AO83" s="137"/>
      <c r="AP83" s="23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8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7"/>
      <c r="BT83" s="137"/>
      <c r="BU83" s="137"/>
      <c r="BV83" s="137"/>
      <c r="BW83" s="137"/>
      <c r="BX83" s="137"/>
      <c r="BY83" s="137"/>
      <c r="BZ83" s="138"/>
      <c r="CA83" s="138"/>
      <c r="CB83" s="135"/>
      <c r="CC83" s="139"/>
      <c r="CD83" s="23"/>
      <c r="CE83" s="169"/>
      <c r="CF83" s="136"/>
      <c r="CG83" s="136"/>
      <c r="CH83" s="406"/>
      <c r="CI83" s="136"/>
      <c r="CJ83" s="137"/>
      <c r="CK83" s="136"/>
      <c r="CL83" s="136"/>
      <c r="CM83" s="136"/>
      <c r="CN83" s="136"/>
      <c r="CO83" s="136"/>
      <c r="CP83" s="138"/>
      <c r="CQ83" s="138"/>
      <c r="CR83" s="138"/>
      <c r="CS83" s="135"/>
      <c r="CT83" s="139"/>
      <c r="CU83" s="138"/>
      <c r="CV83" s="138"/>
      <c r="CW83" s="24"/>
      <c r="CX83" s="24"/>
      <c r="CY83" s="24"/>
      <c r="CZ83" s="24"/>
      <c r="DA83" s="24"/>
      <c r="DB83" s="140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</row>
    <row r="84" spans="1:118" s="8" customFormat="1" ht="48.75" customHeight="1" x14ac:dyDescent="0.2">
      <c r="A84" s="1703" t="s">
        <v>10</v>
      </c>
      <c r="B84" s="1706" t="s">
        <v>11</v>
      </c>
      <c r="C84" s="1706" t="s">
        <v>22</v>
      </c>
      <c r="D84" s="1721" t="s">
        <v>12</v>
      </c>
      <c r="E84" s="1721"/>
      <c r="F84" s="1721"/>
      <c r="G84" s="1721"/>
      <c r="H84" s="1721"/>
      <c r="I84" s="1721"/>
      <c r="J84" s="1721"/>
      <c r="K84" s="1721"/>
      <c r="L84" s="1721"/>
      <c r="M84" s="1721"/>
      <c r="N84" s="1721"/>
      <c r="O84" s="1721"/>
      <c r="P84" s="1721"/>
      <c r="Q84" s="1721"/>
      <c r="R84" s="1721"/>
      <c r="S84" s="1721"/>
      <c r="T84" s="1721"/>
      <c r="U84" s="1721"/>
      <c r="V84" s="1721"/>
      <c r="W84" s="1706" t="s">
        <v>20</v>
      </c>
      <c r="X84" s="1717" t="s">
        <v>17</v>
      </c>
      <c r="Y84" s="1718"/>
      <c r="Z84" s="1718"/>
      <c r="AA84" s="1718"/>
      <c r="AB84" s="1718"/>
      <c r="AC84" s="1718"/>
      <c r="AD84" s="1718"/>
      <c r="AE84" s="1718"/>
      <c r="AF84" s="1718"/>
      <c r="AG84" s="1718"/>
      <c r="AH84" s="1718"/>
      <c r="AI84" s="1718"/>
      <c r="AJ84" s="1718"/>
      <c r="AK84" s="1718"/>
      <c r="AL84" s="1718"/>
      <c r="AM84" s="1718"/>
      <c r="AN84" s="1718"/>
      <c r="AO84" s="1719"/>
      <c r="AP84" s="1720" t="s">
        <v>6</v>
      </c>
      <c r="AQ84" s="1720"/>
      <c r="AR84" s="1720"/>
      <c r="AS84" s="1720"/>
      <c r="AT84" s="1720"/>
      <c r="AU84" s="1720"/>
      <c r="AV84" s="1720"/>
      <c r="AW84" s="1720"/>
      <c r="AX84" s="1720"/>
      <c r="AY84" s="1720"/>
      <c r="AZ84" s="1720"/>
      <c r="BA84" s="1720"/>
      <c r="BB84" s="1720"/>
      <c r="BC84" s="1720"/>
      <c r="BD84" s="1720"/>
      <c r="BE84" s="1720"/>
      <c r="BF84" s="1720"/>
      <c r="BG84" s="1720"/>
      <c r="BH84" s="1720"/>
      <c r="BI84" s="1722" t="s">
        <v>41</v>
      </c>
      <c r="BJ84" s="1723"/>
      <c r="BK84" s="1723"/>
      <c r="BL84" s="1723"/>
      <c r="BM84" s="1723"/>
      <c r="BN84" s="1723"/>
      <c r="BO84" s="1723"/>
      <c r="BP84" s="1723"/>
      <c r="BQ84" s="1723"/>
      <c r="BR84" s="1723"/>
      <c r="BS84" s="1723"/>
      <c r="BT84" s="1723"/>
      <c r="BU84" s="1723"/>
      <c r="BV84" s="1723"/>
      <c r="BW84" s="1723"/>
      <c r="BX84" s="1723"/>
      <c r="BY84" s="1723"/>
      <c r="BZ84" s="1724"/>
      <c r="CA84" s="1706" t="s">
        <v>38</v>
      </c>
      <c r="CB84" s="1706" t="s">
        <v>256</v>
      </c>
      <c r="CC84" s="1794" t="s">
        <v>39</v>
      </c>
      <c r="CD84" s="135"/>
      <c r="CE84" s="135"/>
      <c r="CF84" s="135"/>
      <c r="CG84" s="135"/>
      <c r="CH84" s="135"/>
      <c r="CI84" s="1733" t="s">
        <v>41</v>
      </c>
      <c r="CJ84" s="1734"/>
      <c r="CK84" s="1734"/>
      <c r="CL84" s="1734"/>
      <c r="CM84" s="1734"/>
      <c r="CN84" s="1734"/>
      <c r="CO84" s="1734"/>
      <c r="CP84" s="1734"/>
      <c r="CQ84" s="1734"/>
      <c r="CR84" s="1734"/>
      <c r="CS84" s="1734"/>
      <c r="CT84" s="1734"/>
      <c r="CU84" s="1734"/>
      <c r="CV84" s="1734"/>
      <c r="CW84" s="1734"/>
      <c r="CX84" s="1734"/>
      <c r="CY84" s="1734"/>
      <c r="CZ84" s="1734"/>
      <c r="DA84" s="1734"/>
      <c r="DB84" s="1734"/>
      <c r="DC84" s="1734"/>
      <c r="DD84" s="1734"/>
      <c r="DE84" s="1734"/>
      <c r="DF84" s="1734"/>
      <c r="DG84" s="1734"/>
      <c r="DH84" s="1735"/>
    </row>
    <row r="85" spans="1:118" s="8" customFormat="1" ht="48.75" customHeight="1" x14ac:dyDescent="0.2">
      <c r="A85" s="1704"/>
      <c r="B85" s="1707"/>
      <c r="C85" s="1707"/>
      <c r="D85" s="1712" t="s">
        <v>18</v>
      </c>
      <c r="E85" s="1714" t="s">
        <v>19</v>
      </c>
      <c r="F85" s="1715"/>
      <c r="G85" s="1715"/>
      <c r="H85" s="1715"/>
      <c r="I85" s="1715"/>
      <c r="J85" s="1715"/>
      <c r="K85" s="1715"/>
      <c r="L85" s="1715"/>
      <c r="M85" s="1715"/>
      <c r="N85" s="1715"/>
      <c r="O85" s="1715"/>
      <c r="P85" s="1715"/>
      <c r="Q85" s="1715"/>
      <c r="R85" s="1715"/>
      <c r="S85" s="1715"/>
      <c r="T85" s="1715"/>
      <c r="U85" s="1715"/>
      <c r="V85" s="1715"/>
      <c r="W85" s="1707"/>
      <c r="X85" s="1712" t="s">
        <v>18</v>
      </c>
      <c r="Y85" s="1714" t="s">
        <v>19</v>
      </c>
      <c r="Z85" s="1715"/>
      <c r="AA85" s="1715"/>
      <c r="AB85" s="1715"/>
      <c r="AC85" s="1715"/>
      <c r="AD85" s="1715"/>
      <c r="AE85" s="1715"/>
      <c r="AF85" s="1715"/>
      <c r="AG85" s="1715"/>
      <c r="AH85" s="1715"/>
      <c r="AI85" s="1715"/>
      <c r="AJ85" s="1715"/>
      <c r="AK85" s="1715"/>
      <c r="AL85" s="1715"/>
      <c r="AM85" s="1715"/>
      <c r="AN85" s="1715"/>
      <c r="AO85" s="1716"/>
      <c r="AP85" s="1712" t="s">
        <v>18</v>
      </c>
      <c r="AQ85" s="1714" t="s">
        <v>19</v>
      </c>
      <c r="AR85" s="1715"/>
      <c r="AS85" s="1715"/>
      <c r="AT85" s="1715"/>
      <c r="AU85" s="1715"/>
      <c r="AV85" s="1715"/>
      <c r="AW85" s="1715"/>
      <c r="AX85" s="1715"/>
      <c r="AY85" s="1715"/>
      <c r="AZ85" s="1715"/>
      <c r="BA85" s="1715"/>
      <c r="BB85" s="1715"/>
      <c r="BC85" s="1715"/>
      <c r="BD85" s="1715"/>
      <c r="BE85" s="1715"/>
      <c r="BF85" s="1715"/>
      <c r="BG85" s="1715"/>
      <c r="BH85" s="1716"/>
      <c r="BI85" s="1725"/>
      <c r="BJ85" s="1726"/>
      <c r="BK85" s="1726"/>
      <c r="BL85" s="1726"/>
      <c r="BM85" s="1726"/>
      <c r="BN85" s="1726"/>
      <c r="BO85" s="1726"/>
      <c r="BP85" s="1726"/>
      <c r="BQ85" s="1726"/>
      <c r="BR85" s="1726"/>
      <c r="BS85" s="1726"/>
      <c r="BT85" s="1726"/>
      <c r="BU85" s="1726"/>
      <c r="BV85" s="1726"/>
      <c r="BW85" s="1726"/>
      <c r="BX85" s="1726"/>
      <c r="BY85" s="1726"/>
      <c r="BZ85" s="1727"/>
      <c r="CA85" s="1707"/>
      <c r="CB85" s="1707"/>
      <c r="CC85" s="1795"/>
      <c r="CD85" s="135"/>
      <c r="CE85" s="1736">
        <f>SUM(CE87/60)</f>
        <v>0</v>
      </c>
      <c r="CF85" s="1736"/>
      <c r="CG85" s="1736"/>
      <c r="CH85" s="23"/>
      <c r="CI85" s="1737" t="s">
        <v>686</v>
      </c>
      <c r="CJ85" s="1738"/>
      <c r="CK85" s="1738"/>
      <c r="CL85" s="1738"/>
      <c r="CM85" s="1738"/>
      <c r="CN85" s="1738"/>
      <c r="CO85" s="1738"/>
      <c r="CP85" s="1738"/>
      <c r="CQ85" s="1738"/>
      <c r="CR85" s="1738"/>
      <c r="CS85" s="1738"/>
      <c r="CT85" s="1738"/>
      <c r="CU85" s="1739"/>
      <c r="CV85" s="1740" t="s">
        <v>687</v>
      </c>
      <c r="CW85" s="1741"/>
      <c r="CX85" s="1741"/>
      <c r="CY85" s="1741"/>
      <c r="CZ85" s="1741"/>
      <c r="DA85" s="1741"/>
      <c r="DB85" s="1741"/>
      <c r="DC85" s="1741"/>
      <c r="DD85" s="1741"/>
      <c r="DE85" s="1741"/>
      <c r="DF85" s="1741"/>
      <c r="DG85" s="1741"/>
      <c r="DH85" s="1742"/>
    </row>
    <row r="86" spans="1:118" s="6" customFormat="1" ht="28.5" customHeight="1" x14ac:dyDescent="0.2">
      <c r="A86" s="1704"/>
      <c r="B86" s="1707"/>
      <c r="C86" s="1707"/>
      <c r="D86" s="1784"/>
      <c r="E86" s="26">
        <v>1</v>
      </c>
      <c r="F86" s="26">
        <v>2</v>
      </c>
      <c r="G86" s="26">
        <v>3</v>
      </c>
      <c r="H86" s="26">
        <v>4</v>
      </c>
      <c r="I86" s="26">
        <v>5</v>
      </c>
      <c r="J86" s="26">
        <v>6</v>
      </c>
      <c r="K86" s="26">
        <v>7</v>
      </c>
      <c r="L86" s="26">
        <v>8</v>
      </c>
      <c r="M86" s="26">
        <v>9</v>
      </c>
      <c r="N86" s="26">
        <v>10</v>
      </c>
      <c r="O86" s="26">
        <v>11</v>
      </c>
      <c r="P86" s="26">
        <v>12</v>
      </c>
      <c r="Q86" s="26">
        <v>13</v>
      </c>
      <c r="R86" s="26">
        <v>14</v>
      </c>
      <c r="S86" s="26">
        <v>15</v>
      </c>
      <c r="T86" s="26">
        <v>16</v>
      </c>
      <c r="U86" s="26">
        <v>17</v>
      </c>
      <c r="V86" s="26" t="s">
        <v>21</v>
      </c>
      <c r="W86" s="1707"/>
      <c r="X86" s="1784"/>
      <c r="Y86" s="26">
        <v>1</v>
      </c>
      <c r="Z86" s="26">
        <v>2</v>
      </c>
      <c r="AA86" s="26">
        <v>3</v>
      </c>
      <c r="AB86" s="26">
        <v>4</v>
      </c>
      <c r="AC86" s="26">
        <v>5</v>
      </c>
      <c r="AD86" s="26">
        <v>6</v>
      </c>
      <c r="AE86" s="26">
        <v>7</v>
      </c>
      <c r="AF86" s="26">
        <v>8</v>
      </c>
      <c r="AG86" s="26">
        <v>9</v>
      </c>
      <c r="AH86" s="26">
        <v>10</v>
      </c>
      <c r="AI86" s="26">
        <v>11</v>
      </c>
      <c r="AJ86" s="26">
        <v>12</v>
      </c>
      <c r="AK86" s="26">
        <v>13</v>
      </c>
      <c r="AL86" s="26">
        <v>14</v>
      </c>
      <c r="AM86" s="26">
        <v>15</v>
      </c>
      <c r="AN86" s="26">
        <v>16</v>
      </c>
      <c r="AO86" s="26">
        <v>17</v>
      </c>
      <c r="AP86" s="1784"/>
      <c r="AQ86" s="26">
        <v>1</v>
      </c>
      <c r="AR86" s="26">
        <v>2</v>
      </c>
      <c r="AS86" s="26">
        <v>3</v>
      </c>
      <c r="AT86" s="26">
        <v>4</v>
      </c>
      <c r="AU86" s="26">
        <v>5</v>
      </c>
      <c r="AV86" s="26">
        <v>6</v>
      </c>
      <c r="AW86" s="26">
        <v>7</v>
      </c>
      <c r="AX86" s="26">
        <v>8</v>
      </c>
      <c r="AY86" s="26">
        <v>9</v>
      </c>
      <c r="AZ86" s="26">
        <v>10</v>
      </c>
      <c r="BA86" s="26">
        <v>11</v>
      </c>
      <c r="BB86" s="26">
        <v>12</v>
      </c>
      <c r="BC86" s="26">
        <v>13</v>
      </c>
      <c r="BD86" s="26">
        <v>14</v>
      </c>
      <c r="BE86" s="26">
        <v>15</v>
      </c>
      <c r="BF86" s="26">
        <v>16</v>
      </c>
      <c r="BG86" s="26">
        <v>17</v>
      </c>
      <c r="BH86" s="26" t="s">
        <v>13</v>
      </c>
      <c r="BI86" s="173">
        <v>1</v>
      </c>
      <c r="BJ86" s="173">
        <v>2</v>
      </c>
      <c r="BK86" s="173">
        <v>3</v>
      </c>
      <c r="BL86" s="173">
        <v>4</v>
      </c>
      <c r="BM86" s="173">
        <v>5</v>
      </c>
      <c r="BN86" s="173">
        <v>6</v>
      </c>
      <c r="BO86" s="173">
        <v>7</v>
      </c>
      <c r="BP86" s="173">
        <v>8</v>
      </c>
      <c r="BQ86" s="173">
        <v>9</v>
      </c>
      <c r="BR86" s="173">
        <v>10</v>
      </c>
      <c r="BS86" s="173">
        <v>11</v>
      </c>
      <c r="BT86" s="173">
        <v>12</v>
      </c>
      <c r="BU86" s="173">
        <v>13</v>
      </c>
      <c r="BV86" s="173">
        <v>14</v>
      </c>
      <c r="BW86" s="173">
        <v>15</v>
      </c>
      <c r="BX86" s="173">
        <v>16</v>
      </c>
      <c r="BY86" s="173">
        <v>17</v>
      </c>
      <c r="BZ86" s="26" t="s">
        <v>13</v>
      </c>
      <c r="CA86" s="1707"/>
      <c r="CB86" s="1707"/>
      <c r="CC86" s="1795"/>
      <c r="CD86" s="7"/>
      <c r="CE86" s="1743" t="s">
        <v>19</v>
      </c>
      <c r="CF86" s="1744"/>
      <c r="CG86" s="1745"/>
      <c r="CH86" s="621"/>
      <c r="CI86" s="173">
        <v>1</v>
      </c>
      <c r="CJ86" s="173">
        <v>2</v>
      </c>
      <c r="CK86" s="173">
        <v>3</v>
      </c>
      <c r="CL86" s="173">
        <v>4</v>
      </c>
      <c r="CM86" s="173">
        <v>5</v>
      </c>
      <c r="CN86" s="173">
        <v>6</v>
      </c>
      <c r="CO86" s="173">
        <v>7</v>
      </c>
      <c r="CP86" s="173">
        <v>8</v>
      </c>
      <c r="CQ86" s="173">
        <v>9</v>
      </c>
      <c r="CR86" s="173">
        <v>10</v>
      </c>
      <c r="CS86" s="173">
        <v>11</v>
      </c>
      <c r="CT86" s="173">
        <v>12</v>
      </c>
      <c r="CU86" s="26" t="s">
        <v>13</v>
      </c>
      <c r="CV86" s="173">
        <v>1</v>
      </c>
      <c r="CW86" s="173">
        <v>2</v>
      </c>
      <c r="CX86" s="173">
        <v>3</v>
      </c>
      <c r="CY86" s="173">
        <v>4</v>
      </c>
      <c r="CZ86" s="173">
        <v>5</v>
      </c>
      <c r="DA86" s="173">
        <v>6</v>
      </c>
      <c r="DB86" s="173">
        <v>7</v>
      </c>
      <c r="DC86" s="173">
        <v>8</v>
      </c>
      <c r="DD86" s="173">
        <v>9</v>
      </c>
      <c r="DE86" s="173">
        <v>10</v>
      </c>
      <c r="DF86" s="173">
        <v>11</v>
      </c>
      <c r="DG86" s="173">
        <v>12</v>
      </c>
      <c r="DH86" s="26" t="s">
        <v>13</v>
      </c>
    </row>
    <row r="87" spans="1:118" s="37" customFormat="1" ht="24.75" customHeight="1" x14ac:dyDescent="0.2">
      <c r="A87" s="28"/>
      <c r="B87" s="797" t="s">
        <v>568</v>
      </c>
      <c r="C87" s="29"/>
      <c r="D87" s="725"/>
      <c r="E87" s="683"/>
      <c r="F87" s="30"/>
      <c r="G87" s="30"/>
      <c r="H87" s="30"/>
      <c r="I87" s="30"/>
      <c r="J87" s="30"/>
      <c r="K87" s="30"/>
      <c r="L87" s="30"/>
      <c r="M87" s="1200"/>
      <c r="N87" s="1200"/>
      <c r="O87" s="30"/>
      <c r="P87" s="1512"/>
      <c r="Q87" s="30"/>
      <c r="R87" s="30"/>
      <c r="S87" s="30"/>
      <c r="T87" s="30"/>
      <c r="U87" s="30"/>
      <c r="V87" s="31"/>
      <c r="W87" s="801"/>
      <c r="X87" s="675"/>
      <c r="Y87" s="691"/>
      <c r="Z87" s="685"/>
      <c r="AA87" s="685"/>
      <c r="AB87" s="685"/>
      <c r="AC87" s="685"/>
      <c r="AD87" s="685"/>
      <c r="AE87" s="685"/>
      <c r="AF87" s="685"/>
      <c r="AG87" s="1220"/>
      <c r="AH87" s="1220"/>
      <c r="AI87" s="1164"/>
      <c r="AJ87" s="1514"/>
      <c r="AK87" s="1164"/>
      <c r="AL87" s="1164"/>
      <c r="AM87" s="1164"/>
      <c r="AN87" s="1164"/>
      <c r="AO87" s="685"/>
      <c r="AP87" s="1304"/>
      <c r="AQ87" s="70"/>
      <c r="AR87" s="70"/>
      <c r="AS87" s="70"/>
      <c r="AT87" s="70"/>
      <c r="AU87" s="70"/>
      <c r="AV87" s="70"/>
      <c r="AW87" s="70"/>
      <c r="AX87" s="70"/>
      <c r="AY87" s="1128"/>
      <c r="AZ87" s="1128"/>
      <c r="BA87" s="70"/>
      <c r="BB87" s="1515"/>
      <c r="BC87" s="70"/>
      <c r="BD87" s="70"/>
      <c r="BE87" s="70"/>
      <c r="BF87" s="70"/>
      <c r="BG87" s="70"/>
      <c r="BH87" s="71"/>
      <c r="BI87" s="70"/>
      <c r="BJ87" s="70"/>
      <c r="BK87" s="70"/>
      <c r="BL87" s="70"/>
      <c r="BM87" s="70"/>
      <c r="BN87" s="70"/>
      <c r="BO87" s="70"/>
      <c r="BP87" s="70"/>
      <c r="BQ87" s="1128"/>
      <c r="BR87" s="70"/>
      <c r="BS87" s="1130"/>
      <c r="BT87" s="1130"/>
      <c r="BU87" s="1130"/>
      <c r="BV87" s="1130"/>
      <c r="BW87" s="1130"/>
      <c r="BX87" s="1130"/>
      <c r="BY87" s="1130"/>
      <c r="BZ87" s="72"/>
      <c r="CA87" s="686"/>
      <c r="CB87" s="687"/>
      <c r="CC87" s="688"/>
      <c r="CD87" s="630"/>
      <c r="CE87" s="1081"/>
      <c r="CF87" s="1081"/>
      <c r="CG87" s="1083"/>
      <c r="CH87" s="1084"/>
      <c r="CI87" s="862"/>
      <c r="CJ87" s="862"/>
      <c r="CK87" s="862"/>
      <c r="CL87" s="862"/>
      <c r="CM87" s="862"/>
      <c r="CN87" s="862"/>
      <c r="CO87" s="862"/>
      <c r="CP87" s="862"/>
      <c r="CQ87" s="1081">
        <f t="shared" ref="CQ87:CQ93" si="240">SUM(AX87*12.5%)</f>
        <v>0</v>
      </c>
      <c r="CR87" s="862"/>
      <c r="CS87" s="862"/>
      <c r="CT87" s="862"/>
      <c r="CU87" s="73">
        <f t="shared" ref="CU87" si="241">SUM(CI87:CT87)</f>
        <v>0</v>
      </c>
      <c r="CV87" s="862"/>
      <c r="CW87" s="862"/>
      <c r="CX87" s="862"/>
      <c r="CY87" s="862"/>
      <c r="CZ87" s="862"/>
      <c r="DA87" s="862"/>
      <c r="DB87" s="862"/>
      <c r="DC87" s="862"/>
      <c r="DD87" s="1081"/>
      <c r="DE87" s="862"/>
      <c r="DF87" s="862"/>
      <c r="DG87" s="862"/>
      <c r="DH87" s="73">
        <f t="shared" ref="DH87:DH89" si="242">SUM(CV87:DG87)</f>
        <v>0</v>
      </c>
    </row>
    <row r="88" spans="1:118" s="37" customFormat="1" ht="24.75" customHeight="1" x14ac:dyDescent="0.2">
      <c r="A88" s="28"/>
      <c r="B88" s="798" t="s">
        <v>569</v>
      </c>
      <c r="C88" s="29" t="s">
        <v>128</v>
      </c>
      <c r="D88" s="799">
        <v>160</v>
      </c>
      <c r="E88" s="683"/>
      <c r="F88" s="30"/>
      <c r="G88" s="30"/>
      <c r="H88" s="30"/>
      <c r="I88" s="30"/>
      <c r="J88" s="30"/>
      <c r="K88" s="30">
        <v>40</v>
      </c>
      <c r="L88" s="30"/>
      <c r="M88" s="1200"/>
      <c r="N88" s="1200"/>
      <c r="O88" s="30"/>
      <c r="P88" s="1512">
        <v>40</v>
      </c>
      <c r="Q88" s="30"/>
      <c r="R88" s="30"/>
      <c r="S88" s="30"/>
      <c r="T88" s="30"/>
      <c r="U88" s="30"/>
      <c r="V88" s="31">
        <f t="shared" ref="V88:V90" si="243">SUM(E88:U88)</f>
        <v>80</v>
      </c>
      <c r="W88" s="802" t="s">
        <v>31</v>
      </c>
      <c r="X88" s="800">
        <v>10300</v>
      </c>
      <c r="Y88" s="691"/>
      <c r="Z88" s="685"/>
      <c r="AA88" s="685"/>
      <c r="AB88" s="685"/>
      <c r="AC88" s="685"/>
      <c r="AD88" s="685"/>
      <c r="AE88" s="685">
        <v>9000</v>
      </c>
      <c r="AF88" s="685"/>
      <c r="AG88" s="1220"/>
      <c r="AH88" s="1220"/>
      <c r="AI88" s="1164"/>
      <c r="AJ88" s="1514">
        <v>10300</v>
      </c>
      <c r="AK88" s="1164"/>
      <c r="AL88" s="1164"/>
      <c r="AM88" s="1164"/>
      <c r="AN88" s="1164"/>
      <c r="AO88" s="685"/>
      <c r="AP88" s="1304">
        <f t="shared" ref="AP88:AP90" si="244">SUM(V88*X88)</f>
        <v>824000</v>
      </c>
      <c r="AQ88" s="70">
        <f t="shared" ref="AQ88:AQ90" si="245">Y88*E88</f>
        <v>0</v>
      </c>
      <c r="AR88" s="70">
        <f t="shared" ref="AR88:AR90" si="246">Z88*F88</f>
        <v>0</v>
      </c>
      <c r="AS88" s="70">
        <f t="shared" ref="AS88:AS90" si="247">AA88*G88</f>
        <v>0</v>
      </c>
      <c r="AT88" s="70">
        <f t="shared" ref="AT88:AT90" si="248">AB88*H88</f>
        <v>0</v>
      </c>
      <c r="AU88" s="70">
        <f t="shared" ref="AU88:AU90" si="249">AC88*I88</f>
        <v>0</v>
      </c>
      <c r="AV88" s="70">
        <f t="shared" ref="AV88:AV90" si="250">AD88*J88</f>
        <v>0</v>
      </c>
      <c r="AW88" s="70">
        <f t="shared" ref="AW88:AW90" si="251">AE88*K88</f>
        <v>360000</v>
      </c>
      <c r="AX88" s="70">
        <f t="shared" ref="AX88:AX90" si="252">AF88*L88</f>
        <v>0</v>
      </c>
      <c r="AY88" s="1128">
        <f t="shared" ref="AY88:AY90" si="253">AG88*M88</f>
        <v>0</v>
      </c>
      <c r="AZ88" s="1128">
        <f t="shared" ref="AZ88:AZ90" si="254">AH88*N88</f>
        <v>0</v>
      </c>
      <c r="BA88" s="1128">
        <f t="shared" ref="BA88" si="255">AI88*O88</f>
        <v>0</v>
      </c>
      <c r="BB88" s="1515">
        <f t="shared" ref="BB88:BB92" si="256">AJ88*P88</f>
        <v>412000</v>
      </c>
      <c r="BC88" s="70"/>
      <c r="BD88" s="70"/>
      <c r="BE88" s="70"/>
      <c r="BF88" s="70"/>
      <c r="BG88" s="70"/>
      <c r="BH88" s="71">
        <f>SUM(AQ88:BG88)</f>
        <v>772000</v>
      </c>
      <c r="BI88" s="70">
        <f t="shared" ref="BI88:BN90" si="257">SUM(AQ88*14%)</f>
        <v>0</v>
      </c>
      <c r="BJ88" s="70">
        <f t="shared" si="257"/>
        <v>0</v>
      </c>
      <c r="BK88" s="70">
        <f t="shared" si="257"/>
        <v>0</v>
      </c>
      <c r="BL88" s="70">
        <f t="shared" si="257"/>
        <v>0</v>
      </c>
      <c r="BM88" s="70">
        <f t="shared" si="257"/>
        <v>0</v>
      </c>
      <c r="BN88" s="70">
        <f t="shared" si="257"/>
        <v>0</v>
      </c>
      <c r="BO88" s="70">
        <f>SUM(AW88*4%)</f>
        <v>14400</v>
      </c>
      <c r="BP88" s="70">
        <f t="shared" ref="BP88:BQ90" si="258">SUM(AX88*14%)</f>
        <v>0</v>
      </c>
      <c r="BQ88" s="1128">
        <f t="shared" si="258"/>
        <v>0</v>
      </c>
      <c r="BR88" s="1128">
        <f t="shared" ref="BR88:BR90" si="259">SUM(AZ88*14%)</f>
        <v>0</v>
      </c>
      <c r="BS88" s="1128">
        <f t="shared" ref="BS88:BS90" si="260">SUM(BA88*14%)</f>
        <v>0</v>
      </c>
      <c r="BT88" s="1128">
        <f>SUM(BB88*12%)</f>
        <v>49440</v>
      </c>
      <c r="BU88" s="1130"/>
      <c r="BV88" s="1130"/>
      <c r="BW88" s="1130"/>
      <c r="BX88" s="1130"/>
      <c r="BY88" s="1130"/>
      <c r="BZ88" s="72">
        <f>SUM(BI88:BY88)</f>
        <v>63840</v>
      </c>
      <c r="CA88" s="686">
        <f>AP88-BH88</f>
        <v>52000</v>
      </c>
      <c r="CB88" s="687">
        <f>X88*D88</f>
        <v>1648000</v>
      </c>
      <c r="CC88" s="688">
        <f>CB88-BH88-BO88</f>
        <v>861600</v>
      </c>
      <c r="CD88" s="630">
        <f>SUM(V88/D88)</f>
        <v>0.5</v>
      </c>
      <c r="CE88" s="1081"/>
      <c r="CF88" s="1081"/>
      <c r="CG88" s="1083"/>
      <c r="CH88" s="1084"/>
      <c r="CI88" s="862"/>
      <c r="CJ88" s="862"/>
      <c r="CK88" s="862"/>
      <c r="CL88" s="862"/>
      <c r="CM88" s="862"/>
      <c r="CN88" s="862"/>
      <c r="CO88" s="862"/>
      <c r="CP88" s="862"/>
      <c r="CQ88" s="1081">
        <f t="shared" si="240"/>
        <v>0</v>
      </c>
      <c r="CR88" s="862"/>
      <c r="CS88" s="862"/>
      <c r="CT88" s="862"/>
      <c r="CU88" s="73">
        <f t="shared" ref="CU88:CU89" si="261">SUM(CI88:CT88)</f>
        <v>0</v>
      </c>
      <c r="CV88" s="862"/>
      <c r="CW88" s="862"/>
      <c r="CX88" s="862"/>
      <c r="CY88" s="862"/>
      <c r="CZ88" s="862"/>
      <c r="DA88" s="862"/>
      <c r="DB88" s="862"/>
      <c r="DC88" s="862"/>
      <c r="DD88" s="1081"/>
      <c r="DE88" s="862"/>
      <c r="DF88" s="862"/>
      <c r="DG88" s="862"/>
      <c r="DH88" s="73">
        <f t="shared" si="242"/>
        <v>0</v>
      </c>
    </row>
    <row r="89" spans="1:118" s="37" customFormat="1" ht="24.75" customHeight="1" x14ac:dyDescent="0.2">
      <c r="A89" s="28"/>
      <c r="B89" s="798" t="s">
        <v>570</v>
      </c>
      <c r="C89" s="29" t="s">
        <v>128</v>
      </c>
      <c r="D89" s="799">
        <v>160</v>
      </c>
      <c r="E89" s="683"/>
      <c r="F89" s="30"/>
      <c r="G89" s="30"/>
      <c r="H89" s="30"/>
      <c r="I89" s="30"/>
      <c r="J89" s="30"/>
      <c r="K89" s="30">
        <v>40</v>
      </c>
      <c r="L89" s="30"/>
      <c r="M89" s="1200"/>
      <c r="N89" s="1200"/>
      <c r="O89" s="30"/>
      <c r="P89" s="1512">
        <v>40</v>
      </c>
      <c r="Q89" s="30"/>
      <c r="R89" s="30"/>
      <c r="S89" s="30"/>
      <c r="T89" s="30"/>
      <c r="U89" s="30"/>
      <c r="V89" s="31">
        <f t="shared" si="243"/>
        <v>80</v>
      </c>
      <c r="W89" s="802" t="s">
        <v>31</v>
      </c>
      <c r="X89" s="800">
        <v>28500</v>
      </c>
      <c r="Y89" s="691"/>
      <c r="Z89" s="685"/>
      <c r="AA89" s="685"/>
      <c r="AB89" s="685"/>
      <c r="AC89" s="685"/>
      <c r="AD89" s="685"/>
      <c r="AE89" s="685">
        <v>25000</v>
      </c>
      <c r="AF89" s="685"/>
      <c r="AG89" s="1220"/>
      <c r="AH89" s="1220"/>
      <c r="AI89" s="1164"/>
      <c r="AJ89" s="1514">
        <v>28000</v>
      </c>
      <c r="AK89" s="1164"/>
      <c r="AL89" s="1164"/>
      <c r="AM89" s="1164"/>
      <c r="AN89" s="1164"/>
      <c r="AO89" s="685"/>
      <c r="AP89" s="1304">
        <f t="shared" si="244"/>
        <v>2280000</v>
      </c>
      <c r="AQ89" s="70">
        <f t="shared" si="245"/>
        <v>0</v>
      </c>
      <c r="AR89" s="70">
        <f t="shared" si="246"/>
        <v>0</v>
      </c>
      <c r="AS89" s="70">
        <f t="shared" si="247"/>
        <v>0</v>
      </c>
      <c r="AT89" s="70">
        <f t="shared" si="248"/>
        <v>0</v>
      </c>
      <c r="AU89" s="70">
        <f t="shared" si="249"/>
        <v>0</v>
      </c>
      <c r="AV89" s="70">
        <f t="shared" si="250"/>
        <v>0</v>
      </c>
      <c r="AW89" s="70">
        <f t="shared" si="251"/>
        <v>1000000</v>
      </c>
      <c r="AX89" s="70">
        <f t="shared" si="252"/>
        <v>0</v>
      </c>
      <c r="AY89" s="1128">
        <f t="shared" si="253"/>
        <v>0</v>
      </c>
      <c r="AZ89" s="1128">
        <f t="shared" si="254"/>
        <v>0</v>
      </c>
      <c r="BA89" s="70">
        <f t="shared" ref="BA89:BA90" si="262">AI89*O89</f>
        <v>0</v>
      </c>
      <c r="BB89" s="1515">
        <f t="shared" si="256"/>
        <v>1120000</v>
      </c>
      <c r="BC89" s="70"/>
      <c r="BD89" s="70"/>
      <c r="BE89" s="70"/>
      <c r="BF89" s="70"/>
      <c r="BG89" s="70"/>
      <c r="BH89" s="71">
        <f>SUM(AQ89:BG89)</f>
        <v>2120000</v>
      </c>
      <c r="BI89" s="70">
        <f t="shared" si="257"/>
        <v>0</v>
      </c>
      <c r="BJ89" s="70">
        <f t="shared" si="257"/>
        <v>0</v>
      </c>
      <c r="BK89" s="70">
        <f t="shared" si="257"/>
        <v>0</v>
      </c>
      <c r="BL89" s="70">
        <f t="shared" si="257"/>
        <v>0</v>
      </c>
      <c r="BM89" s="70">
        <f t="shared" si="257"/>
        <v>0</v>
      </c>
      <c r="BN89" s="70">
        <f t="shared" si="257"/>
        <v>0</v>
      </c>
      <c r="BO89" s="70">
        <f>SUM(AW89*4%)</f>
        <v>40000</v>
      </c>
      <c r="BP89" s="70">
        <f t="shared" si="258"/>
        <v>0</v>
      </c>
      <c r="BQ89" s="1128">
        <f t="shared" si="258"/>
        <v>0</v>
      </c>
      <c r="BR89" s="1128">
        <f t="shared" si="259"/>
        <v>0</v>
      </c>
      <c r="BS89" s="1128">
        <f t="shared" si="260"/>
        <v>0</v>
      </c>
      <c r="BT89" s="1128">
        <f>SUM(BB89*12%)</f>
        <v>134400</v>
      </c>
      <c r="BU89" s="1130"/>
      <c r="BV89" s="1130"/>
      <c r="BW89" s="1130"/>
      <c r="BX89" s="1130"/>
      <c r="BY89" s="1130"/>
      <c r="BZ89" s="72">
        <f>SUM(BI89:BY89)</f>
        <v>174400</v>
      </c>
      <c r="CA89" s="686">
        <f t="shared" ref="CA89:CA90" si="263">AP89-BH89</f>
        <v>160000</v>
      </c>
      <c r="CB89" s="687">
        <f>X89*D89</f>
        <v>4560000</v>
      </c>
      <c r="CC89" s="688">
        <f t="shared" ref="CC89" si="264">CB89-BH89-BO89</f>
        <v>2400000</v>
      </c>
      <c r="CD89" s="630">
        <f>SUM(V89/D89)</f>
        <v>0.5</v>
      </c>
      <c r="CE89" s="1081"/>
      <c r="CF89" s="1081"/>
      <c r="CG89" s="1083"/>
      <c r="CH89" s="1084"/>
      <c r="CI89" s="862"/>
      <c r="CJ89" s="862"/>
      <c r="CK89" s="862"/>
      <c r="CL89" s="862"/>
      <c r="CM89" s="862"/>
      <c r="CN89" s="862"/>
      <c r="CO89" s="862"/>
      <c r="CP89" s="862"/>
      <c r="CQ89" s="1081">
        <f t="shared" si="240"/>
        <v>0</v>
      </c>
      <c r="CR89" s="862"/>
      <c r="CS89" s="862"/>
      <c r="CT89" s="862"/>
      <c r="CU89" s="73">
        <f t="shared" si="261"/>
        <v>0</v>
      </c>
      <c r="CV89" s="862"/>
      <c r="CW89" s="862"/>
      <c r="CX89" s="862"/>
      <c r="CY89" s="862"/>
      <c r="CZ89" s="862"/>
      <c r="DA89" s="862"/>
      <c r="DB89" s="862"/>
      <c r="DC89" s="862"/>
      <c r="DD89" s="1081"/>
      <c r="DE89" s="862"/>
      <c r="DF89" s="862"/>
      <c r="DG89" s="862"/>
      <c r="DH89" s="73">
        <f t="shared" si="242"/>
        <v>0</v>
      </c>
    </row>
    <row r="90" spans="1:118" s="37" customFormat="1" ht="24.75" customHeight="1" x14ac:dyDescent="0.2">
      <c r="A90" s="28"/>
      <c r="B90" s="722" t="s">
        <v>124</v>
      </c>
      <c r="C90" s="29" t="s">
        <v>128</v>
      </c>
      <c r="D90" s="799">
        <v>6</v>
      </c>
      <c r="E90" s="683"/>
      <c r="F90" s="30"/>
      <c r="G90" s="30"/>
      <c r="H90" s="30"/>
      <c r="I90" s="30"/>
      <c r="J90" s="30"/>
      <c r="K90" s="30">
        <v>2</v>
      </c>
      <c r="L90" s="30"/>
      <c r="M90" s="1200"/>
      <c r="N90" s="1200"/>
      <c r="O90" s="30"/>
      <c r="P90" s="1512">
        <v>2</v>
      </c>
      <c r="Q90" s="30"/>
      <c r="R90" s="30"/>
      <c r="S90" s="30"/>
      <c r="T90" s="30"/>
      <c r="U90" s="30"/>
      <c r="V90" s="31">
        <f t="shared" si="243"/>
        <v>4</v>
      </c>
      <c r="W90" s="802" t="s">
        <v>16</v>
      </c>
      <c r="X90" s="800">
        <v>35000</v>
      </c>
      <c r="Y90" s="691"/>
      <c r="Z90" s="685"/>
      <c r="AA90" s="685"/>
      <c r="AB90" s="685"/>
      <c r="AC90" s="685"/>
      <c r="AD90" s="685"/>
      <c r="AE90" s="685">
        <v>30000</v>
      </c>
      <c r="AF90" s="685"/>
      <c r="AG90" s="1220"/>
      <c r="AH90" s="1220"/>
      <c r="AI90" s="1164"/>
      <c r="AJ90" s="1514">
        <v>35000</v>
      </c>
      <c r="AK90" s="1164"/>
      <c r="AL90" s="1164"/>
      <c r="AM90" s="1164"/>
      <c r="AN90" s="1164"/>
      <c r="AO90" s="685"/>
      <c r="AP90" s="1304">
        <f t="shared" si="244"/>
        <v>140000</v>
      </c>
      <c r="AQ90" s="70">
        <f t="shared" si="245"/>
        <v>0</v>
      </c>
      <c r="AR90" s="70">
        <f t="shared" si="246"/>
        <v>0</v>
      </c>
      <c r="AS90" s="70">
        <f t="shared" si="247"/>
        <v>0</v>
      </c>
      <c r="AT90" s="70">
        <f t="shared" si="248"/>
        <v>0</v>
      </c>
      <c r="AU90" s="70">
        <f t="shared" si="249"/>
        <v>0</v>
      </c>
      <c r="AV90" s="70">
        <f t="shared" si="250"/>
        <v>0</v>
      </c>
      <c r="AW90" s="70">
        <f t="shared" si="251"/>
        <v>60000</v>
      </c>
      <c r="AX90" s="70">
        <f t="shared" si="252"/>
        <v>0</v>
      </c>
      <c r="AY90" s="1128">
        <f t="shared" si="253"/>
        <v>0</v>
      </c>
      <c r="AZ90" s="1128">
        <f t="shared" si="254"/>
        <v>0</v>
      </c>
      <c r="BA90" s="70">
        <f t="shared" si="262"/>
        <v>0</v>
      </c>
      <c r="BB90" s="1515">
        <f t="shared" si="256"/>
        <v>70000</v>
      </c>
      <c r="BC90" s="70"/>
      <c r="BD90" s="70"/>
      <c r="BE90" s="70"/>
      <c r="BF90" s="70"/>
      <c r="BG90" s="70"/>
      <c r="BH90" s="71">
        <f>SUM(AQ90:BG90)</f>
        <v>130000</v>
      </c>
      <c r="BI90" s="70">
        <f t="shared" si="257"/>
        <v>0</v>
      </c>
      <c r="BJ90" s="70">
        <f t="shared" si="257"/>
        <v>0</v>
      </c>
      <c r="BK90" s="70">
        <f t="shared" si="257"/>
        <v>0</v>
      </c>
      <c r="BL90" s="70">
        <f t="shared" si="257"/>
        <v>0</v>
      </c>
      <c r="BM90" s="70">
        <f t="shared" si="257"/>
        <v>0</v>
      </c>
      <c r="BN90" s="70">
        <f t="shared" si="257"/>
        <v>0</v>
      </c>
      <c r="BO90" s="70">
        <f>SUM(AW90*4%)</f>
        <v>2400</v>
      </c>
      <c r="BP90" s="70">
        <f t="shared" si="258"/>
        <v>0</v>
      </c>
      <c r="BQ90" s="1128">
        <f t="shared" si="258"/>
        <v>0</v>
      </c>
      <c r="BR90" s="1128">
        <f t="shared" si="259"/>
        <v>0</v>
      </c>
      <c r="BS90" s="1128">
        <f t="shared" si="260"/>
        <v>0</v>
      </c>
      <c r="BT90" s="1128">
        <f>SUM(BB90*2%)</f>
        <v>1400</v>
      </c>
      <c r="BU90" s="1130"/>
      <c r="BV90" s="1130"/>
      <c r="BW90" s="1130"/>
      <c r="BX90" s="1130"/>
      <c r="BY90" s="1130"/>
      <c r="BZ90" s="72">
        <f>SUM(BI90:BY90)</f>
        <v>3800</v>
      </c>
      <c r="CA90" s="686">
        <f t="shared" si="263"/>
        <v>10000</v>
      </c>
      <c r="CB90" s="687">
        <f>X90*D90</f>
        <v>210000</v>
      </c>
      <c r="CC90" s="688">
        <f>CB90-BH90-BO90</f>
        <v>77600</v>
      </c>
      <c r="CD90" s="630">
        <f>SUM(V90/D90)</f>
        <v>0.66666666666666663</v>
      </c>
      <c r="CE90" s="1081"/>
      <c r="CF90" s="1081"/>
      <c r="CG90" s="1083"/>
      <c r="CH90" s="1084"/>
      <c r="CI90" s="862"/>
      <c r="CJ90" s="862"/>
      <c r="CK90" s="862"/>
      <c r="CL90" s="862"/>
      <c r="CM90" s="862"/>
      <c r="CN90" s="862"/>
      <c r="CO90" s="862"/>
      <c r="CP90" s="862"/>
      <c r="CQ90" s="1081">
        <f t="shared" si="240"/>
        <v>0</v>
      </c>
      <c r="CR90" s="862"/>
      <c r="CS90" s="862"/>
      <c r="CT90" s="862"/>
      <c r="CU90" s="73">
        <f t="shared" ref="CU90" si="265">SUM(CI90:CT90)</f>
        <v>0</v>
      </c>
      <c r="CV90" s="862"/>
      <c r="CW90" s="862"/>
      <c r="CX90" s="862"/>
      <c r="CY90" s="862"/>
      <c r="CZ90" s="862"/>
      <c r="DA90" s="862"/>
      <c r="DB90" s="862"/>
      <c r="DC90" s="862"/>
      <c r="DD90" s="1081"/>
      <c r="DE90" s="862"/>
      <c r="DF90" s="862"/>
      <c r="DG90" s="862"/>
      <c r="DH90" s="73">
        <f t="shared" ref="DH90" si="266">SUM(CV90:DG90)</f>
        <v>0</v>
      </c>
    </row>
    <row r="91" spans="1:118" s="37" customFormat="1" ht="24.75" customHeight="1" x14ac:dyDescent="0.2">
      <c r="A91" s="28"/>
      <c r="B91" s="797" t="s">
        <v>571</v>
      </c>
      <c r="C91" s="29"/>
      <c r="D91" s="725"/>
      <c r="E91" s="683"/>
      <c r="F91" s="30"/>
      <c r="G91" s="30"/>
      <c r="H91" s="30"/>
      <c r="I91" s="30"/>
      <c r="J91" s="30"/>
      <c r="K91" s="30"/>
      <c r="L91" s="30"/>
      <c r="M91" s="1200"/>
      <c r="N91" s="1200"/>
      <c r="O91" s="30"/>
      <c r="P91" s="1512"/>
      <c r="Q91" s="30"/>
      <c r="R91" s="30"/>
      <c r="S91" s="30"/>
      <c r="T91" s="30"/>
      <c r="U91" s="30"/>
      <c r="V91" s="31"/>
      <c r="W91" s="801"/>
      <c r="X91" s="675"/>
      <c r="Y91" s="691"/>
      <c r="Z91" s="685"/>
      <c r="AA91" s="685"/>
      <c r="AB91" s="685"/>
      <c r="AC91" s="685"/>
      <c r="AD91" s="685"/>
      <c r="AE91" s="685"/>
      <c r="AF91" s="685"/>
      <c r="AG91" s="1220"/>
      <c r="AH91" s="1220"/>
      <c r="AI91" s="1164"/>
      <c r="AJ91" s="1514"/>
      <c r="AK91" s="1164"/>
      <c r="AL91" s="1164"/>
      <c r="AM91" s="1164"/>
      <c r="AN91" s="1164"/>
      <c r="AO91" s="685"/>
      <c r="AP91" s="1304"/>
      <c r="AQ91" s="70"/>
      <c r="AR91" s="70"/>
      <c r="AS91" s="70"/>
      <c r="AT91" s="70"/>
      <c r="AU91" s="70"/>
      <c r="AV91" s="70"/>
      <c r="AW91" s="70"/>
      <c r="AX91" s="70"/>
      <c r="AY91" s="1128"/>
      <c r="AZ91" s="1128"/>
      <c r="BA91" s="70"/>
      <c r="BB91" s="1515">
        <f t="shared" si="256"/>
        <v>0</v>
      </c>
      <c r="BC91" s="70"/>
      <c r="BD91" s="70"/>
      <c r="BE91" s="70"/>
      <c r="BF91" s="70"/>
      <c r="BG91" s="70"/>
      <c r="BH91" s="71"/>
      <c r="BI91" s="70"/>
      <c r="BJ91" s="70"/>
      <c r="BK91" s="70"/>
      <c r="BL91" s="70"/>
      <c r="BM91" s="70"/>
      <c r="BN91" s="70"/>
      <c r="BO91" s="70"/>
      <c r="BP91" s="70"/>
      <c r="BQ91" s="1128"/>
      <c r="BR91" s="70"/>
      <c r="BS91" s="70"/>
      <c r="BT91" s="1130"/>
      <c r="BU91" s="1130"/>
      <c r="BV91" s="1130"/>
      <c r="BW91" s="1130"/>
      <c r="BX91" s="1130"/>
      <c r="BY91" s="1130"/>
      <c r="BZ91" s="72"/>
      <c r="CA91" s="686"/>
      <c r="CB91" s="687"/>
      <c r="CC91" s="688"/>
      <c r="CD91" s="630"/>
      <c r="CE91" s="1081"/>
      <c r="CF91" s="1081"/>
      <c r="CG91" s="1083"/>
      <c r="CH91" s="1084"/>
      <c r="CI91" s="862"/>
      <c r="CJ91" s="862"/>
      <c r="CK91" s="862"/>
      <c r="CL91" s="862"/>
      <c r="CM91" s="862"/>
      <c r="CN91" s="862"/>
      <c r="CO91" s="862"/>
      <c r="CP91" s="862"/>
      <c r="CQ91" s="1081">
        <f t="shared" si="240"/>
        <v>0</v>
      </c>
      <c r="CR91" s="862"/>
      <c r="CS91" s="862"/>
      <c r="CT91" s="862"/>
      <c r="CU91" s="73">
        <f t="shared" ref="CU91:CU93" si="267">SUM(CI91:CT91)</f>
        <v>0</v>
      </c>
      <c r="CV91" s="862"/>
      <c r="CW91" s="862"/>
      <c r="CX91" s="862"/>
      <c r="CY91" s="862"/>
      <c r="CZ91" s="862"/>
      <c r="DA91" s="862"/>
      <c r="DB91" s="862"/>
      <c r="DC91" s="862"/>
      <c r="DD91" s="1081"/>
      <c r="DE91" s="862"/>
      <c r="DF91" s="862"/>
      <c r="DG91" s="862"/>
      <c r="DH91" s="73">
        <f t="shared" ref="DH91:DH93" si="268">SUM(CV91:DG91)</f>
        <v>0</v>
      </c>
    </row>
    <row r="92" spans="1:118" s="37" customFormat="1" ht="24.75" customHeight="1" thickBot="1" x14ac:dyDescent="0.25">
      <c r="A92" s="28"/>
      <c r="B92" s="722" t="s">
        <v>572</v>
      </c>
      <c r="C92" s="29" t="s">
        <v>128</v>
      </c>
      <c r="D92" s="1058">
        <f>14*12</f>
        <v>168</v>
      </c>
      <c r="E92" s="683">
        <v>14</v>
      </c>
      <c r="F92" s="683">
        <v>14</v>
      </c>
      <c r="G92" s="683">
        <v>14</v>
      </c>
      <c r="H92" s="30">
        <v>14</v>
      </c>
      <c r="I92" s="30">
        <v>14</v>
      </c>
      <c r="J92" s="30">
        <v>14</v>
      </c>
      <c r="K92" s="30">
        <v>14</v>
      </c>
      <c r="L92" s="30">
        <v>14</v>
      </c>
      <c r="M92" s="1200">
        <v>14</v>
      </c>
      <c r="N92" s="1200">
        <v>14</v>
      </c>
      <c r="O92" s="1127">
        <v>14</v>
      </c>
      <c r="P92" s="1513">
        <v>14</v>
      </c>
      <c r="Q92" s="1127"/>
      <c r="R92" s="1127"/>
      <c r="S92" s="1127"/>
      <c r="T92" s="1127"/>
      <c r="U92" s="30"/>
      <c r="V92" s="31">
        <f t="shared" ref="V92" si="269">SUM(E92:U92)</f>
        <v>168</v>
      </c>
      <c r="W92" s="1055" t="s">
        <v>573</v>
      </c>
      <c r="X92" s="158">
        <v>100000</v>
      </c>
      <c r="Y92" s="158">
        <v>100000</v>
      </c>
      <c r="Z92" s="158">
        <v>100000</v>
      </c>
      <c r="AA92" s="158">
        <v>100000</v>
      </c>
      <c r="AB92" s="158">
        <v>100000</v>
      </c>
      <c r="AC92" s="158">
        <v>100000</v>
      </c>
      <c r="AD92" s="158">
        <v>100000</v>
      </c>
      <c r="AE92" s="158">
        <v>100000</v>
      </c>
      <c r="AF92" s="884">
        <v>100000</v>
      </c>
      <c r="AG92" s="1220">
        <v>100000</v>
      </c>
      <c r="AH92" s="1220">
        <v>100000</v>
      </c>
      <c r="AI92" s="1122">
        <v>100000</v>
      </c>
      <c r="AJ92" s="1514">
        <v>100000</v>
      </c>
      <c r="AK92" s="1122"/>
      <c r="AL92" s="1122"/>
      <c r="AM92" s="1122"/>
      <c r="AN92" s="1122"/>
      <c r="AO92" s="884"/>
      <c r="AP92" s="1304">
        <f t="shared" ref="AP92" si="270">SUM(V92*X92)</f>
        <v>16800000</v>
      </c>
      <c r="AQ92" s="862">
        <f t="shared" ref="AQ92" si="271">Y92*E92</f>
        <v>1400000</v>
      </c>
      <c r="AR92" s="862">
        <f t="shared" ref="AR92" si="272">Z92*F92</f>
        <v>1400000</v>
      </c>
      <c r="AS92" s="862">
        <f t="shared" ref="AS92" si="273">AA92*G92</f>
        <v>1400000</v>
      </c>
      <c r="AT92" s="862">
        <f t="shared" ref="AT92" si="274">AB92*H92</f>
        <v>1400000</v>
      </c>
      <c r="AU92" s="862">
        <f t="shared" ref="AU92" si="275">AC92*I92</f>
        <v>1400000</v>
      </c>
      <c r="AV92" s="862">
        <f t="shared" ref="AV92" si="276">AD92*J92</f>
        <v>1400000</v>
      </c>
      <c r="AW92" s="862">
        <f t="shared" ref="AW92" si="277">AE92*K92</f>
        <v>1400000</v>
      </c>
      <c r="AX92" s="862">
        <f t="shared" ref="AX92" si="278">AF92*L92</f>
        <v>1400000</v>
      </c>
      <c r="AY92" s="1128">
        <f t="shared" ref="AY92" si="279">AG92*M92</f>
        <v>1400000</v>
      </c>
      <c r="AZ92" s="1128">
        <f t="shared" ref="AZ92" si="280">AH92*N92</f>
        <v>1400000</v>
      </c>
      <c r="BA92" s="1128">
        <f t="shared" ref="BA92" si="281">AI92*O92</f>
        <v>1400000</v>
      </c>
      <c r="BB92" s="1515">
        <f t="shared" si="256"/>
        <v>1400000</v>
      </c>
      <c r="BC92" s="1128"/>
      <c r="BD92" s="1128"/>
      <c r="BE92" s="1128"/>
      <c r="BF92" s="1128"/>
      <c r="BG92" s="1128"/>
      <c r="BH92" s="863">
        <f>SUM(AQ92:BG92)</f>
        <v>16800000</v>
      </c>
      <c r="BI92" s="862"/>
      <c r="BJ92" s="862"/>
      <c r="BK92" s="862"/>
      <c r="BL92" s="862"/>
      <c r="BM92" s="862"/>
      <c r="BN92" s="862"/>
      <c r="BO92" s="862"/>
      <c r="BP92" s="862"/>
      <c r="BQ92" s="1128"/>
      <c r="BR92" s="862"/>
      <c r="BS92" s="862"/>
      <c r="BT92" s="1123"/>
      <c r="BU92" s="1123"/>
      <c r="BV92" s="1123"/>
      <c r="BW92" s="1123"/>
      <c r="BX92" s="1123"/>
      <c r="BY92" s="1123"/>
      <c r="BZ92" s="73">
        <f>SUM(BI92:BY92)</f>
        <v>0</v>
      </c>
      <c r="CA92" s="686">
        <f>AP92-BH92-BZ92</f>
        <v>0</v>
      </c>
      <c r="CB92" s="687">
        <f>X92*D92</f>
        <v>16800000</v>
      </c>
      <c r="CC92" s="688">
        <f>CB92-BH92-BZ92</f>
        <v>0</v>
      </c>
      <c r="CD92" s="630">
        <f>SUM(V92/D92)</f>
        <v>1</v>
      </c>
      <c r="CE92" s="1081">
        <f>AY92-BQ92</f>
        <v>1400000</v>
      </c>
      <c r="CF92" s="1081">
        <f>100000*14</f>
        <v>1400000</v>
      </c>
      <c r="CG92" s="1083">
        <f t="shared" ref="CG92:CG93" si="282">SUM(CE92-CF92)</f>
        <v>0</v>
      </c>
      <c r="CH92" s="1084"/>
      <c r="CI92" s="862"/>
      <c r="CJ92" s="862"/>
      <c r="CK92" s="862"/>
      <c r="CL92" s="862"/>
      <c r="CM92" s="862"/>
      <c r="CN92" s="862"/>
      <c r="CO92" s="862"/>
      <c r="CP92" s="862"/>
      <c r="CQ92" s="1081">
        <f t="shared" si="240"/>
        <v>175000</v>
      </c>
      <c r="CR92" s="862"/>
      <c r="CS92" s="862"/>
      <c r="CT92" s="862"/>
      <c r="CU92" s="73">
        <f t="shared" si="267"/>
        <v>175000</v>
      </c>
      <c r="CV92" s="862"/>
      <c r="CW92" s="862"/>
      <c r="CX92" s="862"/>
      <c r="CY92" s="862"/>
      <c r="CZ92" s="862"/>
      <c r="DA92" s="862"/>
      <c r="DB92" s="862"/>
      <c r="DC92" s="862"/>
      <c r="DD92" s="1081"/>
      <c r="DE92" s="862"/>
      <c r="DF92" s="862"/>
      <c r="DG92" s="862"/>
      <c r="DH92" s="73">
        <f t="shared" si="268"/>
        <v>0</v>
      </c>
    </row>
    <row r="93" spans="1:118" s="38" customFormat="1" ht="24.75" customHeight="1" thickBot="1" x14ac:dyDescent="0.25">
      <c r="A93" s="577">
        <v>4</v>
      </c>
      <c r="B93" s="44" t="s">
        <v>4</v>
      </c>
      <c r="C93" s="44"/>
      <c r="D93" s="222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7"/>
      <c r="W93" s="77"/>
      <c r="X93" s="101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3">
        <f t="shared" ref="AP93:BZ93" si="283">SUM(AP87:AP92)</f>
        <v>20044000</v>
      </c>
      <c r="AQ93" s="103">
        <f t="shared" si="283"/>
        <v>1400000</v>
      </c>
      <c r="AR93" s="103">
        <f t="shared" si="283"/>
        <v>1400000</v>
      </c>
      <c r="AS93" s="103">
        <f t="shared" si="283"/>
        <v>1400000</v>
      </c>
      <c r="AT93" s="103">
        <f t="shared" si="283"/>
        <v>1400000</v>
      </c>
      <c r="AU93" s="103">
        <f t="shared" si="283"/>
        <v>1400000</v>
      </c>
      <c r="AV93" s="103">
        <f t="shared" si="283"/>
        <v>1400000</v>
      </c>
      <c r="AW93" s="103">
        <f t="shared" si="283"/>
        <v>2820000</v>
      </c>
      <c r="AX93" s="103">
        <f t="shared" si="283"/>
        <v>1400000</v>
      </c>
      <c r="AY93" s="1221">
        <f t="shared" si="283"/>
        <v>1400000</v>
      </c>
      <c r="AZ93" s="103">
        <f t="shared" si="283"/>
        <v>1400000</v>
      </c>
      <c r="BA93" s="1221">
        <f t="shared" si="283"/>
        <v>1400000</v>
      </c>
      <c r="BB93" s="1221">
        <f t="shared" si="283"/>
        <v>3002000</v>
      </c>
      <c r="BC93" s="1221"/>
      <c r="BD93" s="1221"/>
      <c r="BE93" s="1221"/>
      <c r="BF93" s="1221"/>
      <c r="BG93" s="1221"/>
      <c r="BH93" s="103">
        <f t="shared" si="283"/>
        <v>19822000</v>
      </c>
      <c r="BI93" s="103">
        <f t="shared" si="283"/>
        <v>0</v>
      </c>
      <c r="BJ93" s="103">
        <f t="shared" si="283"/>
        <v>0</v>
      </c>
      <c r="BK93" s="103">
        <f t="shared" si="283"/>
        <v>0</v>
      </c>
      <c r="BL93" s="103">
        <f t="shared" si="283"/>
        <v>0</v>
      </c>
      <c r="BM93" s="103">
        <f t="shared" si="283"/>
        <v>0</v>
      </c>
      <c r="BN93" s="103">
        <f t="shared" si="283"/>
        <v>0</v>
      </c>
      <c r="BO93" s="103">
        <f t="shared" si="283"/>
        <v>56800</v>
      </c>
      <c r="BP93" s="103">
        <f t="shared" si="283"/>
        <v>0</v>
      </c>
      <c r="BQ93" s="103">
        <f t="shared" si="283"/>
        <v>0</v>
      </c>
      <c r="BR93" s="103">
        <f t="shared" si="283"/>
        <v>0</v>
      </c>
      <c r="BS93" s="103">
        <f t="shared" si="283"/>
        <v>0</v>
      </c>
      <c r="BT93" s="103">
        <f>SUM(BT88:BT92)</f>
        <v>185240</v>
      </c>
      <c r="BU93" s="103"/>
      <c r="BV93" s="103"/>
      <c r="BW93" s="103"/>
      <c r="BX93" s="103"/>
      <c r="BY93" s="103"/>
      <c r="BZ93" s="103">
        <f t="shared" si="283"/>
        <v>242040</v>
      </c>
      <c r="CA93" s="104">
        <f>AP93-BH93</f>
        <v>222000</v>
      </c>
      <c r="CB93" s="103">
        <f>SUM(CB87:CB92)</f>
        <v>23218000</v>
      </c>
      <c r="CC93" s="103">
        <f>SUM(CC87:CC92)</f>
        <v>3339200</v>
      </c>
      <c r="CD93" s="164">
        <v>1</v>
      </c>
      <c r="CE93" s="1083">
        <f>SUM(CE87:CE92)</f>
        <v>1400000</v>
      </c>
      <c r="CF93" s="1083">
        <f>SUM(CF87:CF92)</f>
        <v>1400000</v>
      </c>
      <c r="CG93" s="1083">
        <f t="shared" si="282"/>
        <v>0</v>
      </c>
      <c r="CH93" s="1084"/>
      <c r="CI93" s="862"/>
      <c r="CJ93" s="862"/>
      <c r="CK93" s="862"/>
      <c r="CL93" s="862"/>
      <c r="CM93" s="862"/>
      <c r="CN93" s="862"/>
      <c r="CO93" s="862"/>
      <c r="CP93" s="862"/>
      <c r="CQ93" s="1081">
        <f t="shared" si="240"/>
        <v>175000</v>
      </c>
      <c r="CR93" s="862"/>
      <c r="CS93" s="862"/>
      <c r="CT93" s="862"/>
      <c r="CU93" s="73">
        <f t="shared" si="267"/>
        <v>175000</v>
      </c>
      <c r="CV93" s="862"/>
      <c r="CW93" s="862"/>
      <c r="CX93" s="862"/>
      <c r="CY93" s="862"/>
      <c r="CZ93" s="862"/>
      <c r="DA93" s="862"/>
      <c r="DB93" s="862"/>
      <c r="DC93" s="862"/>
      <c r="DD93" s="1081"/>
      <c r="DE93" s="862"/>
      <c r="DF93" s="862"/>
      <c r="DG93" s="862"/>
      <c r="DH93" s="73">
        <f t="shared" si="268"/>
        <v>0</v>
      </c>
    </row>
    <row r="94" spans="1:118" s="20" customFormat="1" ht="24.75" customHeight="1" x14ac:dyDescent="0.2">
      <c r="A94" s="50"/>
      <c r="D94" s="223"/>
      <c r="E94" s="50"/>
      <c r="F94" s="50"/>
      <c r="G94" s="50"/>
      <c r="H94" s="50"/>
      <c r="I94" s="50"/>
      <c r="J94" s="50"/>
      <c r="K94" s="50"/>
      <c r="L94" s="50"/>
      <c r="M94" s="50"/>
      <c r="N94" s="165"/>
      <c r="O94" s="50"/>
      <c r="P94" s="50"/>
      <c r="Q94" s="50"/>
      <c r="R94" s="50"/>
      <c r="S94" s="50"/>
      <c r="T94" s="50"/>
      <c r="U94" s="50"/>
      <c r="V94" s="50"/>
      <c r="W94" s="50"/>
      <c r="AI94" s="40"/>
      <c r="AJ94" s="40"/>
      <c r="AK94" s="40"/>
      <c r="AL94" s="40"/>
      <c r="AM94" s="40"/>
      <c r="AN94" s="40"/>
      <c r="AO94" s="40"/>
      <c r="BH94" s="51"/>
      <c r="BS94" s="40"/>
      <c r="BT94" s="40"/>
      <c r="BU94" s="40"/>
      <c r="BV94" s="40"/>
      <c r="BW94" s="40"/>
      <c r="BX94" s="40"/>
      <c r="BY94" s="40"/>
      <c r="BZ94" s="52">
        <f>SUM(BH93+BZ93)</f>
        <v>20064040</v>
      </c>
      <c r="CA94" s="53">
        <f>AP93-BH93</f>
        <v>222000</v>
      </c>
      <c r="CB94" s="54">
        <f>SUM(CC93+BH93)</f>
        <v>23161200</v>
      </c>
      <c r="CC94" s="55">
        <f>SUM(CA93)</f>
        <v>222000</v>
      </c>
      <c r="CD94" s="40" t="s">
        <v>38</v>
      </c>
      <c r="CE94" s="171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</row>
    <row r="95" spans="1:118" s="20" customFormat="1" ht="24.75" customHeight="1" x14ac:dyDescent="0.2">
      <c r="A95" s="50"/>
      <c r="D95" s="223"/>
      <c r="E95" s="50"/>
      <c r="F95" s="50"/>
      <c r="G95" s="50"/>
      <c r="H95" s="50"/>
      <c r="I95" s="50"/>
      <c r="J95" s="50"/>
      <c r="K95" s="50"/>
      <c r="L95" s="50"/>
      <c r="M95" s="50"/>
      <c r="N95" s="165"/>
      <c r="O95" s="50"/>
      <c r="P95" s="50"/>
      <c r="Q95" s="50"/>
      <c r="R95" s="50"/>
      <c r="S95" s="50"/>
      <c r="T95" s="50"/>
      <c r="U95" s="50"/>
      <c r="V95" s="50"/>
      <c r="W95" s="50"/>
      <c r="AI95" s="40"/>
      <c r="AJ95" s="40"/>
      <c r="AK95" s="40"/>
      <c r="AL95" s="40"/>
      <c r="AM95" s="40"/>
      <c r="AN95" s="40"/>
      <c r="AO95" s="40"/>
      <c r="AW95" s="404">
        <f>AW88+AW89+AW90</f>
        <v>1420000</v>
      </c>
      <c r="BB95" s="404">
        <f>BB88+BB89+BB90</f>
        <v>1602000</v>
      </c>
      <c r="BH95" s="40"/>
      <c r="BI95" s="123">
        <f t="shared" ref="BI95:BS95" si="284">SUM(AQ93+BI93)</f>
        <v>1400000</v>
      </c>
      <c r="BJ95" s="123">
        <f t="shared" si="284"/>
        <v>1400000</v>
      </c>
      <c r="BK95" s="123">
        <f t="shared" si="284"/>
        <v>1400000</v>
      </c>
      <c r="BL95" s="123">
        <f t="shared" si="284"/>
        <v>1400000</v>
      </c>
      <c r="BM95" s="123">
        <f t="shared" si="284"/>
        <v>1400000</v>
      </c>
      <c r="BN95" s="123">
        <f t="shared" si="284"/>
        <v>1400000</v>
      </c>
      <c r="BO95" s="123">
        <f t="shared" si="284"/>
        <v>2876800</v>
      </c>
      <c r="BP95" s="1033">
        <f t="shared" si="284"/>
        <v>1400000</v>
      </c>
      <c r="BQ95" s="123">
        <f t="shared" si="284"/>
        <v>1400000</v>
      </c>
      <c r="BR95" s="123">
        <f t="shared" si="284"/>
        <v>1400000</v>
      </c>
      <c r="BS95" s="123">
        <f t="shared" si="284"/>
        <v>1400000</v>
      </c>
      <c r="BT95" s="123">
        <f>BB93</f>
        <v>3002000</v>
      </c>
      <c r="BU95" s="123"/>
      <c r="BV95" s="123"/>
      <c r="BW95" s="123"/>
      <c r="BX95" s="123"/>
      <c r="BY95" s="123"/>
      <c r="BZ95" s="123">
        <f>SUM(BI95:BY95)</f>
        <v>19878800</v>
      </c>
      <c r="CA95" s="40"/>
      <c r="CB95" s="56"/>
      <c r="CC95" s="57">
        <f>SUM(CC93-CC94)</f>
        <v>3117200</v>
      </c>
      <c r="CD95" s="40" t="s">
        <v>37</v>
      </c>
      <c r="CE95" s="171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</row>
    <row r="96" spans="1:118" s="20" customFormat="1" ht="24.75" customHeight="1" x14ac:dyDescent="0.2">
      <c r="A96" s="1730" t="s">
        <v>8</v>
      </c>
      <c r="B96" s="1731"/>
      <c r="C96" s="124" t="s">
        <v>137</v>
      </c>
      <c r="D96" s="136"/>
      <c r="E96" s="23"/>
      <c r="F96" s="23"/>
      <c r="G96" s="23"/>
      <c r="H96" s="23"/>
      <c r="I96" s="23"/>
      <c r="J96" s="23"/>
      <c r="K96" s="23"/>
      <c r="L96" s="23"/>
      <c r="M96" s="23"/>
      <c r="N96" s="1090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7"/>
      <c r="AJ96" s="137"/>
      <c r="AK96" s="137"/>
      <c r="AL96" s="137"/>
      <c r="AM96" s="137"/>
      <c r="AN96" s="137"/>
      <c r="AO96" s="137"/>
      <c r="AP96" s="23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8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7"/>
      <c r="BT96" s="1572">
        <f>SUM(BI95:BT95)</f>
        <v>19878800</v>
      </c>
      <c r="BU96" s="137"/>
      <c r="BV96" s="137"/>
      <c r="BW96" s="137"/>
      <c r="BX96" s="137"/>
      <c r="BY96" s="137"/>
      <c r="BZ96" s="138"/>
      <c r="CA96" s="138"/>
      <c r="CB96" s="135"/>
      <c r="CC96" s="139"/>
      <c r="CD96" s="23"/>
      <c r="CE96" s="169"/>
      <c r="CF96" s="136"/>
      <c r="CG96" s="136"/>
      <c r="CH96" s="136"/>
      <c r="CI96" s="136"/>
      <c r="CJ96" s="137"/>
      <c r="CK96" s="136"/>
      <c r="CL96" s="136"/>
      <c r="CM96" s="136"/>
      <c r="CN96" s="136"/>
      <c r="CO96" s="136"/>
      <c r="CP96" s="138"/>
      <c r="CQ96" s="138"/>
      <c r="CR96" s="138"/>
      <c r="CS96" s="135"/>
      <c r="CT96" s="139"/>
      <c r="CU96" s="138"/>
      <c r="CV96" s="138"/>
      <c r="CW96" s="24"/>
      <c r="CX96" s="24"/>
      <c r="CY96" s="24"/>
      <c r="CZ96" s="24"/>
      <c r="DA96" s="24"/>
      <c r="DB96" s="140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</row>
    <row r="97" spans="1:118" s="8" customFormat="1" ht="48.75" customHeight="1" x14ac:dyDescent="0.2">
      <c r="A97" s="1703" t="s">
        <v>10</v>
      </c>
      <c r="B97" s="1706" t="s">
        <v>11</v>
      </c>
      <c r="C97" s="1706" t="s">
        <v>22</v>
      </c>
      <c r="D97" s="1721" t="s">
        <v>12</v>
      </c>
      <c r="E97" s="1721"/>
      <c r="F97" s="1721"/>
      <c r="G97" s="1721"/>
      <c r="H97" s="1721"/>
      <c r="I97" s="1721"/>
      <c r="J97" s="1721"/>
      <c r="K97" s="1721"/>
      <c r="L97" s="1721"/>
      <c r="M97" s="1721"/>
      <c r="N97" s="1721"/>
      <c r="O97" s="1721"/>
      <c r="P97" s="1721"/>
      <c r="Q97" s="1721"/>
      <c r="R97" s="1721"/>
      <c r="S97" s="1721"/>
      <c r="T97" s="1721"/>
      <c r="U97" s="1721"/>
      <c r="V97" s="1721"/>
      <c r="W97" s="1706" t="s">
        <v>20</v>
      </c>
      <c r="X97" s="1717" t="s">
        <v>17</v>
      </c>
      <c r="Y97" s="1718"/>
      <c r="Z97" s="1718"/>
      <c r="AA97" s="1718"/>
      <c r="AB97" s="1718"/>
      <c r="AC97" s="1718"/>
      <c r="AD97" s="1718"/>
      <c r="AE97" s="1718"/>
      <c r="AF97" s="1718"/>
      <c r="AG97" s="1718"/>
      <c r="AH97" s="1718"/>
      <c r="AI97" s="1718"/>
      <c r="AJ97" s="1718"/>
      <c r="AK97" s="1718"/>
      <c r="AL97" s="1718"/>
      <c r="AM97" s="1718"/>
      <c r="AN97" s="1718"/>
      <c r="AO97" s="1719"/>
      <c r="AP97" s="1720" t="s">
        <v>6</v>
      </c>
      <c r="AQ97" s="1720"/>
      <c r="AR97" s="1720"/>
      <c r="AS97" s="1720"/>
      <c r="AT97" s="1720"/>
      <c r="AU97" s="1720"/>
      <c r="AV97" s="1720"/>
      <c r="AW97" s="1720"/>
      <c r="AX97" s="1720"/>
      <c r="AY97" s="1720"/>
      <c r="AZ97" s="1720"/>
      <c r="BA97" s="1720"/>
      <c r="BB97" s="1720"/>
      <c r="BC97" s="1720"/>
      <c r="BD97" s="1720"/>
      <c r="BE97" s="1720"/>
      <c r="BF97" s="1720"/>
      <c r="BG97" s="1720"/>
      <c r="BH97" s="1720"/>
      <c r="BI97" s="1722" t="s">
        <v>41</v>
      </c>
      <c r="BJ97" s="1723"/>
      <c r="BK97" s="1723"/>
      <c r="BL97" s="1723"/>
      <c r="BM97" s="1723"/>
      <c r="BN97" s="1723"/>
      <c r="BO97" s="1723"/>
      <c r="BP97" s="1723"/>
      <c r="BQ97" s="1723"/>
      <c r="BR97" s="1723"/>
      <c r="BS97" s="1723"/>
      <c r="BT97" s="1723"/>
      <c r="BU97" s="1723"/>
      <c r="BV97" s="1723"/>
      <c r="BW97" s="1723"/>
      <c r="BX97" s="1723"/>
      <c r="BY97" s="1723"/>
      <c r="BZ97" s="1724"/>
      <c r="CA97" s="1706" t="s">
        <v>38</v>
      </c>
      <c r="CB97" s="1706" t="s">
        <v>256</v>
      </c>
      <c r="CC97" s="1794" t="s">
        <v>39</v>
      </c>
      <c r="CD97" s="135"/>
      <c r="CE97" s="1284">
        <f>CB93-CC93-BZ95</f>
        <v>0</v>
      </c>
      <c r="CF97" s="135"/>
      <c r="CG97" s="135"/>
      <c r="CH97" s="135"/>
      <c r="CI97" s="1733" t="s">
        <v>41</v>
      </c>
      <c r="CJ97" s="1734"/>
      <c r="CK97" s="1734"/>
      <c r="CL97" s="1734"/>
      <c r="CM97" s="1734"/>
      <c r="CN97" s="1734"/>
      <c r="CO97" s="1734"/>
      <c r="CP97" s="1734"/>
      <c r="CQ97" s="1734"/>
      <c r="CR97" s="1734"/>
      <c r="CS97" s="1734"/>
      <c r="CT97" s="1734"/>
      <c r="CU97" s="1734"/>
      <c r="CV97" s="1734"/>
      <c r="CW97" s="1734"/>
      <c r="CX97" s="1734"/>
      <c r="CY97" s="1734"/>
      <c r="CZ97" s="1734"/>
      <c r="DA97" s="1734"/>
      <c r="DB97" s="1734"/>
      <c r="DC97" s="1734"/>
      <c r="DD97" s="1734"/>
      <c r="DE97" s="1734"/>
      <c r="DF97" s="1734"/>
      <c r="DG97" s="1734"/>
      <c r="DH97" s="1735"/>
    </row>
    <row r="98" spans="1:118" s="8" customFormat="1" ht="48.75" customHeight="1" x14ac:dyDescent="0.2">
      <c r="A98" s="1704"/>
      <c r="B98" s="1707"/>
      <c r="C98" s="1707"/>
      <c r="D98" s="1712" t="s">
        <v>18</v>
      </c>
      <c r="E98" s="1714" t="s">
        <v>19</v>
      </c>
      <c r="F98" s="1715"/>
      <c r="G98" s="1715"/>
      <c r="H98" s="1715"/>
      <c r="I98" s="1715"/>
      <c r="J98" s="1715"/>
      <c r="K98" s="1715"/>
      <c r="L98" s="1715"/>
      <c r="M98" s="1715"/>
      <c r="N98" s="1715"/>
      <c r="O98" s="1715"/>
      <c r="P98" s="1715"/>
      <c r="Q98" s="1715"/>
      <c r="R98" s="1715"/>
      <c r="S98" s="1715"/>
      <c r="T98" s="1715"/>
      <c r="U98" s="1715"/>
      <c r="V98" s="1715"/>
      <c r="W98" s="1707"/>
      <c r="X98" s="1712" t="s">
        <v>18</v>
      </c>
      <c r="Y98" s="1714" t="s">
        <v>19</v>
      </c>
      <c r="Z98" s="1715"/>
      <c r="AA98" s="1715"/>
      <c r="AB98" s="1715"/>
      <c r="AC98" s="1715"/>
      <c r="AD98" s="1715"/>
      <c r="AE98" s="1715"/>
      <c r="AF98" s="1715"/>
      <c r="AG98" s="1715"/>
      <c r="AH98" s="1715"/>
      <c r="AI98" s="1715"/>
      <c r="AJ98" s="1715"/>
      <c r="AK98" s="1715"/>
      <c r="AL98" s="1715"/>
      <c r="AM98" s="1715"/>
      <c r="AN98" s="1715"/>
      <c r="AO98" s="1716"/>
      <c r="AP98" s="1712" t="s">
        <v>18</v>
      </c>
      <c r="AQ98" s="1714" t="s">
        <v>19</v>
      </c>
      <c r="AR98" s="1715"/>
      <c r="AS98" s="1715"/>
      <c r="AT98" s="1715"/>
      <c r="AU98" s="1715"/>
      <c r="AV98" s="1715"/>
      <c r="AW98" s="1715"/>
      <c r="AX98" s="1715"/>
      <c r="AY98" s="1715"/>
      <c r="AZ98" s="1715"/>
      <c r="BA98" s="1715"/>
      <c r="BB98" s="1715"/>
      <c r="BC98" s="1715"/>
      <c r="BD98" s="1715"/>
      <c r="BE98" s="1715"/>
      <c r="BF98" s="1715"/>
      <c r="BG98" s="1715"/>
      <c r="BH98" s="1716"/>
      <c r="BI98" s="1725"/>
      <c r="BJ98" s="1726"/>
      <c r="BK98" s="1726"/>
      <c r="BL98" s="1726"/>
      <c r="BM98" s="1726"/>
      <c r="BN98" s="1726"/>
      <c r="BO98" s="1726"/>
      <c r="BP98" s="1726"/>
      <c r="BQ98" s="1726"/>
      <c r="BR98" s="1726"/>
      <c r="BS98" s="1726"/>
      <c r="BT98" s="1726"/>
      <c r="BU98" s="1726"/>
      <c r="BV98" s="1726"/>
      <c r="BW98" s="1726"/>
      <c r="BX98" s="1726"/>
      <c r="BY98" s="1726"/>
      <c r="BZ98" s="1727"/>
      <c r="CA98" s="1707"/>
      <c r="CB98" s="1707"/>
      <c r="CC98" s="1795"/>
      <c r="CD98" s="135"/>
      <c r="CE98" s="1736">
        <f>SUM(CE100/60)</f>
        <v>4532</v>
      </c>
      <c r="CF98" s="1736"/>
      <c r="CG98" s="1736"/>
      <c r="CH98" s="23"/>
      <c r="CI98" s="1737" t="s">
        <v>686</v>
      </c>
      <c r="CJ98" s="1738"/>
      <c r="CK98" s="1738"/>
      <c r="CL98" s="1738"/>
      <c r="CM98" s="1738"/>
      <c r="CN98" s="1738"/>
      <c r="CO98" s="1738"/>
      <c r="CP98" s="1738"/>
      <c r="CQ98" s="1738"/>
      <c r="CR98" s="1738"/>
      <c r="CS98" s="1738"/>
      <c r="CT98" s="1738"/>
      <c r="CU98" s="1739"/>
      <c r="CV98" s="1740" t="s">
        <v>687</v>
      </c>
      <c r="CW98" s="1741"/>
      <c r="CX98" s="1741"/>
      <c r="CY98" s="1741"/>
      <c r="CZ98" s="1741"/>
      <c r="DA98" s="1741"/>
      <c r="DB98" s="1741"/>
      <c r="DC98" s="1741"/>
      <c r="DD98" s="1741"/>
      <c r="DE98" s="1741"/>
      <c r="DF98" s="1741"/>
      <c r="DG98" s="1741"/>
      <c r="DH98" s="1742"/>
    </row>
    <row r="99" spans="1:118" s="6" customFormat="1" ht="28.5" customHeight="1" x14ac:dyDescent="0.2">
      <c r="A99" s="1704"/>
      <c r="B99" s="1707"/>
      <c r="C99" s="1707"/>
      <c r="D99" s="1784"/>
      <c r="E99" s="26">
        <v>1</v>
      </c>
      <c r="F99" s="26">
        <v>2</v>
      </c>
      <c r="G99" s="26">
        <v>3</v>
      </c>
      <c r="H99" s="26">
        <v>4</v>
      </c>
      <c r="I99" s="26">
        <v>5</v>
      </c>
      <c r="J99" s="26">
        <v>6</v>
      </c>
      <c r="K99" s="26">
        <v>7</v>
      </c>
      <c r="L99" s="26">
        <v>8</v>
      </c>
      <c r="M99" s="26">
        <v>9</v>
      </c>
      <c r="N99" s="26">
        <v>10</v>
      </c>
      <c r="O99" s="26">
        <v>11</v>
      </c>
      <c r="P99" s="26">
        <v>12</v>
      </c>
      <c r="Q99" s="26">
        <v>13</v>
      </c>
      <c r="R99" s="26">
        <v>14</v>
      </c>
      <c r="S99" s="26">
        <v>15</v>
      </c>
      <c r="T99" s="26">
        <v>16</v>
      </c>
      <c r="U99" s="26">
        <v>17</v>
      </c>
      <c r="V99" s="26" t="s">
        <v>21</v>
      </c>
      <c r="W99" s="1707"/>
      <c r="X99" s="1784"/>
      <c r="Y99" s="26">
        <v>1</v>
      </c>
      <c r="Z99" s="26">
        <v>2</v>
      </c>
      <c r="AA99" s="26">
        <v>3</v>
      </c>
      <c r="AB99" s="26">
        <v>4</v>
      </c>
      <c r="AC99" s="26">
        <v>5</v>
      </c>
      <c r="AD99" s="26">
        <v>6</v>
      </c>
      <c r="AE99" s="26">
        <v>7</v>
      </c>
      <c r="AF99" s="26">
        <v>8</v>
      </c>
      <c r="AG99" s="26">
        <v>9</v>
      </c>
      <c r="AH99" s="26">
        <v>10</v>
      </c>
      <c r="AI99" s="26">
        <v>11</v>
      </c>
      <c r="AJ99" s="26">
        <v>12</v>
      </c>
      <c r="AK99" s="26">
        <v>13</v>
      </c>
      <c r="AL99" s="26">
        <v>14</v>
      </c>
      <c r="AM99" s="26">
        <v>15</v>
      </c>
      <c r="AN99" s="26">
        <v>16</v>
      </c>
      <c r="AO99" s="26">
        <v>17</v>
      </c>
      <c r="AP99" s="1784"/>
      <c r="AQ99" s="26">
        <v>1</v>
      </c>
      <c r="AR99" s="26">
        <v>2</v>
      </c>
      <c r="AS99" s="26">
        <v>3</v>
      </c>
      <c r="AT99" s="26">
        <v>4</v>
      </c>
      <c r="AU99" s="26">
        <v>5</v>
      </c>
      <c r="AV99" s="26">
        <v>6</v>
      </c>
      <c r="AW99" s="26">
        <v>7</v>
      </c>
      <c r="AX99" s="26">
        <v>8</v>
      </c>
      <c r="AY99" s="26">
        <v>9</v>
      </c>
      <c r="AZ99" s="26">
        <v>10</v>
      </c>
      <c r="BA99" s="26">
        <v>11</v>
      </c>
      <c r="BB99" s="26">
        <v>12</v>
      </c>
      <c r="BC99" s="26">
        <v>13</v>
      </c>
      <c r="BD99" s="26">
        <v>14</v>
      </c>
      <c r="BE99" s="26">
        <v>15</v>
      </c>
      <c r="BF99" s="26">
        <v>16</v>
      </c>
      <c r="BG99" s="26">
        <v>17</v>
      </c>
      <c r="BH99" s="26" t="s">
        <v>13</v>
      </c>
      <c r="BI99" s="173">
        <v>1</v>
      </c>
      <c r="BJ99" s="173">
        <v>2</v>
      </c>
      <c r="BK99" s="173">
        <v>3</v>
      </c>
      <c r="BL99" s="173">
        <v>4</v>
      </c>
      <c r="BM99" s="173">
        <v>5</v>
      </c>
      <c r="BN99" s="173">
        <v>6</v>
      </c>
      <c r="BO99" s="173">
        <v>7</v>
      </c>
      <c r="BP99" s="173">
        <v>8</v>
      </c>
      <c r="BQ99" s="173">
        <v>9</v>
      </c>
      <c r="BR99" s="173">
        <v>10</v>
      </c>
      <c r="BS99" s="173">
        <v>11</v>
      </c>
      <c r="BT99" s="173">
        <v>12</v>
      </c>
      <c r="BU99" s="173">
        <v>13</v>
      </c>
      <c r="BV99" s="173">
        <v>14</v>
      </c>
      <c r="BW99" s="173">
        <v>15</v>
      </c>
      <c r="BX99" s="173">
        <v>16</v>
      </c>
      <c r="BY99" s="173">
        <v>17</v>
      </c>
      <c r="BZ99" s="26" t="s">
        <v>13</v>
      </c>
      <c r="CA99" s="1707"/>
      <c r="CB99" s="1707"/>
      <c r="CC99" s="1795"/>
      <c r="CD99" s="7"/>
      <c r="CE99" s="1743" t="s">
        <v>19</v>
      </c>
      <c r="CF99" s="1744"/>
      <c r="CG99" s="1745"/>
      <c r="CH99" s="621"/>
      <c r="CI99" s="173">
        <v>1</v>
      </c>
      <c r="CJ99" s="173">
        <v>2</v>
      </c>
      <c r="CK99" s="173">
        <v>3</v>
      </c>
      <c r="CL99" s="173">
        <v>4</v>
      </c>
      <c r="CM99" s="173">
        <v>5</v>
      </c>
      <c r="CN99" s="173">
        <v>6</v>
      </c>
      <c r="CO99" s="173">
        <v>7</v>
      </c>
      <c r="CP99" s="173">
        <v>8</v>
      </c>
      <c r="CQ99" s="173">
        <v>9</v>
      </c>
      <c r="CR99" s="173">
        <v>10</v>
      </c>
      <c r="CS99" s="173">
        <v>11</v>
      </c>
      <c r="CT99" s="173">
        <v>12</v>
      </c>
      <c r="CU99" s="26" t="s">
        <v>13</v>
      </c>
      <c r="CV99" s="173">
        <v>1</v>
      </c>
      <c r="CW99" s="173">
        <v>2</v>
      </c>
      <c r="CX99" s="173">
        <v>3</v>
      </c>
      <c r="CY99" s="173">
        <v>4</v>
      </c>
      <c r="CZ99" s="173">
        <v>5</v>
      </c>
      <c r="DA99" s="173">
        <v>6</v>
      </c>
      <c r="DB99" s="173">
        <v>7</v>
      </c>
      <c r="DC99" s="173">
        <v>8</v>
      </c>
      <c r="DD99" s="173">
        <v>9</v>
      </c>
      <c r="DE99" s="173">
        <v>10</v>
      </c>
      <c r="DF99" s="173">
        <v>11</v>
      </c>
      <c r="DG99" s="173">
        <v>12</v>
      </c>
      <c r="DH99" s="26" t="s">
        <v>13</v>
      </c>
    </row>
    <row r="100" spans="1:118" s="92" customFormat="1" ht="44.25" customHeight="1" thickBot="1" x14ac:dyDescent="0.25">
      <c r="A100" s="85"/>
      <c r="B100" s="145" t="s">
        <v>567</v>
      </c>
      <c r="C100" s="86" t="s">
        <v>54</v>
      </c>
      <c r="D100" s="1055">
        <v>720</v>
      </c>
      <c r="E100" s="87">
        <v>30</v>
      </c>
      <c r="F100" s="87">
        <v>60</v>
      </c>
      <c r="G100" s="88">
        <v>30</v>
      </c>
      <c r="H100" s="88">
        <v>30</v>
      </c>
      <c r="I100" s="88">
        <v>30</v>
      </c>
      <c r="J100" s="88"/>
      <c r="K100" s="88"/>
      <c r="L100" s="88">
        <v>120</v>
      </c>
      <c r="M100" s="1200">
        <v>150</v>
      </c>
      <c r="N100" s="1136">
        <v>30</v>
      </c>
      <c r="O100" s="30">
        <v>90</v>
      </c>
      <c r="P100" s="1136">
        <v>120</v>
      </c>
      <c r="Q100" s="1242">
        <v>30</v>
      </c>
      <c r="R100" s="1127"/>
      <c r="S100" s="1127"/>
      <c r="T100" s="1127"/>
      <c r="U100" s="88"/>
      <c r="V100" s="89">
        <f>SUM(E100:U100)</f>
        <v>720</v>
      </c>
      <c r="W100" s="183" t="s">
        <v>31</v>
      </c>
      <c r="X100" s="1056">
        <v>10300</v>
      </c>
      <c r="Y100" s="1057">
        <v>9000</v>
      </c>
      <c r="Z100" s="1057">
        <v>9000</v>
      </c>
      <c r="AA100" s="1057">
        <v>9000</v>
      </c>
      <c r="AB100" s="1057">
        <v>9000</v>
      </c>
      <c r="AC100" s="1057">
        <v>9000</v>
      </c>
      <c r="AD100" s="427"/>
      <c r="AE100" s="427"/>
      <c r="AF100" s="1057">
        <v>9000</v>
      </c>
      <c r="AG100" s="1222">
        <v>10300</v>
      </c>
      <c r="AH100" s="427">
        <v>10300</v>
      </c>
      <c r="AI100" s="1325">
        <v>10300</v>
      </c>
      <c r="AJ100" s="1325">
        <v>10300</v>
      </c>
      <c r="AK100" s="1583">
        <v>10300</v>
      </c>
      <c r="AL100" s="1215"/>
      <c r="AM100" s="1215"/>
      <c r="AN100" s="1215"/>
      <c r="AO100" s="1122"/>
      <c r="AP100" s="1308">
        <f t="shared" ref="AP100" si="285">SUM(V100*X100)</f>
        <v>7416000</v>
      </c>
      <c r="AQ100" s="862">
        <f>Y100*E100</f>
        <v>270000</v>
      </c>
      <c r="AR100" s="862">
        <f t="shared" ref="AR100:AX100" si="286">Z100*F100</f>
        <v>540000</v>
      </c>
      <c r="AS100" s="862">
        <f t="shared" si="286"/>
        <v>270000</v>
      </c>
      <c r="AT100" s="862">
        <f t="shared" si="286"/>
        <v>270000</v>
      </c>
      <c r="AU100" s="862">
        <f t="shared" si="286"/>
        <v>270000</v>
      </c>
      <c r="AV100" s="862">
        <f t="shared" si="286"/>
        <v>0</v>
      </c>
      <c r="AW100" s="862">
        <f t="shared" si="286"/>
        <v>0</v>
      </c>
      <c r="AX100" s="862">
        <f t="shared" si="286"/>
        <v>1080000</v>
      </c>
      <c r="AY100" s="1202">
        <f>M100*AG100</f>
        <v>1545000</v>
      </c>
      <c r="AZ100" s="1347">
        <f>AH100*N100</f>
        <v>309000</v>
      </c>
      <c r="BA100" s="1379">
        <f>AI100*O100</f>
        <v>927000</v>
      </c>
      <c r="BB100" s="1379">
        <f>P100*AJ100</f>
        <v>1236000</v>
      </c>
      <c r="BC100" s="1374">
        <f>Q100*AK100</f>
        <v>309000</v>
      </c>
      <c r="BD100" s="1379"/>
      <c r="BE100" s="1379"/>
      <c r="BF100" s="1379"/>
      <c r="BG100" s="1379"/>
      <c r="BH100" s="863">
        <f>SUM(AQ100:BG100)</f>
        <v>7026000</v>
      </c>
      <c r="BI100" s="862">
        <f>AQ100*4%</f>
        <v>10800</v>
      </c>
      <c r="BJ100" s="862">
        <f t="shared" ref="BJ100:BP100" si="287">AR100*4%</f>
        <v>21600</v>
      </c>
      <c r="BK100" s="862">
        <f t="shared" si="287"/>
        <v>10800</v>
      </c>
      <c r="BL100" s="862">
        <f t="shared" si="287"/>
        <v>10800</v>
      </c>
      <c r="BM100" s="862">
        <f t="shared" si="287"/>
        <v>10800</v>
      </c>
      <c r="BN100" s="862">
        <f t="shared" si="287"/>
        <v>0</v>
      </c>
      <c r="BO100" s="862">
        <f t="shared" si="287"/>
        <v>0</v>
      </c>
      <c r="BP100" s="862">
        <f t="shared" si="287"/>
        <v>43200</v>
      </c>
      <c r="BQ100" s="862">
        <f>AY100*12%</f>
        <v>185400</v>
      </c>
      <c r="BR100" s="862">
        <f>AZ100*12%</f>
        <v>37080</v>
      </c>
      <c r="BS100" s="862">
        <f t="shared" ref="BS100:BU100" si="288">BA100*12%</f>
        <v>111240</v>
      </c>
      <c r="BT100" s="862">
        <f t="shared" si="288"/>
        <v>148320</v>
      </c>
      <c r="BU100" s="862">
        <f t="shared" si="288"/>
        <v>37080</v>
      </c>
      <c r="BV100" s="1123"/>
      <c r="BW100" s="1123"/>
      <c r="BX100" s="1123"/>
      <c r="BY100" s="1123"/>
      <c r="BZ100" s="73">
        <f>BI100+BJ100+BK100+BL100+BM100+BP100</f>
        <v>108000</v>
      </c>
      <c r="CA100" s="98">
        <f>AP100-BH100-BZ100</f>
        <v>282000</v>
      </c>
      <c r="CB100" s="99">
        <f>X100*D100</f>
        <v>7416000</v>
      </c>
      <c r="CC100" s="100">
        <f>CB100-BH100-BZ100</f>
        <v>282000</v>
      </c>
      <c r="CD100" s="163">
        <f>SUM(V100/D100)</f>
        <v>1</v>
      </c>
      <c r="CE100" s="1081">
        <f>AZ100-CR100-DE100</f>
        <v>271920</v>
      </c>
      <c r="CF100" s="1081">
        <f>9000*30</f>
        <v>270000</v>
      </c>
      <c r="CG100" s="1083">
        <f>CE100-CF100</f>
        <v>1920</v>
      </c>
      <c r="CH100" s="1084"/>
      <c r="CI100" s="862"/>
      <c r="CJ100" s="862"/>
      <c r="CK100" s="862"/>
      <c r="CL100" s="862"/>
      <c r="CM100" s="862"/>
      <c r="CN100" s="862"/>
      <c r="CO100" s="862"/>
      <c r="CP100" s="862"/>
      <c r="CQ100" s="1202">
        <f>AY100*2%</f>
        <v>30900</v>
      </c>
      <c r="CR100" s="1223">
        <f>AZ100*2/100</f>
        <v>6180</v>
      </c>
      <c r="CS100" s="1123"/>
      <c r="CT100" s="1123"/>
      <c r="CU100" s="73">
        <f t="shared" ref="CU100" si="289">SUM(CI100:CT100)</f>
        <v>37080</v>
      </c>
      <c r="CV100" s="862"/>
      <c r="CW100" s="862"/>
      <c r="CX100" s="862"/>
      <c r="CY100" s="862"/>
      <c r="CZ100" s="862"/>
      <c r="DA100" s="862"/>
      <c r="DB100" s="862"/>
      <c r="DC100" s="862"/>
      <c r="DD100" s="1202">
        <f>SUM(AY100*10%)</f>
        <v>154500</v>
      </c>
      <c r="DE100" s="1277">
        <f>AZ100*10%</f>
        <v>30900</v>
      </c>
      <c r="DF100" s="1123"/>
      <c r="DG100" s="1123"/>
      <c r="DH100" s="73">
        <f t="shared" ref="DH100" si="290">SUM(CV100:DG100)</f>
        <v>185400</v>
      </c>
    </row>
    <row r="101" spans="1:118" s="1839" customFormat="1" ht="24.75" customHeight="1" thickBot="1" x14ac:dyDescent="0.25">
      <c r="A101" s="1834">
        <v>5</v>
      </c>
      <c r="B101" s="1835" t="s">
        <v>4</v>
      </c>
      <c r="C101" s="1835"/>
      <c r="D101" s="184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7"/>
      <c r="W101" s="1837"/>
      <c r="X101" s="1842"/>
      <c r="Y101" s="1050"/>
      <c r="Z101" s="1050"/>
      <c r="AA101" s="1050"/>
      <c r="AB101" s="1050"/>
      <c r="AC101" s="1050"/>
      <c r="AD101" s="1050"/>
      <c r="AE101" s="1050"/>
      <c r="AF101" s="1050"/>
      <c r="AG101" s="1050"/>
      <c r="AH101" s="1050"/>
      <c r="AI101" s="1050"/>
      <c r="AJ101" s="1050"/>
      <c r="AK101" s="1050"/>
      <c r="AL101" s="1050"/>
      <c r="AM101" s="1050"/>
      <c r="AN101" s="1050"/>
      <c r="AO101" s="1050"/>
      <c r="AP101" s="1051">
        <f t="shared" ref="AP101:BZ101" si="291">SUM(AP100:AP100)</f>
        <v>7416000</v>
      </c>
      <c r="AQ101" s="1051">
        <f t="shared" si="291"/>
        <v>270000</v>
      </c>
      <c r="AR101" s="1051">
        <f t="shared" si="291"/>
        <v>540000</v>
      </c>
      <c r="AS101" s="1051">
        <f t="shared" si="291"/>
        <v>270000</v>
      </c>
      <c r="AT101" s="1051">
        <f t="shared" ref="AT101:BA101" si="292">SUM(AT100:AT100)</f>
        <v>270000</v>
      </c>
      <c r="AU101" s="1051">
        <f t="shared" si="292"/>
        <v>270000</v>
      </c>
      <c r="AV101" s="1051">
        <f t="shared" si="292"/>
        <v>0</v>
      </c>
      <c r="AW101" s="1051">
        <f t="shared" si="292"/>
        <v>0</v>
      </c>
      <c r="AX101" s="1051">
        <f t="shared" si="292"/>
        <v>1080000</v>
      </c>
      <c r="AY101" s="1051">
        <f t="shared" si="292"/>
        <v>1545000</v>
      </c>
      <c r="AZ101" s="1375">
        <f t="shared" si="292"/>
        <v>309000</v>
      </c>
      <c r="BA101" s="1375">
        <f t="shared" si="292"/>
        <v>927000</v>
      </c>
      <c r="BB101" s="1375">
        <f>SUM(BB100)</f>
        <v>1236000</v>
      </c>
      <c r="BC101" s="1375">
        <f>SUM(BC100)</f>
        <v>309000</v>
      </c>
      <c r="BD101" s="1375"/>
      <c r="BE101" s="1375"/>
      <c r="BF101" s="1375"/>
      <c r="BG101" s="1375"/>
      <c r="BH101" s="1051">
        <f>SUM(BH100:BH100)-749275</f>
        <v>6276725</v>
      </c>
      <c r="BI101" s="1051"/>
      <c r="BJ101" s="1051"/>
      <c r="BK101" s="1051"/>
      <c r="BL101" s="1051"/>
      <c r="BM101" s="1051"/>
      <c r="BN101" s="1051"/>
      <c r="BO101" s="1051"/>
      <c r="BP101" s="1051"/>
      <c r="BQ101" s="1051">
        <f>SUM(BQ100)</f>
        <v>185400</v>
      </c>
      <c r="BR101" s="1051">
        <f t="shared" ref="BR101:BU101" si="293">SUM(BR100:BR100)</f>
        <v>37080</v>
      </c>
      <c r="BS101" s="1051">
        <f t="shared" si="293"/>
        <v>111240</v>
      </c>
      <c r="BT101" s="1051">
        <f t="shared" si="293"/>
        <v>148320</v>
      </c>
      <c r="BU101" s="1051">
        <f t="shared" si="293"/>
        <v>37080</v>
      </c>
      <c r="BV101" s="1051"/>
      <c r="BW101" s="1051"/>
      <c r="BX101" s="1051"/>
      <c r="BY101" s="1051"/>
      <c r="BZ101" s="1051">
        <f t="shared" si="291"/>
        <v>108000</v>
      </c>
      <c r="CA101" s="1052">
        <f>SUM(CA100)</f>
        <v>282000</v>
      </c>
      <c r="CB101" s="1051">
        <f>SUM(CB100:CB100)</f>
        <v>7416000</v>
      </c>
      <c r="CC101" s="1051">
        <f>SUM(CC100:CC100)</f>
        <v>282000</v>
      </c>
      <c r="CD101" s="1838">
        <f>SUM(CD100)/1</f>
        <v>1</v>
      </c>
      <c r="CE101" s="1102">
        <f>SUM(CE100)</f>
        <v>271920</v>
      </c>
      <c r="CF101" s="1102">
        <f t="shared" ref="CF101:CG101" si="294">SUM(CF100)</f>
        <v>270000</v>
      </c>
      <c r="CG101" s="1102">
        <f t="shared" si="294"/>
        <v>1920</v>
      </c>
      <c r="CH101" s="1108"/>
      <c r="CI101" s="863"/>
      <c r="CJ101" s="863"/>
      <c r="CK101" s="863"/>
      <c r="CL101" s="863"/>
      <c r="CM101" s="863"/>
      <c r="CN101" s="863"/>
      <c r="CO101" s="863"/>
      <c r="CP101" s="863"/>
      <c r="CQ101" s="1102">
        <f>SUM(CQ100)</f>
        <v>30900</v>
      </c>
      <c r="CR101" s="1102">
        <f>CR100</f>
        <v>6180</v>
      </c>
      <c r="CS101" s="1102"/>
      <c r="CT101" s="1102"/>
      <c r="CU101" s="73">
        <f t="shared" ref="CU101" si="295">SUM(CI101:CT101)</f>
        <v>37080</v>
      </c>
      <c r="CV101" s="863"/>
      <c r="CW101" s="863"/>
      <c r="CX101" s="863"/>
      <c r="CY101" s="863"/>
      <c r="CZ101" s="863"/>
      <c r="DA101" s="863"/>
      <c r="DB101" s="863"/>
      <c r="DC101" s="863"/>
      <c r="DD101" s="1102">
        <f>SUM(DD100)</f>
        <v>154500</v>
      </c>
      <c r="DE101" s="1102">
        <f>SUM(DE100)</f>
        <v>30900</v>
      </c>
      <c r="DF101" s="1102"/>
      <c r="DG101" s="1102"/>
      <c r="DH101" s="73">
        <f t="shared" ref="DH101" si="296">SUM(CV101:DG101)</f>
        <v>185400</v>
      </c>
    </row>
    <row r="102" spans="1:118" s="20" customFormat="1" ht="24.75" customHeight="1" x14ac:dyDescent="0.2">
      <c r="A102" s="50"/>
      <c r="D102" s="223"/>
      <c r="E102" s="50"/>
      <c r="F102" s="50"/>
      <c r="G102" s="50"/>
      <c r="H102" s="50"/>
      <c r="I102" s="50"/>
      <c r="J102" s="50"/>
      <c r="K102" s="50"/>
      <c r="L102" s="50"/>
      <c r="M102" s="50"/>
      <c r="N102" s="165"/>
      <c r="O102" s="50"/>
      <c r="P102" s="50"/>
      <c r="Q102" s="50"/>
      <c r="R102" s="50"/>
      <c r="S102" s="50"/>
      <c r="T102" s="50"/>
      <c r="U102" s="50"/>
      <c r="V102" s="50"/>
      <c r="W102" s="50"/>
      <c r="AI102" s="40"/>
      <c r="AJ102" s="40"/>
      <c r="AK102" s="40"/>
      <c r="AL102" s="40"/>
      <c r="AM102" s="40"/>
      <c r="AN102" s="40"/>
      <c r="AO102" s="40"/>
      <c r="BH102" s="51"/>
      <c r="BS102" s="40"/>
      <c r="BT102" s="40"/>
      <c r="BU102" s="40"/>
      <c r="BV102" s="40"/>
      <c r="BW102" s="40"/>
      <c r="BX102" s="40"/>
      <c r="BY102" s="57"/>
      <c r="BZ102" s="52"/>
      <c r="CA102" s="53"/>
      <c r="CB102" s="54"/>
      <c r="CC102" s="55">
        <f>SUM(CA101)</f>
        <v>282000</v>
      </c>
      <c r="CD102" s="40" t="s">
        <v>38</v>
      </c>
      <c r="CE102" s="171"/>
      <c r="CF102" s="24"/>
      <c r="CG102" s="236">
        <v>9600</v>
      </c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</row>
    <row r="103" spans="1:118" s="20" customFormat="1" ht="24.75" customHeight="1" x14ac:dyDescent="0.2">
      <c r="A103" s="50"/>
      <c r="D103" s="223"/>
      <c r="E103" s="50"/>
      <c r="F103" s="50"/>
      <c r="G103" s="50"/>
      <c r="H103" s="50"/>
      <c r="I103" s="50"/>
      <c r="J103" s="50"/>
      <c r="K103" s="50"/>
      <c r="L103" s="50"/>
      <c r="M103" s="50"/>
      <c r="N103" s="165"/>
      <c r="O103" s="50"/>
      <c r="P103" s="50"/>
      <c r="Q103" s="50"/>
      <c r="R103" s="50"/>
      <c r="S103" s="50"/>
      <c r="T103" s="50"/>
      <c r="U103" s="50"/>
      <c r="V103" s="50"/>
      <c r="W103" s="50"/>
      <c r="AI103" s="40"/>
      <c r="AJ103" s="40"/>
      <c r="AK103" s="40"/>
      <c r="AL103" s="40"/>
      <c r="AM103" s="40"/>
      <c r="AN103" s="40"/>
      <c r="AO103" s="40"/>
      <c r="BH103" s="40"/>
      <c r="BI103" s="1575">
        <f t="shared" ref="BI103" si="297">SUM(AQ101+BI101)</f>
        <v>270000</v>
      </c>
      <c r="BJ103" s="1575">
        <f t="shared" ref="BJ103" si="298">SUM(AR101+BJ101)</f>
        <v>540000</v>
      </c>
      <c r="BK103" s="1575">
        <f t="shared" ref="BK103" si="299">SUM(AS101+BK101)</f>
        <v>270000</v>
      </c>
      <c r="BL103" s="1575">
        <f t="shared" ref="BL103" si="300">SUM(AT101+BL101)</f>
        <v>270000</v>
      </c>
      <c r="BM103" s="1575">
        <f t="shared" ref="BM103" si="301">SUM(AU101+BM101)</f>
        <v>270000</v>
      </c>
      <c r="BN103" s="1575">
        <f t="shared" ref="BN103" si="302">SUM(AV101+BN101)</f>
        <v>0</v>
      </c>
      <c r="BO103" s="1575">
        <f t="shared" ref="BO103" si="303">SUM(AW101+BO101)</f>
        <v>0</v>
      </c>
      <c r="BP103" s="1576">
        <f t="shared" ref="BP103" si="304">SUM(AX101+BP101)</f>
        <v>1080000</v>
      </c>
      <c r="BQ103" s="1033">
        <f t="shared" ref="BQ103:BS103" si="305">AY101</f>
        <v>1545000</v>
      </c>
      <c r="BR103" s="1033">
        <f t="shared" si="305"/>
        <v>309000</v>
      </c>
      <c r="BS103" s="1033">
        <f t="shared" si="305"/>
        <v>927000</v>
      </c>
      <c r="BT103" s="1033">
        <f>BB101</f>
        <v>1236000</v>
      </c>
      <c r="BU103" s="1033">
        <f t="shared" ref="BU103" si="306">BC101</f>
        <v>309000</v>
      </c>
      <c r="BV103" s="123"/>
      <c r="BW103" s="123"/>
      <c r="BX103" s="123"/>
      <c r="BY103" s="123"/>
      <c r="BZ103" s="123"/>
      <c r="CA103" s="40"/>
      <c r="CB103" s="56"/>
      <c r="CC103" s="57">
        <f>SUM(CC101-CC102)</f>
        <v>0</v>
      </c>
      <c r="CD103" s="40" t="s">
        <v>37</v>
      </c>
      <c r="CE103" s="171"/>
      <c r="CF103" s="24"/>
      <c r="CG103" s="236">
        <v>1920</v>
      </c>
      <c r="CH103" s="24">
        <f>CG102+CG103</f>
        <v>11520</v>
      </c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</row>
    <row r="104" spans="1:118" s="20" customFormat="1" ht="24.75" customHeight="1" x14ac:dyDescent="0.2">
      <c r="A104" s="1730" t="s">
        <v>8</v>
      </c>
      <c r="B104" s="1731"/>
      <c r="C104" s="124" t="s">
        <v>141</v>
      </c>
      <c r="D104" s="136"/>
      <c r="E104" s="23"/>
      <c r="F104" s="23"/>
      <c r="G104" s="23"/>
      <c r="H104" s="23"/>
      <c r="I104" s="23"/>
      <c r="J104" s="23"/>
      <c r="K104" s="23"/>
      <c r="L104" s="23"/>
      <c r="M104" s="23"/>
      <c r="N104" s="1090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7"/>
      <c r="AJ104" s="137"/>
      <c r="AK104" s="137"/>
      <c r="AL104" s="137"/>
      <c r="AM104" s="137"/>
      <c r="AN104" s="137"/>
      <c r="AO104" s="137"/>
      <c r="AP104" s="23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8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7"/>
      <c r="BT104" s="137"/>
      <c r="BU104" s="137"/>
      <c r="BV104" s="137"/>
      <c r="BW104" s="137"/>
      <c r="BX104" s="137"/>
      <c r="BY104" s="137"/>
      <c r="BZ104" s="405"/>
      <c r="CA104" s="138"/>
      <c r="CB104" s="135"/>
      <c r="CC104" s="139"/>
      <c r="CD104" s="23"/>
      <c r="CE104" s="169"/>
      <c r="CF104" s="136"/>
      <c r="CG104" s="136"/>
      <c r="CH104" s="136"/>
      <c r="CI104" s="136"/>
      <c r="CJ104" s="137"/>
      <c r="CK104" s="136"/>
      <c r="CL104" s="136"/>
      <c r="CM104" s="136"/>
      <c r="CN104" s="136"/>
      <c r="CO104" s="136"/>
      <c r="CP104" s="138"/>
      <c r="CQ104" s="138"/>
      <c r="CR104" s="138"/>
      <c r="CS104" s="135"/>
      <c r="CT104" s="139"/>
      <c r="CU104" s="138"/>
      <c r="CV104" s="138"/>
      <c r="CW104" s="24"/>
      <c r="CX104" s="24"/>
      <c r="CY104" s="24"/>
      <c r="CZ104" s="24"/>
      <c r="DA104" s="24"/>
      <c r="DB104" s="140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</row>
    <row r="105" spans="1:118" s="8" customFormat="1" ht="48.75" customHeight="1" x14ac:dyDescent="0.2">
      <c r="A105" s="1703" t="s">
        <v>10</v>
      </c>
      <c r="B105" s="1706" t="s">
        <v>11</v>
      </c>
      <c r="C105" s="1706" t="s">
        <v>22</v>
      </c>
      <c r="D105" s="1721" t="s">
        <v>12</v>
      </c>
      <c r="E105" s="1721"/>
      <c r="F105" s="1721"/>
      <c r="G105" s="1721"/>
      <c r="H105" s="1721"/>
      <c r="I105" s="1721"/>
      <c r="J105" s="1721"/>
      <c r="K105" s="1721"/>
      <c r="L105" s="1721"/>
      <c r="M105" s="1721"/>
      <c r="N105" s="1721"/>
      <c r="O105" s="1721"/>
      <c r="P105" s="1721"/>
      <c r="Q105" s="1721"/>
      <c r="R105" s="1721"/>
      <c r="S105" s="1721"/>
      <c r="T105" s="1721"/>
      <c r="U105" s="1721"/>
      <c r="V105" s="1721"/>
      <c r="W105" s="1706" t="s">
        <v>20</v>
      </c>
      <c r="X105" s="1717" t="s">
        <v>17</v>
      </c>
      <c r="Y105" s="1718"/>
      <c r="Z105" s="1718"/>
      <c r="AA105" s="1718"/>
      <c r="AB105" s="1718"/>
      <c r="AC105" s="1718"/>
      <c r="AD105" s="1718"/>
      <c r="AE105" s="1718"/>
      <c r="AF105" s="1718"/>
      <c r="AG105" s="1718"/>
      <c r="AH105" s="1718"/>
      <c r="AI105" s="1718"/>
      <c r="AJ105" s="1718"/>
      <c r="AK105" s="1718"/>
      <c r="AL105" s="1718"/>
      <c r="AM105" s="1718"/>
      <c r="AN105" s="1718"/>
      <c r="AO105" s="1719"/>
      <c r="AP105" s="1720" t="s">
        <v>6</v>
      </c>
      <c r="AQ105" s="1720"/>
      <c r="AR105" s="1720"/>
      <c r="AS105" s="1720"/>
      <c r="AT105" s="1720"/>
      <c r="AU105" s="1720"/>
      <c r="AV105" s="1720"/>
      <c r="AW105" s="1720"/>
      <c r="AX105" s="1720"/>
      <c r="AY105" s="1720"/>
      <c r="AZ105" s="1720"/>
      <c r="BA105" s="1720"/>
      <c r="BB105" s="1720"/>
      <c r="BC105" s="1720"/>
      <c r="BD105" s="1720"/>
      <c r="BE105" s="1720"/>
      <c r="BF105" s="1720"/>
      <c r="BG105" s="1720"/>
      <c r="BH105" s="1720"/>
      <c r="BI105" s="1722" t="s">
        <v>41</v>
      </c>
      <c r="BJ105" s="1723"/>
      <c r="BK105" s="1723"/>
      <c r="BL105" s="1723"/>
      <c r="BM105" s="1723"/>
      <c r="BN105" s="1723"/>
      <c r="BO105" s="1723"/>
      <c r="BP105" s="1723"/>
      <c r="BQ105" s="1723"/>
      <c r="BR105" s="1723"/>
      <c r="BS105" s="1723"/>
      <c r="BT105" s="1723"/>
      <c r="BU105" s="1723"/>
      <c r="BV105" s="1723"/>
      <c r="BW105" s="1723"/>
      <c r="BX105" s="1723"/>
      <c r="BY105" s="1723"/>
      <c r="BZ105" s="1724"/>
      <c r="CA105" s="1706" t="s">
        <v>38</v>
      </c>
      <c r="CB105" s="1706" t="s">
        <v>256</v>
      </c>
      <c r="CC105" s="1794" t="s">
        <v>39</v>
      </c>
      <c r="CD105" s="135"/>
      <c r="CE105" s="1283">
        <f>CB101-BZ103</f>
        <v>7416000</v>
      </c>
      <c r="CF105" s="1284"/>
      <c r="CG105" s="135"/>
      <c r="CH105" s="135"/>
      <c r="CI105" s="1733" t="s">
        <v>41</v>
      </c>
      <c r="CJ105" s="1734"/>
      <c r="CK105" s="1734"/>
      <c r="CL105" s="1734"/>
      <c r="CM105" s="1734"/>
      <c r="CN105" s="1734"/>
      <c r="CO105" s="1734"/>
      <c r="CP105" s="1734"/>
      <c r="CQ105" s="1734"/>
      <c r="CR105" s="1734"/>
      <c r="CS105" s="1734"/>
      <c r="CT105" s="1734"/>
      <c r="CU105" s="1734"/>
      <c r="CV105" s="1734"/>
      <c r="CW105" s="1734"/>
      <c r="CX105" s="1734"/>
      <c r="CY105" s="1734"/>
      <c r="CZ105" s="1734"/>
      <c r="DA105" s="1734"/>
      <c r="DB105" s="1734"/>
      <c r="DC105" s="1734"/>
      <c r="DD105" s="1734"/>
      <c r="DE105" s="1734"/>
      <c r="DF105" s="1734"/>
      <c r="DG105" s="1734"/>
      <c r="DH105" s="1735"/>
    </row>
    <row r="106" spans="1:118" s="8" customFormat="1" ht="48.75" customHeight="1" x14ac:dyDescent="0.2">
      <c r="A106" s="1704"/>
      <c r="B106" s="1707"/>
      <c r="C106" s="1707"/>
      <c r="D106" s="1712" t="s">
        <v>18</v>
      </c>
      <c r="E106" s="1714" t="s">
        <v>19</v>
      </c>
      <c r="F106" s="1715"/>
      <c r="G106" s="1715"/>
      <c r="H106" s="1715"/>
      <c r="I106" s="1715"/>
      <c r="J106" s="1715"/>
      <c r="K106" s="1715"/>
      <c r="L106" s="1715"/>
      <c r="M106" s="1715"/>
      <c r="N106" s="1715"/>
      <c r="O106" s="1715"/>
      <c r="P106" s="1715"/>
      <c r="Q106" s="1715"/>
      <c r="R106" s="1715"/>
      <c r="S106" s="1715"/>
      <c r="T106" s="1715"/>
      <c r="U106" s="1715"/>
      <c r="V106" s="1715"/>
      <c r="W106" s="1707"/>
      <c r="X106" s="1712" t="s">
        <v>18</v>
      </c>
      <c r="Y106" s="1714" t="s">
        <v>19</v>
      </c>
      <c r="Z106" s="1715"/>
      <c r="AA106" s="1715"/>
      <c r="AB106" s="1715"/>
      <c r="AC106" s="1715"/>
      <c r="AD106" s="1715"/>
      <c r="AE106" s="1715"/>
      <c r="AF106" s="1715"/>
      <c r="AG106" s="1715"/>
      <c r="AH106" s="1715"/>
      <c r="AI106" s="1715"/>
      <c r="AJ106" s="1715"/>
      <c r="AK106" s="1715"/>
      <c r="AL106" s="1715"/>
      <c r="AM106" s="1715"/>
      <c r="AN106" s="1715"/>
      <c r="AO106" s="1716"/>
      <c r="AP106" s="1712" t="s">
        <v>18</v>
      </c>
      <c r="AQ106" s="1714" t="s">
        <v>19</v>
      </c>
      <c r="AR106" s="1715"/>
      <c r="AS106" s="1715"/>
      <c r="AT106" s="1715"/>
      <c r="AU106" s="1715"/>
      <c r="AV106" s="1715"/>
      <c r="AW106" s="1715"/>
      <c r="AX106" s="1715"/>
      <c r="AY106" s="1715"/>
      <c r="AZ106" s="1715"/>
      <c r="BA106" s="1715"/>
      <c r="BB106" s="1715"/>
      <c r="BC106" s="1715"/>
      <c r="BD106" s="1715"/>
      <c r="BE106" s="1715"/>
      <c r="BF106" s="1715"/>
      <c r="BG106" s="1715"/>
      <c r="BH106" s="1716"/>
      <c r="BI106" s="1725"/>
      <c r="BJ106" s="1726"/>
      <c r="BK106" s="1726"/>
      <c r="BL106" s="1726"/>
      <c r="BM106" s="1726"/>
      <c r="BN106" s="1726"/>
      <c r="BO106" s="1726"/>
      <c r="BP106" s="1726"/>
      <c r="BQ106" s="1726"/>
      <c r="BR106" s="1726"/>
      <c r="BS106" s="1726"/>
      <c r="BT106" s="1726"/>
      <c r="BU106" s="1726"/>
      <c r="BV106" s="1726"/>
      <c r="BW106" s="1726"/>
      <c r="BX106" s="1726"/>
      <c r="BY106" s="1726"/>
      <c r="BZ106" s="1727"/>
      <c r="CA106" s="1707"/>
      <c r="CB106" s="1707"/>
      <c r="CC106" s="1795"/>
      <c r="CD106" s="135"/>
      <c r="CE106" s="1736">
        <f>SUM(CE108/60)</f>
        <v>0</v>
      </c>
      <c r="CF106" s="1736"/>
      <c r="CG106" s="1736"/>
      <c r="CH106" s="23"/>
      <c r="CI106" s="1737" t="s">
        <v>686</v>
      </c>
      <c r="CJ106" s="1738"/>
      <c r="CK106" s="1738"/>
      <c r="CL106" s="1738"/>
      <c r="CM106" s="1738"/>
      <c r="CN106" s="1738"/>
      <c r="CO106" s="1738"/>
      <c r="CP106" s="1738"/>
      <c r="CQ106" s="1738"/>
      <c r="CR106" s="1738"/>
      <c r="CS106" s="1738"/>
      <c r="CT106" s="1738"/>
      <c r="CU106" s="1739"/>
      <c r="CV106" s="1740" t="s">
        <v>687</v>
      </c>
      <c r="CW106" s="1741"/>
      <c r="CX106" s="1741"/>
      <c r="CY106" s="1741"/>
      <c r="CZ106" s="1741"/>
      <c r="DA106" s="1741"/>
      <c r="DB106" s="1741"/>
      <c r="DC106" s="1741"/>
      <c r="DD106" s="1741"/>
      <c r="DE106" s="1741"/>
      <c r="DF106" s="1741"/>
      <c r="DG106" s="1741"/>
      <c r="DH106" s="1742"/>
    </row>
    <row r="107" spans="1:118" s="6" customFormat="1" ht="28.5" customHeight="1" x14ac:dyDescent="0.2">
      <c r="A107" s="1704"/>
      <c r="B107" s="1707"/>
      <c r="C107" s="1707"/>
      <c r="D107" s="1784"/>
      <c r="E107" s="26">
        <v>1</v>
      </c>
      <c r="F107" s="26">
        <v>2</v>
      </c>
      <c r="G107" s="26">
        <v>3</v>
      </c>
      <c r="H107" s="26">
        <v>4</v>
      </c>
      <c r="I107" s="26">
        <v>5</v>
      </c>
      <c r="J107" s="26">
        <v>6</v>
      </c>
      <c r="K107" s="26">
        <v>7</v>
      </c>
      <c r="L107" s="26">
        <v>8</v>
      </c>
      <c r="M107" s="26">
        <v>9</v>
      </c>
      <c r="N107" s="26">
        <v>10</v>
      </c>
      <c r="O107" s="26">
        <v>11</v>
      </c>
      <c r="P107" s="26">
        <v>12</v>
      </c>
      <c r="Q107" s="26">
        <v>13</v>
      </c>
      <c r="R107" s="26">
        <v>14</v>
      </c>
      <c r="S107" s="26">
        <v>15</v>
      </c>
      <c r="T107" s="26">
        <v>16</v>
      </c>
      <c r="U107" s="26">
        <v>17</v>
      </c>
      <c r="V107" s="26" t="s">
        <v>21</v>
      </c>
      <c r="W107" s="1707"/>
      <c r="X107" s="1784"/>
      <c r="Y107" s="26">
        <v>1</v>
      </c>
      <c r="Z107" s="26">
        <v>2</v>
      </c>
      <c r="AA107" s="26">
        <v>3</v>
      </c>
      <c r="AB107" s="26">
        <v>4</v>
      </c>
      <c r="AC107" s="26">
        <v>5</v>
      </c>
      <c r="AD107" s="26">
        <v>6</v>
      </c>
      <c r="AE107" s="26">
        <v>7</v>
      </c>
      <c r="AF107" s="26">
        <v>8</v>
      </c>
      <c r="AG107" s="26">
        <v>9</v>
      </c>
      <c r="AH107" s="26">
        <v>10</v>
      </c>
      <c r="AI107" s="26">
        <v>11</v>
      </c>
      <c r="AJ107" s="26">
        <v>12</v>
      </c>
      <c r="AK107" s="26">
        <v>13</v>
      </c>
      <c r="AL107" s="26">
        <v>14</v>
      </c>
      <c r="AM107" s="26">
        <v>15</v>
      </c>
      <c r="AN107" s="26">
        <v>16</v>
      </c>
      <c r="AO107" s="26">
        <v>17</v>
      </c>
      <c r="AP107" s="1784"/>
      <c r="AQ107" s="26">
        <v>1</v>
      </c>
      <c r="AR107" s="26">
        <v>2</v>
      </c>
      <c r="AS107" s="26">
        <v>3</v>
      </c>
      <c r="AT107" s="26">
        <v>4</v>
      </c>
      <c r="AU107" s="26">
        <v>5</v>
      </c>
      <c r="AV107" s="26">
        <v>6</v>
      </c>
      <c r="AW107" s="26">
        <v>7</v>
      </c>
      <c r="AX107" s="26">
        <v>8</v>
      </c>
      <c r="AY107" s="26">
        <v>9</v>
      </c>
      <c r="AZ107" s="26">
        <v>10</v>
      </c>
      <c r="BA107" s="26">
        <v>11</v>
      </c>
      <c r="BB107" s="26">
        <v>12</v>
      </c>
      <c r="BC107" s="26">
        <v>13</v>
      </c>
      <c r="BD107" s="26">
        <v>14</v>
      </c>
      <c r="BE107" s="26">
        <v>15</v>
      </c>
      <c r="BF107" s="26">
        <v>16</v>
      </c>
      <c r="BG107" s="26">
        <v>17</v>
      </c>
      <c r="BH107" s="26" t="s">
        <v>13</v>
      </c>
      <c r="BI107" s="173">
        <v>1</v>
      </c>
      <c r="BJ107" s="173">
        <v>2</v>
      </c>
      <c r="BK107" s="173">
        <v>3</v>
      </c>
      <c r="BL107" s="173">
        <v>4</v>
      </c>
      <c r="BM107" s="173">
        <v>5</v>
      </c>
      <c r="BN107" s="173">
        <v>6</v>
      </c>
      <c r="BO107" s="173">
        <v>7</v>
      </c>
      <c r="BP107" s="173">
        <v>8</v>
      </c>
      <c r="BQ107" s="173">
        <v>9</v>
      </c>
      <c r="BR107" s="173">
        <v>10</v>
      </c>
      <c r="BS107" s="173">
        <v>11</v>
      </c>
      <c r="BT107" s="173">
        <v>12</v>
      </c>
      <c r="BU107" s="173">
        <v>13</v>
      </c>
      <c r="BV107" s="173">
        <v>14</v>
      </c>
      <c r="BW107" s="173">
        <v>15</v>
      </c>
      <c r="BX107" s="173">
        <v>16</v>
      </c>
      <c r="BY107" s="173">
        <v>17</v>
      </c>
      <c r="BZ107" s="26" t="s">
        <v>13</v>
      </c>
      <c r="CA107" s="1707"/>
      <c r="CB107" s="1707"/>
      <c r="CC107" s="1795"/>
      <c r="CD107" s="7"/>
      <c r="CE107" s="1743" t="s">
        <v>19</v>
      </c>
      <c r="CF107" s="1744"/>
      <c r="CG107" s="1745"/>
      <c r="CH107" s="621"/>
      <c r="CI107" s="173">
        <v>1</v>
      </c>
      <c r="CJ107" s="173">
        <v>2</v>
      </c>
      <c r="CK107" s="173">
        <v>3</v>
      </c>
      <c r="CL107" s="173">
        <v>4</v>
      </c>
      <c r="CM107" s="173">
        <v>5</v>
      </c>
      <c r="CN107" s="173">
        <v>6</v>
      </c>
      <c r="CO107" s="173">
        <v>7</v>
      </c>
      <c r="CP107" s="173">
        <v>8</v>
      </c>
      <c r="CQ107" s="173">
        <v>9</v>
      </c>
      <c r="CR107" s="173">
        <v>10</v>
      </c>
      <c r="CS107" s="173">
        <v>11</v>
      </c>
      <c r="CT107" s="173">
        <v>12</v>
      </c>
      <c r="CU107" s="26" t="s">
        <v>13</v>
      </c>
      <c r="CV107" s="173">
        <v>1</v>
      </c>
      <c r="CW107" s="173">
        <v>2</v>
      </c>
      <c r="CX107" s="173">
        <v>3</v>
      </c>
      <c r="CY107" s="173">
        <v>4</v>
      </c>
      <c r="CZ107" s="173">
        <v>5</v>
      </c>
      <c r="DA107" s="173">
        <v>6</v>
      </c>
      <c r="DB107" s="173">
        <v>7</v>
      </c>
      <c r="DC107" s="173">
        <v>8</v>
      </c>
      <c r="DD107" s="173">
        <v>9</v>
      </c>
      <c r="DE107" s="173">
        <v>10</v>
      </c>
      <c r="DF107" s="173">
        <v>11</v>
      </c>
      <c r="DG107" s="173">
        <v>12</v>
      </c>
      <c r="DH107" s="26" t="s">
        <v>13</v>
      </c>
    </row>
    <row r="108" spans="1:118" s="92" customFormat="1" ht="24.75" customHeight="1" x14ac:dyDescent="0.2">
      <c r="A108" s="85"/>
      <c r="B108" s="190" t="s">
        <v>489</v>
      </c>
      <c r="C108" s="86"/>
      <c r="D108" s="150"/>
      <c r="E108" s="87"/>
      <c r="F108" s="88"/>
      <c r="G108" s="88"/>
      <c r="H108" s="88"/>
      <c r="I108" s="88"/>
      <c r="J108" s="88"/>
      <c r="K108" s="88"/>
      <c r="L108" s="88"/>
      <c r="M108" s="88"/>
      <c r="N108" s="1127"/>
      <c r="O108" s="88"/>
      <c r="P108" s="88"/>
      <c r="Q108" s="88"/>
      <c r="R108" s="88"/>
      <c r="S108" s="88"/>
      <c r="T108" s="88"/>
      <c r="U108" s="88"/>
      <c r="V108" s="89"/>
      <c r="W108" s="183"/>
      <c r="X108" s="156"/>
      <c r="Y108" s="184"/>
      <c r="Z108" s="94"/>
      <c r="AA108" s="94"/>
      <c r="AB108" s="94"/>
      <c r="AC108" s="94"/>
      <c r="AD108" s="94"/>
      <c r="AE108" s="94"/>
      <c r="AF108" s="94"/>
      <c r="AG108" s="94"/>
      <c r="AH108" s="94"/>
      <c r="AI108" s="1164"/>
      <c r="AJ108" s="1164"/>
      <c r="AK108" s="1164"/>
      <c r="AL108" s="1164"/>
      <c r="AM108" s="1164"/>
      <c r="AN108" s="1164"/>
      <c r="AO108" s="94"/>
      <c r="AP108" s="1309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6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1272"/>
      <c r="BT108" s="1272"/>
      <c r="BU108" s="1272"/>
      <c r="BV108" s="1272"/>
      <c r="BW108" s="1272"/>
      <c r="BX108" s="1272"/>
      <c r="BY108" s="1272"/>
      <c r="BZ108" s="97"/>
      <c r="CA108" s="98"/>
      <c r="CB108" s="99"/>
      <c r="CC108" s="100"/>
      <c r="CD108" s="90"/>
      <c r="CE108" s="1081"/>
      <c r="CF108" s="1081"/>
      <c r="CG108" s="1083"/>
      <c r="CH108" s="1084"/>
      <c r="CI108" s="862"/>
      <c r="CJ108" s="862"/>
      <c r="CK108" s="862"/>
      <c r="CL108" s="862"/>
      <c r="CM108" s="862"/>
      <c r="CN108" s="862"/>
      <c r="CO108" s="862"/>
      <c r="CP108" s="862"/>
      <c r="CQ108" s="1081">
        <f t="shared" ref="CQ108:CQ119" si="307">SUM(AX108*12.5%)</f>
        <v>0</v>
      </c>
      <c r="CR108" s="862"/>
      <c r="CS108" s="862"/>
      <c r="CT108" s="862"/>
      <c r="CU108" s="73">
        <f t="shared" ref="CU108" si="308">SUM(CI108:CT108)</f>
        <v>0</v>
      </c>
      <c r="CV108" s="862"/>
      <c r="CW108" s="862"/>
      <c r="CX108" s="862"/>
      <c r="CY108" s="862"/>
      <c r="CZ108" s="862"/>
      <c r="DA108" s="862"/>
      <c r="DB108" s="862"/>
      <c r="DC108" s="862"/>
      <c r="DD108" s="1081"/>
      <c r="DE108" s="862"/>
      <c r="DF108" s="862"/>
      <c r="DG108" s="862"/>
      <c r="DH108" s="73">
        <f t="shared" ref="DH108:DH109" si="309">SUM(CV108:DG108)</f>
        <v>0</v>
      </c>
    </row>
    <row r="109" spans="1:118" s="37" customFormat="1" ht="31.5" customHeight="1" x14ac:dyDescent="0.2">
      <c r="A109" s="28"/>
      <c r="B109" s="724" t="s">
        <v>490</v>
      </c>
      <c r="C109" s="29" t="s">
        <v>128</v>
      </c>
      <c r="D109" s="725">
        <v>45</v>
      </c>
      <c r="E109" s="683"/>
      <c r="F109" s="683">
        <v>45</v>
      </c>
      <c r="G109" s="30"/>
      <c r="H109" s="30"/>
      <c r="I109" s="30"/>
      <c r="J109" s="30"/>
      <c r="K109" s="30"/>
      <c r="L109" s="30"/>
      <c r="M109" s="30"/>
      <c r="N109" s="1127"/>
      <c r="O109" s="30"/>
      <c r="P109" s="30"/>
      <c r="Q109" s="30"/>
      <c r="R109" s="30"/>
      <c r="S109" s="30"/>
      <c r="T109" s="30"/>
      <c r="U109" s="30"/>
      <c r="V109" s="31">
        <f t="shared" ref="V109:V112" si="310">SUM(E109:U109)</f>
        <v>45</v>
      </c>
      <c r="W109" s="801" t="s">
        <v>31</v>
      </c>
      <c r="X109" s="675">
        <v>10300</v>
      </c>
      <c r="Y109" s="691"/>
      <c r="Z109" s="691">
        <v>9000</v>
      </c>
      <c r="AA109" s="685"/>
      <c r="AB109" s="685"/>
      <c r="AC109" s="685"/>
      <c r="AD109" s="685"/>
      <c r="AE109" s="685"/>
      <c r="AF109" s="685"/>
      <c r="AG109" s="685"/>
      <c r="AH109" s="685"/>
      <c r="AI109" s="1164"/>
      <c r="AJ109" s="1164"/>
      <c r="AK109" s="1164"/>
      <c r="AL109" s="1164"/>
      <c r="AM109" s="1164"/>
      <c r="AN109" s="1164"/>
      <c r="AO109" s="685"/>
      <c r="AP109" s="1304">
        <f t="shared" ref="AP109:AP112" si="311">SUM(V109*X109)</f>
        <v>463500</v>
      </c>
      <c r="AQ109" s="70">
        <f t="shared" ref="AQ109:AQ117" si="312">Y109*E109</f>
        <v>0</v>
      </c>
      <c r="AR109" s="70">
        <f t="shared" ref="AR109:AR117" si="313">Z109*F109</f>
        <v>405000</v>
      </c>
      <c r="AS109" s="70">
        <f t="shared" ref="AS109:AS117" si="314">AA109*G109</f>
        <v>0</v>
      </c>
      <c r="AT109" s="70">
        <f t="shared" ref="AT109:BA112" si="315">AB109*H109</f>
        <v>0</v>
      </c>
      <c r="AU109" s="70">
        <f t="shared" si="315"/>
        <v>0</v>
      </c>
      <c r="AV109" s="70">
        <f t="shared" si="315"/>
        <v>0</v>
      </c>
      <c r="AW109" s="70">
        <f t="shared" si="315"/>
        <v>0</v>
      </c>
      <c r="AX109" s="70">
        <f t="shared" si="315"/>
        <v>0</v>
      </c>
      <c r="AY109" s="70">
        <f t="shared" si="315"/>
        <v>0</v>
      </c>
      <c r="AZ109" s="70">
        <f t="shared" si="315"/>
        <v>0</v>
      </c>
      <c r="BA109" s="70">
        <f t="shared" si="315"/>
        <v>0</v>
      </c>
      <c r="BB109" s="70"/>
      <c r="BC109" s="70"/>
      <c r="BD109" s="70"/>
      <c r="BE109" s="70"/>
      <c r="BF109" s="70"/>
      <c r="BG109" s="70"/>
      <c r="BH109" s="71">
        <f>SUM(AQ109:BG109)</f>
        <v>405000</v>
      </c>
      <c r="BI109" s="70">
        <f t="shared" ref="BI109:BJ111" si="316">SUM(AQ109*4%)</f>
        <v>0</v>
      </c>
      <c r="BJ109" s="70">
        <f t="shared" si="316"/>
        <v>16200</v>
      </c>
      <c r="BK109" s="70">
        <f t="shared" ref="BK109:BS112" si="317">SUM(AS109*14%)</f>
        <v>0</v>
      </c>
      <c r="BL109" s="70">
        <f t="shared" si="317"/>
        <v>0</v>
      </c>
      <c r="BM109" s="70">
        <f t="shared" si="317"/>
        <v>0</v>
      </c>
      <c r="BN109" s="70">
        <f t="shared" si="317"/>
        <v>0</v>
      </c>
      <c r="BO109" s="70">
        <f t="shared" si="317"/>
        <v>0</v>
      </c>
      <c r="BP109" s="70">
        <f t="shared" si="317"/>
        <v>0</v>
      </c>
      <c r="BQ109" s="70">
        <f t="shared" si="317"/>
        <v>0</v>
      </c>
      <c r="BR109" s="70">
        <f t="shared" si="317"/>
        <v>0</v>
      </c>
      <c r="BS109" s="1130">
        <f t="shared" si="317"/>
        <v>0</v>
      </c>
      <c r="BT109" s="1130"/>
      <c r="BU109" s="1130"/>
      <c r="BV109" s="1130"/>
      <c r="BW109" s="1130"/>
      <c r="BX109" s="1130"/>
      <c r="BY109" s="1130"/>
      <c r="BZ109" s="72">
        <f>SUM(BI109:BY109)</f>
        <v>16200</v>
      </c>
      <c r="CA109" s="686">
        <f>AP109-BH109-BZ109</f>
        <v>42300</v>
      </c>
      <c r="CB109" s="687">
        <f>X109*D109</f>
        <v>463500</v>
      </c>
      <c r="CC109" s="688">
        <f>CB109-BH109-BZ109</f>
        <v>42300</v>
      </c>
      <c r="CD109" s="630">
        <f>SUM(V109/D109)</f>
        <v>1</v>
      </c>
      <c r="CE109" s="1081"/>
      <c r="CF109" s="1081"/>
      <c r="CG109" s="1083"/>
      <c r="CH109" s="1084"/>
      <c r="CI109" s="862"/>
      <c r="CJ109" s="862"/>
      <c r="CK109" s="862"/>
      <c r="CL109" s="862"/>
      <c r="CM109" s="862"/>
      <c r="CN109" s="862"/>
      <c r="CO109" s="862"/>
      <c r="CP109" s="862"/>
      <c r="CQ109" s="1081">
        <f t="shared" si="307"/>
        <v>0</v>
      </c>
      <c r="CR109" s="862"/>
      <c r="CS109" s="862"/>
      <c r="CT109" s="862"/>
      <c r="CU109" s="73">
        <f t="shared" ref="CU109" si="318">SUM(CI109:CT109)</f>
        <v>0</v>
      </c>
      <c r="CV109" s="862"/>
      <c r="CW109" s="862"/>
      <c r="CX109" s="862"/>
      <c r="CY109" s="862"/>
      <c r="CZ109" s="862"/>
      <c r="DA109" s="862"/>
      <c r="DB109" s="862"/>
      <c r="DC109" s="862"/>
      <c r="DD109" s="1081"/>
      <c r="DE109" s="862"/>
      <c r="DF109" s="862"/>
      <c r="DG109" s="862"/>
      <c r="DH109" s="73">
        <f t="shared" si="309"/>
        <v>0</v>
      </c>
    </row>
    <row r="110" spans="1:118" s="37" customFormat="1" ht="32.25" customHeight="1" x14ac:dyDescent="0.2">
      <c r="A110" s="28"/>
      <c r="B110" s="724" t="s">
        <v>491</v>
      </c>
      <c r="C110" s="29" t="s">
        <v>128</v>
      </c>
      <c r="D110" s="725">
        <v>45</v>
      </c>
      <c r="E110" s="683"/>
      <c r="F110" s="683">
        <v>45</v>
      </c>
      <c r="G110" s="30"/>
      <c r="H110" s="30"/>
      <c r="I110" s="30"/>
      <c r="J110" s="30"/>
      <c r="K110" s="30"/>
      <c r="L110" s="30"/>
      <c r="M110" s="30"/>
      <c r="N110" s="1127"/>
      <c r="O110" s="30"/>
      <c r="P110" s="30"/>
      <c r="Q110" s="30"/>
      <c r="R110" s="30"/>
      <c r="S110" s="30"/>
      <c r="T110" s="30"/>
      <c r="U110" s="30"/>
      <c r="V110" s="31">
        <f t="shared" si="310"/>
        <v>45</v>
      </c>
      <c r="W110" s="801" t="s">
        <v>31</v>
      </c>
      <c r="X110" s="675">
        <v>28500</v>
      </c>
      <c r="Y110" s="691"/>
      <c r="Z110" s="691">
        <v>25000</v>
      </c>
      <c r="AA110" s="685"/>
      <c r="AB110" s="685"/>
      <c r="AC110" s="685"/>
      <c r="AD110" s="685"/>
      <c r="AE110" s="685"/>
      <c r="AF110" s="685"/>
      <c r="AG110" s="685"/>
      <c r="AH110" s="685"/>
      <c r="AI110" s="1164"/>
      <c r="AJ110" s="1164"/>
      <c r="AK110" s="1164"/>
      <c r="AL110" s="1164"/>
      <c r="AM110" s="1164"/>
      <c r="AN110" s="1164"/>
      <c r="AO110" s="685"/>
      <c r="AP110" s="1304">
        <f t="shared" si="311"/>
        <v>1282500</v>
      </c>
      <c r="AQ110" s="70">
        <f t="shared" si="312"/>
        <v>0</v>
      </c>
      <c r="AR110" s="70">
        <f t="shared" si="313"/>
        <v>1125000</v>
      </c>
      <c r="AS110" s="70">
        <f t="shared" si="314"/>
        <v>0</v>
      </c>
      <c r="AT110" s="70">
        <f t="shared" si="315"/>
        <v>0</v>
      </c>
      <c r="AU110" s="70">
        <f t="shared" si="315"/>
        <v>0</v>
      </c>
      <c r="AV110" s="70">
        <f t="shared" si="315"/>
        <v>0</v>
      </c>
      <c r="AW110" s="70">
        <f t="shared" si="315"/>
        <v>0</v>
      </c>
      <c r="AX110" s="70">
        <f t="shared" si="315"/>
        <v>0</v>
      </c>
      <c r="AY110" s="70">
        <f t="shared" si="315"/>
        <v>0</v>
      </c>
      <c r="AZ110" s="70">
        <f t="shared" si="315"/>
        <v>0</v>
      </c>
      <c r="BA110" s="70">
        <f t="shared" si="315"/>
        <v>0</v>
      </c>
      <c r="BB110" s="70"/>
      <c r="BC110" s="70"/>
      <c r="BD110" s="70"/>
      <c r="BE110" s="70"/>
      <c r="BF110" s="70"/>
      <c r="BG110" s="70"/>
      <c r="BH110" s="71">
        <f>SUM(AQ110:BG110)</f>
        <v>1125000</v>
      </c>
      <c r="BI110" s="70">
        <f t="shared" si="316"/>
        <v>0</v>
      </c>
      <c r="BJ110" s="70">
        <f t="shared" si="316"/>
        <v>45000</v>
      </c>
      <c r="BK110" s="70">
        <f t="shared" si="317"/>
        <v>0</v>
      </c>
      <c r="BL110" s="70">
        <f t="shared" si="317"/>
        <v>0</v>
      </c>
      <c r="BM110" s="70">
        <f t="shared" si="317"/>
        <v>0</v>
      </c>
      <c r="BN110" s="70">
        <f t="shared" si="317"/>
        <v>0</v>
      </c>
      <c r="BO110" s="70">
        <f t="shared" si="317"/>
        <v>0</v>
      </c>
      <c r="BP110" s="70">
        <f t="shared" si="317"/>
        <v>0</v>
      </c>
      <c r="BQ110" s="70">
        <f t="shared" si="317"/>
        <v>0</v>
      </c>
      <c r="BR110" s="70">
        <f t="shared" si="317"/>
        <v>0</v>
      </c>
      <c r="BS110" s="1130">
        <f t="shared" si="317"/>
        <v>0</v>
      </c>
      <c r="BT110" s="1130"/>
      <c r="BU110" s="1130"/>
      <c r="BV110" s="1130"/>
      <c r="BW110" s="1130"/>
      <c r="BX110" s="1130"/>
      <c r="BY110" s="1130"/>
      <c r="BZ110" s="72">
        <f>SUM(BI110:BY110)</f>
        <v>45000</v>
      </c>
      <c r="CA110" s="686">
        <f>AP110-BH110-BZ110</f>
        <v>112500</v>
      </c>
      <c r="CB110" s="687">
        <f>X110*D110</f>
        <v>1282500</v>
      </c>
      <c r="CC110" s="688">
        <f>CB110-BH110-BZ110</f>
        <v>112500</v>
      </c>
      <c r="CD110" s="630">
        <f>SUM(V110/D110)</f>
        <v>1</v>
      </c>
      <c r="CE110" s="1081"/>
      <c r="CF110" s="1081"/>
      <c r="CG110" s="1083"/>
      <c r="CH110" s="1084"/>
      <c r="CI110" s="862"/>
      <c r="CJ110" s="862"/>
      <c r="CK110" s="862"/>
      <c r="CL110" s="862"/>
      <c r="CM110" s="862"/>
      <c r="CN110" s="862"/>
      <c r="CO110" s="862"/>
      <c r="CP110" s="862"/>
      <c r="CQ110" s="1081">
        <f t="shared" si="307"/>
        <v>0</v>
      </c>
      <c r="CR110" s="862"/>
      <c r="CS110" s="862"/>
      <c r="CT110" s="862"/>
      <c r="CU110" s="73">
        <f t="shared" ref="CU110:CU118" si="319">SUM(CI110:CT110)</f>
        <v>0</v>
      </c>
      <c r="CV110" s="862"/>
      <c r="CW110" s="862"/>
      <c r="CX110" s="862"/>
      <c r="CY110" s="862"/>
      <c r="CZ110" s="862"/>
      <c r="DA110" s="862"/>
      <c r="DB110" s="862"/>
      <c r="DC110" s="862"/>
      <c r="DD110" s="1081"/>
      <c r="DE110" s="862"/>
      <c r="DF110" s="862"/>
      <c r="DG110" s="862"/>
      <c r="DH110" s="73">
        <f t="shared" ref="DH110:DH118" si="320">SUM(CV110:DG110)</f>
        <v>0</v>
      </c>
    </row>
    <row r="111" spans="1:118" s="37" customFormat="1" ht="24.75" customHeight="1" x14ac:dyDescent="0.2">
      <c r="A111" s="28"/>
      <c r="B111" s="672" t="s">
        <v>32</v>
      </c>
      <c r="C111" s="29" t="s">
        <v>128</v>
      </c>
      <c r="D111" s="725">
        <v>2</v>
      </c>
      <c r="E111" s="683"/>
      <c r="F111" s="683">
        <v>2</v>
      </c>
      <c r="G111" s="30"/>
      <c r="H111" s="30"/>
      <c r="I111" s="30"/>
      <c r="J111" s="30"/>
      <c r="K111" s="30"/>
      <c r="L111" s="30"/>
      <c r="M111" s="30"/>
      <c r="N111" s="1127"/>
      <c r="O111" s="30"/>
      <c r="P111" s="30"/>
      <c r="Q111" s="30"/>
      <c r="R111" s="30"/>
      <c r="S111" s="30"/>
      <c r="T111" s="30"/>
      <c r="U111" s="30"/>
      <c r="V111" s="31">
        <f t="shared" si="310"/>
        <v>2</v>
      </c>
      <c r="W111" s="801" t="s">
        <v>16</v>
      </c>
      <c r="X111" s="675">
        <v>35000</v>
      </c>
      <c r="Y111" s="691"/>
      <c r="Z111" s="691">
        <v>30000</v>
      </c>
      <c r="AA111" s="685"/>
      <c r="AB111" s="685"/>
      <c r="AC111" s="685"/>
      <c r="AD111" s="685"/>
      <c r="AE111" s="685"/>
      <c r="AF111" s="685"/>
      <c r="AG111" s="685"/>
      <c r="AH111" s="685"/>
      <c r="AI111" s="1164"/>
      <c r="AJ111" s="1164"/>
      <c r="AK111" s="1164"/>
      <c r="AL111" s="1164"/>
      <c r="AM111" s="1164"/>
      <c r="AN111" s="1164"/>
      <c r="AO111" s="685"/>
      <c r="AP111" s="1304">
        <f t="shared" si="311"/>
        <v>70000</v>
      </c>
      <c r="AQ111" s="70">
        <f t="shared" si="312"/>
        <v>0</v>
      </c>
      <c r="AR111" s="70">
        <f t="shared" si="313"/>
        <v>60000</v>
      </c>
      <c r="AS111" s="70">
        <f t="shared" si="314"/>
        <v>0</v>
      </c>
      <c r="AT111" s="70">
        <f t="shared" si="315"/>
        <v>0</v>
      </c>
      <c r="AU111" s="70">
        <f t="shared" si="315"/>
        <v>0</v>
      </c>
      <c r="AV111" s="70">
        <f t="shared" si="315"/>
        <v>0</v>
      </c>
      <c r="AW111" s="70">
        <f t="shared" si="315"/>
        <v>0</v>
      </c>
      <c r="AX111" s="70">
        <f t="shared" si="315"/>
        <v>0</v>
      </c>
      <c r="AY111" s="70">
        <f t="shared" si="315"/>
        <v>0</v>
      </c>
      <c r="AZ111" s="70">
        <f t="shared" si="315"/>
        <v>0</v>
      </c>
      <c r="BA111" s="70">
        <f t="shared" si="315"/>
        <v>0</v>
      </c>
      <c r="BB111" s="70"/>
      <c r="BC111" s="70"/>
      <c r="BD111" s="70"/>
      <c r="BE111" s="70"/>
      <c r="BF111" s="70"/>
      <c r="BG111" s="70"/>
      <c r="BH111" s="71">
        <f>SUM(AQ111:BG111)</f>
        <v>60000</v>
      </c>
      <c r="BI111" s="70">
        <f t="shared" si="316"/>
        <v>0</v>
      </c>
      <c r="BJ111" s="70">
        <f t="shared" si="316"/>
        <v>2400</v>
      </c>
      <c r="BK111" s="70">
        <f t="shared" si="317"/>
        <v>0</v>
      </c>
      <c r="BL111" s="70">
        <f t="shared" si="317"/>
        <v>0</v>
      </c>
      <c r="BM111" s="70">
        <f t="shared" si="317"/>
        <v>0</v>
      </c>
      <c r="BN111" s="70">
        <f t="shared" si="317"/>
        <v>0</v>
      </c>
      <c r="BO111" s="70">
        <f t="shared" si="317"/>
        <v>0</v>
      </c>
      <c r="BP111" s="70">
        <f t="shared" si="317"/>
        <v>0</v>
      </c>
      <c r="BQ111" s="70">
        <f t="shared" si="317"/>
        <v>0</v>
      </c>
      <c r="BR111" s="70">
        <f t="shared" si="317"/>
        <v>0</v>
      </c>
      <c r="BS111" s="1130">
        <f t="shared" si="317"/>
        <v>0</v>
      </c>
      <c r="BT111" s="1130"/>
      <c r="BU111" s="1130"/>
      <c r="BV111" s="1130"/>
      <c r="BW111" s="1130"/>
      <c r="BX111" s="1130"/>
      <c r="BY111" s="1130"/>
      <c r="BZ111" s="72">
        <f>SUM(BI111:BY111)</f>
        <v>2400</v>
      </c>
      <c r="CA111" s="686">
        <f>AP111-BH111-BZ111</f>
        <v>7600</v>
      </c>
      <c r="CB111" s="687">
        <f>X111*D111</f>
        <v>70000</v>
      </c>
      <c r="CC111" s="688">
        <f>CB111-BH111-BZ111</f>
        <v>7600</v>
      </c>
      <c r="CD111" s="630">
        <f>SUM(V111/D111)</f>
        <v>1</v>
      </c>
      <c r="CE111" s="1081"/>
      <c r="CF111" s="1081"/>
      <c r="CG111" s="1083"/>
      <c r="CH111" s="1084"/>
      <c r="CI111" s="862"/>
      <c r="CJ111" s="862"/>
      <c r="CK111" s="862"/>
      <c r="CL111" s="862"/>
      <c r="CM111" s="862"/>
      <c r="CN111" s="862"/>
      <c r="CO111" s="862"/>
      <c r="CP111" s="862"/>
      <c r="CQ111" s="1081">
        <f t="shared" si="307"/>
        <v>0</v>
      </c>
      <c r="CR111" s="862"/>
      <c r="CS111" s="862"/>
      <c r="CT111" s="862"/>
      <c r="CU111" s="73">
        <f t="shared" si="319"/>
        <v>0</v>
      </c>
      <c r="CV111" s="862"/>
      <c r="CW111" s="862"/>
      <c r="CX111" s="862"/>
      <c r="CY111" s="862"/>
      <c r="CZ111" s="862"/>
      <c r="DA111" s="862"/>
      <c r="DB111" s="862"/>
      <c r="DC111" s="862"/>
      <c r="DD111" s="1081"/>
      <c r="DE111" s="862"/>
      <c r="DF111" s="862"/>
      <c r="DG111" s="862"/>
      <c r="DH111" s="73">
        <f t="shared" si="320"/>
        <v>0</v>
      </c>
    </row>
    <row r="112" spans="1:118" s="37" customFormat="1" ht="27" customHeight="1" x14ac:dyDescent="0.2">
      <c r="A112" s="28"/>
      <c r="B112" s="722" t="s">
        <v>136</v>
      </c>
      <c r="C112" s="29" t="s">
        <v>128</v>
      </c>
      <c r="D112" s="725">
        <v>6</v>
      </c>
      <c r="E112" s="683"/>
      <c r="F112" s="683">
        <v>4</v>
      </c>
      <c r="G112" s="30"/>
      <c r="H112" s="30"/>
      <c r="I112" s="30"/>
      <c r="J112" s="30"/>
      <c r="K112" s="30"/>
      <c r="L112" s="30"/>
      <c r="M112" s="30"/>
      <c r="N112" s="1127"/>
      <c r="O112" s="30"/>
      <c r="P112" s="30"/>
      <c r="Q112" s="30"/>
      <c r="R112" s="30"/>
      <c r="S112" s="30"/>
      <c r="T112" s="30"/>
      <c r="U112" s="30"/>
      <c r="V112" s="31">
        <f t="shared" si="310"/>
        <v>4</v>
      </c>
      <c r="W112" s="801" t="s">
        <v>35</v>
      </c>
      <c r="X112" s="675">
        <v>250000</v>
      </c>
      <c r="Y112" s="691"/>
      <c r="Z112" s="691">
        <v>250000</v>
      </c>
      <c r="AA112" s="685"/>
      <c r="AB112" s="685"/>
      <c r="AC112" s="685"/>
      <c r="AD112" s="685"/>
      <c r="AE112" s="685"/>
      <c r="AF112" s="685"/>
      <c r="AG112" s="685"/>
      <c r="AH112" s="685"/>
      <c r="AI112" s="1164"/>
      <c r="AJ112" s="1164"/>
      <c r="AK112" s="1164"/>
      <c r="AL112" s="1164"/>
      <c r="AM112" s="1164"/>
      <c r="AN112" s="1164"/>
      <c r="AO112" s="685"/>
      <c r="AP112" s="1304">
        <f t="shared" si="311"/>
        <v>1000000</v>
      </c>
      <c r="AQ112" s="70">
        <f t="shared" si="312"/>
        <v>0</v>
      </c>
      <c r="AR112" s="70">
        <f t="shared" si="313"/>
        <v>1000000</v>
      </c>
      <c r="AS112" s="70">
        <f t="shared" si="314"/>
        <v>0</v>
      </c>
      <c r="AT112" s="70">
        <f t="shared" si="315"/>
        <v>0</v>
      </c>
      <c r="AU112" s="70">
        <f t="shared" si="315"/>
        <v>0</v>
      </c>
      <c r="AV112" s="70">
        <f t="shared" si="315"/>
        <v>0</v>
      </c>
      <c r="AW112" s="70">
        <f t="shared" si="315"/>
        <v>0</v>
      </c>
      <c r="AX112" s="70">
        <f t="shared" si="315"/>
        <v>0</v>
      </c>
      <c r="AY112" s="70">
        <f t="shared" si="315"/>
        <v>0</v>
      </c>
      <c r="AZ112" s="70">
        <f t="shared" si="315"/>
        <v>0</v>
      </c>
      <c r="BA112" s="70">
        <f t="shared" si="315"/>
        <v>0</v>
      </c>
      <c r="BB112" s="70"/>
      <c r="BC112" s="70"/>
      <c r="BD112" s="70"/>
      <c r="BE112" s="70"/>
      <c r="BF112" s="70"/>
      <c r="BG112" s="70"/>
      <c r="BH112" s="71">
        <f>SUM(AQ112:BG112)</f>
        <v>1000000</v>
      </c>
      <c r="BI112" s="70">
        <f>SUM(AQ112*4%)</f>
        <v>0</v>
      </c>
      <c r="BJ112" s="70"/>
      <c r="BK112" s="70">
        <f t="shared" si="317"/>
        <v>0</v>
      </c>
      <c r="BL112" s="70">
        <f t="shared" si="317"/>
        <v>0</v>
      </c>
      <c r="BM112" s="70">
        <f t="shared" si="317"/>
        <v>0</v>
      </c>
      <c r="BN112" s="70">
        <f t="shared" si="317"/>
        <v>0</v>
      </c>
      <c r="BO112" s="70">
        <f t="shared" si="317"/>
        <v>0</v>
      </c>
      <c r="BP112" s="70">
        <f t="shared" si="317"/>
        <v>0</v>
      </c>
      <c r="BQ112" s="70">
        <f t="shared" si="317"/>
        <v>0</v>
      </c>
      <c r="BR112" s="70">
        <f t="shared" si="317"/>
        <v>0</v>
      </c>
      <c r="BS112" s="1130">
        <f t="shared" si="317"/>
        <v>0</v>
      </c>
      <c r="BT112" s="1130"/>
      <c r="BU112" s="1130"/>
      <c r="BV112" s="1130"/>
      <c r="BW112" s="1130"/>
      <c r="BX112" s="1130"/>
      <c r="BY112" s="1130"/>
      <c r="BZ112" s="72">
        <f>SUM(BI112:BY112)</f>
        <v>0</v>
      </c>
      <c r="CA112" s="686">
        <f>AP112-BH112-BZ112</f>
        <v>0</v>
      </c>
      <c r="CB112" s="687">
        <f>X112*D112</f>
        <v>1500000</v>
      </c>
      <c r="CC112" s="688">
        <f>CB112-BH112-BZ112</f>
        <v>500000</v>
      </c>
      <c r="CD112" s="630">
        <f>SUM(V112/D112)</f>
        <v>0.66666666666666663</v>
      </c>
      <c r="CE112" s="1081"/>
      <c r="CF112" s="1081"/>
      <c r="CG112" s="1083"/>
      <c r="CH112" s="1084"/>
      <c r="CI112" s="862"/>
      <c r="CJ112" s="862"/>
      <c r="CK112" s="862"/>
      <c r="CL112" s="862"/>
      <c r="CM112" s="862"/>
      <c r="CN112" s="862"/>
      <c r="CO112" s="862"/>
      <c r="CP112" s="862"/>
      <c r="CQ112" s="1081">
        <f t="shared" si="307"/>
        <v>0</v>
      </c>
      <c r="CR112" s="862"/>
      <c r="CS112" s="862"/>
      <c r="CT112" s="862"/>
      <c r="CU112" s="73">
        <f t="shared" si="319"/>
        <v>0</v>
      </c>
      <c r="CV112" s="862"/>
      <c r="CW112" s="862"/>
      <c r="CX112" s="862"/>
      <c r="CY112" s="862"/>
      <c r="CZ112" s="862"/>
      <c r="DA112" s="862"/>
      <c r="DB112" s="862"/>
      <c r="DC112" s="862"/>
      <c r="DD112" s="1081"/>
      <c r="DE112" s="862"/>
      <c r="DF112" s="862"/>
      <c r="DG112" s="862"/>
      <c r="DH112" s="73">
        <f t="shared" si="320"/>
        <v>0</v>
      </c>
    </row>
    <row r="113" spans="1:118" s="37" customFormat="1" ht="24.75" customHeight="1" x14ac:dyDescent="0.2">
      <c r="A113" s="28"/>
      <c r="B113" s="723" t="s">
        <v>492</v>
      </c>
      <c r="C113" s="29"/>
      <c r="D113" s="726"/>
      <c r="E113" s="716"/>
      <c r="F113" s="30"/>
      <c r="G113" s="30"/>
      <c r="H113" s="30"/>
      <c r="I113" s="30"/>
      <c r="J113" s="30"/>
      <c r="K113" s="30"/>
      <c r="L113" s="30"/>
      <c r="M113" s="30"/>
      <c r="N113" s="1127"/>
      <c r="O113" s="30"/>
      <c r="P113" s="30"/>
      <c r="Q113" s="30"/>
      <c r="R113" s="30"/>
      <c r="S113" s="30"/>
      <c r="T113" s="30"/>
      <c r="U113" s="30"/>
      <c r="V113" s="31"/>
      <c r="W113" s="187"/>
      <c r="X113" s="727"/>
      <c r="Y113" s="691"/>
      <c r="Z113" s="685"/>
      <c r="AA113" s="685"/>
      <c r="AB113" s="685"/>
      <c r="AC113" s="685"/>
      <c r="AD113" s="685"/>
      <c r="AE113" s="685"/>
      <c r="AF113" s="685"/>
      <c r="AG113" s="685"/>
      <c r="AH113" s="685"/>
      <c r="AI113" s="1164"/>
      <c r="AJ113" s="1164"/>
      <c r="AK113" s="1164"/>
      <c r="AL113" s="1164"/>
      <c r="AM113" s="1164"/>
      <c r="AN113" s="1164"/>
      <c r="AO113" s="685"/>
      <c r="AP113" s="1306"/>
      <c r="AQ113" s="692"/>
      <c r="AR113" s="692"/>
      <c r="AS113" s="692"/>
      <c r="AT113" s="692"/>
      <c r="AU113" s="692"/>
      <c r="AV113" s="692"/>
      <c r="AW113" s="692"/>
      <c r="AX113" s="692"/>
      <c r="AY113" s="692"/>
      <c r="AZ113" s="692"/>
      <c r="BA113" s="692"/>
      <c r="BB113" s="692"/>
      <c r="BC113" s="692"/>
      <c r="BD113" s="692"/>
      <c r="BE113" s="692"/>
      <c r="BF113" s="692"/>
      <c r="BG113" s="692"/>
      <c r="BH113" s="693"/>
      <c r="BI113" s="692"/>
      <c r="BJ113" s="692"/>
      <c r="BK113" s="692"/>
      <c r="BL113" s="692"/>
      <c r="BM113" s="692"/>
      <c r="BN113" s="692"/>
      <c r="BO113" s="692"/>
      <c r="BP113" s="692"/>
      <c r="BQ113" s="692"/>
      <c r="BR113" s="692"/>
      <c r="BS113" s="1272"/>
      <c r="BT113" s="1272"/>
      <c r="BU113" s="1272"/>
      <c r="BV113" s="1272"/>
      <c r="BW113" s="1272"/>
      <c r="BX113" s="1272"/>
      <c r="BY113" s="1272"/>
      <c r="BZ113" s="694"/>
      <c r="CA113" s="686"/>
      <c r="CB113" s="687"/>
      <c r="CC113" s="688"/>
      <c r="CD113" s="630"/>
      <c r="CE113" s="1081"/>
      <c r="CF113" s="1081"/>
      <c r="CG113" s="1083"/>
      <c r="CH113" s="1084"/>
      <c r="CI113" s="862"/>
      <c r="CJ113" s="862"/>
      <c r="CK113" s="862"/>
      <c r="CL113" s="862"/>
      <c r="CM113" s="862"/>
      <c r="CN113" s="862"/>
      <c r="CO113" s="862"/>
      <c r="CP113" s="862"/>
      <c r="CQ113" s="1081">
        <f t="shared" si="307"/>
        <v>0</v>
      </c>
      <c r="CR113" s="862"/>
      <c r="CS113" s="862"/>
      <c r="CT113" s="862"/>
      <c r="CU113" s="73">
        <f t="shared" si="319"/>
        <v>0</v>
      </c>
      <c r="CV113" s="862"/>
      <c r="CW113" s="862"/>
      <c r="CX113" s="862"/>
      <c r="CY113" s="862"/>
      <c r="CZ113" s="862"/>
      <c r="DA113" s="862"/>
      <c r="DB113" s="862"/>
      <c r="DC113" s="862"/>
      <c r="DD113" s="1081"/>
      <c r="DE113" s="862"/>
      <c r="DF113" s="862"/>
      <c r="DG113" s="862"/>
      <c r="DH113" s="73">
        <f t="shared" si="320"/>
        <v>0</v>
      </c>
    </row>
    <row r="114" spans="1:118" s="37" customFormat="1" ht="24.75" customHeight="1" x14ac:dyDescent="0.2">
      <c r="A114" s="28"/>
      <c r="B114" s="724" t="s">
        <v>493</v>
      </c>
      <c r="C114" s="29" t="s">
        <v>128</v>
      </c>
      <c r="D114" s="725">
        <f>55*2</f>
        <v>110</v>
      </c>
      <c r="E114" s="716">
        <v>110</v>
      </c>
      <c r="F114" s="30"/>
      <c r="G114" s="30"/>
      <c r="H114" s="30"/>
      <c r="I114" s="30"/>
      <c r="J114" s="30"/>
      <c r="K114" s="30"/>
      <c r="L114" s="30"/>
      <c r="M114" s="30"/>
      <c r="N114" s="1127"/>
      <c r="O114" s="30"/>
      <c r="P114" s="30"/>
      <c r="Q114" s="30"/>
      <c r="R114" s="30"/>
      <c r="S114" s="30"/>
      <c r="T114" s="30"/>
      <c r="U114" s="30"/>
      <c r="V114" s="31">
        <f>SUM(E114:U114)</f>
        <v>110</v>
      </c>
      <c r="W114" s="801" t="s">
        <v>31</v>
      </c>
      <c r="X114" s="675">
        <v>10300</v>
      </c>
      <c r="Y114" s="718">
        <v>9000</v>
      </c>
      <c r="Z114" s="718"/>
      <c r="AA114" s="685"/>
      <c r="AB114" s="685"/>
      <c r="AC114" s="685"/>
      <c r="AD114" s="685"/>
      <c r="AE114" s="685"/>
      <c r="AF114" s="685"/>
      <c r="AG114" s="685"/>
      <c r="AH114" s="685"/>
      <c r="AI114" s="1164"/>
      <c r="AJ114" s="1164"/>
      <c r="AK114" s="1164"/>
      <c r="AL114" s="1164"/>
      <c r="AM114" s="1164"/>
      <c r="AN114" s="1164"/>
      <c r="AO114" s="685"/>
      <c r="AP114" s="1304">
        <f t="shared" ref="AP114:AP117" si="321">SUM(V114*X114)</f>
        <v>1133000</v>
      </c>
      <c r="AQ114" s="70">
        <f t="shared" si="312"/>
        <v>990000</v>
      </c>
      <c r="AR114" s="70">
        <f t="shared" si="313"/>
        <v>0</v>
      </c>
      <c r="AS114" s="70">
        <f t="shared" si="314"/>
        <v>0</v>
      </c>
      <c r="AT114" s="70">
        <f t="shared" ref="AT114:BA117" si="322">AB114*H114</f>
        <v>0</v>
      </c>
      <c r="AU114" s="70">
        <f t="shared" si="322"/>
        <v>0</v>
      </c>
      <c r="AV114" s="70">
        <f t="shared" si="322"/>
        <v>0</v>
      </c>
      <c r="AW114" s="70">
        <f t="shared" si="322"/>
        <v>0</v>
      </c>
      <c r="AX114" s="70">
        <f t="shared" si="322"/>
        <v>0</v>
      </c>
      <c r="AY114" s="70">
        <f t="shared" si="322"/>
        <v>0</v>
      </c>
      <c r="AZ114" s="70">
        <f t="shared" si="322"/>
        <v>0</v>
      </c>
      <c r="BA114" s="70">
        <f t="shared" si="322"/>
        <v>0</v>
      </c>
      <c r="BB114" s="70"/>
      <c r="BC114" s="70"/>
      <c r="BD114" s="70"/>
      <c r="BE114" s="70"/>
      <c r="BF114" s="70"/>
      <c r="BG114" s="70"/>
      <c r="BH114" s="71">
        <f>SUM(AQ114:BG114)</f>
        <v>990000</v>
      </c>
      <c r="BI114" s="70">
        <f t="shared" ref="BI114:BJ116" si="323">SUM(AQ114*4%)</f>
        <v>39600</v>
      </c>
      <c r="BJ114" s="70">
        <f t="shared" si="323"/>
        <v>0</v>
      </c>
      <c r="BK114" s="70">
        <f t="shared" ref="BK114:BS118" si="324">SUM(AS114*14%)</f>
        <v>0</v>
      </c>
      <c r="BL114" s="70">
        <f t="shared" si="324"/>
        <v>0</v>
      </c>
      <c r="BM114" s="70">
        <f t="shared" si="324"/>
        <v>0</v>
      </c>
      <c r="BN114" s="70">
        <f t="shared" si="324"/>
        <v>0</v>
      </c>
      <c r="BO114" s="70">
        <f t="shared" si="324"/>
        <v>0</v>
      </c>
      <c r="BP114" s="70">
        <f t="shared" si="324"/>
        <v>0</v>
      </c>
      <c r="BQ114" s="70">
        <f t="shared" si="324"/>
        <v>0</v>
      </c>
      <c r="BR114" s="70">
        <f t="shared" si="324"/>
        <v>0</v>
      </c>
      <c r="BS114" s="1130">
        <f t="shared" si="324"/>
        <v>0</v>
      </c>
      <c r="BT114" s="1130"/>
      <c r="BU114" s="1130"/>
      <c r="BV114" s="1130"/>
      <c r="BW114" s="1130"/>
      <c r="BX114" s="1130"/>
      <c r="BY114" s="1130"/>
      <c r="BZ114" s="72">
        <f>SUM(BI114:BY114)</f>
        <v>39600</v>
      </c>
      <c r="CA114" s="686">
        <f t="shared" ref="CA114:CA119" si="325">AP114-BH114-BZ114</f>
        <v>103400</v>
      </c>
      <c r="CB114" s="687">
        <f>X114*D114</f>
        <v>1133000</v>
      </c>
      <c r="CC114" s="688">
        <f>CB114-BH114-BZ114</f>
        <v>103400</v>
      </c>
      <c r="CD114" s="630">
        <f>SUM(V114/D114)</f>
        <v>1</v>
      </c>
      <c r="CE114" s="1081"/>
      <c r="CF114" s="1081"/>
      <c r="CG114" s="1083"/>
      <c r="CH114" s="1084"/>
      <c r="CI114" s="862"/>
      <c r="CJ114" s="862"/>
      <c r="CK114" s="862"/>
      <c r="CL114" s="862"/>
      <c r="CM114" s="862"/>
      <c r="CN114" s="862"/>
      <c r="CO114" s="862"/>
      <c r="CP114" s="862"/>
      <c r="CQ114" s="1081">
        <f t="shared" si="307"/>
        <v>0</v>
      </c>
      <c r="CR114" s="862"/>
      <c r="CS114" s="862"/>
      <c r="CT114" s="862"/>
      <c r="CU114" s="73">
        <f t="shared" si="319"/>
        <v>0</v>
      </c>
      <c r="CV114" s="862"/>
      <c r="CW114" s="862"/>
      <c r="CX114" s="862"/>
      <c r="CY114" s="862"/>
      <c r="CZ114" s="862"/>
      <c r="DA114" s="862"/>
      <c r="DB114" s="862"/>
      <c r="DC114" s="862"/>
      <c r="DD114" s="1081"/>
      <c r="DE114" s="862"/>
      <c r="DF114" s="862"/>
      <c r="DG114" s="862"/>
      <c r="DH114" s="73">
        <f t="shared" si="320"/>
        <v>0</v>
      </c>
    </row>
    <row r="115" spans="1:118" s="37" customFormat="1" ht="24.75" customHeight="1" x14ac:dyDescent="0.2">
      <c r="A115" s="28"/>
      <c r="B115" s="724" t="s">
        <v>494</v>
      </c>
      <c r="C115" s="29" t="s">
        <v>128</v>
      </c>
      <c r="D115" s="725">
        <v>110</v>
      </c>
      <c r="E115" s="716">
        <v>110</v>
      </c>
      <c r="F115" s="30"/>
      <c r="G115" s="30"/>
      <c r="H115" s="30"/>
      <c r="I115" s="30"/>
      <c r="J115" s="30"/>
      <c r="K115" s="30"/>
      <c r="L115" s="30"/>
      <c r="M115" s="30"/>
      <c r="N115" s="1127"/>
      <c r="O115" s="30"/>
      <c r="P115" s="30"/>
      <c r="Q115" s="30"/>
      <c r="R115" s="30"/>
      <c r="S115" s="30"/>
      <c r="T115" s="30"/>
      <c r="U115" s="30"/>
      <c r="V115" s="31">
        <f>SUM(E115:U115)</f>
        <v>110</v>
      </c>
      <c r="W115" s="801" t="s">
        <v>31</v>
      </c>
      <c r="X115" s="675">
        <v>28500</v>
      </c>
      <c r="Y115" s="719">
        <v>25000</v>
      </c>
      <c r="Z115" s="719"/>
      <c r="AA115" s="685"/>
      <c r="AB115" s="685"/>
      <c r="AC115" s="685"/>
      <c r="AD115" s="685"/>
      <c r="AE115" s="685"/>
      <c r="AF115" s="685"/>
      <c r="AG115" s="685"/>
      <c r="AH115" s="685"/>
      <c r="AI115" s="1164"/>
      <c r="AJ115" s="1164"/>
      <c r="AK115" s="1164"/>
      <c r="AL115" s="1164"/>
      <c r="AM115" s="1164"/>
      <c r="AN115" s="1164"/>
      <c r="AO115" s="685"/>
      <c r="AP115" s="1304">
        <f t="shared" si="321"/>
        <v>3135000</v>
      </c>
      <c r="AQ115" s="70">
        <f t="shared" si="312"/>
        <v>2750000</v>
      </c>
      <c r="AR115" s="70">
        <f t="shared" si="313"/>
        <v>0</v>
      </c>
      <c r="AS115" s="70">
        <f t="shared" si="314"/>
        <v>0</v>
      </c>
      <c r="AT115" s="70">
        <f t="shared" si="322"/>
        <v>0</v>
      </c>
      <c r="AU115" s="70">
        <f t="shared" si="322"/>
        <v>0</v>
      </c>
      <c r="AV115" s="70">
        <f t="shared" si="322"/>
        <v>0</v>
      </c>
      <c r="AW115" s="70">
        <f t="shared" si="322"/>
        <v>0</v>
      </c>
      <c r="AX115" s="70">
        <f t="shared" si="322"/>
        <v>0</v>
      </c>
      <c r="AY115" s="70">
        <f t="shared" si="322"/>
        <v>0</v>
      </c>
      <c r="AZ115" s="70">
        <f t="shared" si="322"/>
        <v>0</v>
      </c>
      <c r="BA115" s="70">
        <f t="shared" si="322"/>
        <v>0</v>
      </c>
      <c r="BB115" s="70"/>
      <c r="BC115" s="70"/>
      <c r="BD115" s="70"/>
      <c r="BE115" s="70"/>
      <c r="BF115" s="70"/>
      <c r="BG115" s="70"/>
      <c r="BH115" s="71">
        <f>SUM(AQ115:BG115)</f>
        <v>2750000</v>
      </c>
      <c r="BI115" s="70">
        <f t="shared" si="323"/>
        <v>110000</v>
      </c>
      <c r="BJ115" s="70">
        <f t="shared" si="323"/>
        <v>0</v>
      </c>
      <c r="BK115" s="70">
        <f t="shared" si="324"/>
        <v>0</v>
      </c>
      <c r="BL115" s="70">
        <f t="shared" si="324"/>
        <v>0</v>
      </c>
      <c r="BM115" s="70">
        <f t="shared" si="324"/>
        <v>0</v>
      </c>
      <c r="BN115" s="70">
        <f t="shared" si="324"/>
        <v>0</v>
      </c>
      <c r="BO115" s="70">
        <f t="shared" si="324"/>
        <v>0</v>
      </c>
      <c r="BP115" s="70">
        <f t="shared" si="324"/>
        <v>0</v>
      </c>
      <c r="BQ115" s="70">
        <f t="shared" si="324"/>
        <v>0</v>
      </c>
      <c r="BR115" s="70">
        <f t="shared" si="324"/>
        <v>0</v>
      </c>
      <c r="BS115" s="1130">
        <f t="shared" si="324"/>
        <v>0</v>
      </c>
      <c r="BT115" s="1130"/>
      <c r="BU115" s="1130"/>
      <c r="BV115" s="1130"/>
      <c r="BW115" s="1130"/>
      <c r="BX115" s="1130"/>
      <c r="BY115" s="1130"/>
      <c r="BZ115" s="72">
        <f>SUM(BI115:BY115)</f>
        <v>110000</v>
      </c>
      <c r="CA115" s="686">
        <f t="shared" si="325"/>
        <v>275000</v>
      </c>
      <c r="CB115" s="687">
        <f>X115*D115</f>
        <v>3135000</v>
      </c>
      <c r="CC115" s="688">
        <f>CB115-BH115-BZ115</f>
        <v>275000</v>
      </c>
      <c r="CD115" s="630">
        <f>SUM(V115/D115)</f>
        <v>1</v>
      </c>
      <c r="CE115" s="1081"/>
      <c r="CF115" s="1081"/>
      <c r="CG115" s="1083"/>
      <c r="CH115" s="1084"/>
      <c r="CI115" s="862"/>
      <c r="CJ115" s="862"/>
      <c r="CK115" s="862"/>
      <c r="CL115" s="862"/>
      <c r="CM115" s="862"/>
      <c r="CN115" s="862"/>
      <c r="CO115" s="862"/>
      <c r="CP115" s="862"/>
      <c r="CQ115" s="1081">
        <f t="shared" si="307"/>
        <v>0</v>
      </c>
      <c r="CR115" s="862"/>
      <c r="CS115" s="862"/>
      <c r="CT115" s="862"/>
      <c r="CU115" s="73">
        <f t="shared" si="319"/>
        <v>0</v>
      </c>
      <c r="CV115" s="862"/>
      <c r="CW115" s="862"/>
      <c r="CX115" s="862"/>
      <c r="CY115" s="862"/>
      <c r="CZ115" s="862"/>
      <c r="DA115" s="862"/>
      <c r="DB115" s="862"/>
      <c r="DC115" s="862"/>
      <c r="DD115" s="1081"/>
      <c r="DE115" s="862"/>
      <c r="DF115" s="862"/>
      <c r="DG115" s="862"/>
      <c r="DH115" s="73">
        <f t="shared" si="320"/>
        <v>0</v>
      </c>
    </row>
    <row r="116" spans="1:118" s="37" customFormat="1" ht="32.25" customHeight="1" x14ac:dyDescent="0.2">
      <c r="A116" s="28"/>
      <c r="B116" s="672" t="s">
        <v>32</v>
      </c>
      <c r="C116" s="29" t="s">
        <v>128</v>
      </c>
      <c r="D116" s="689">
        <v>2</v>
      </c>
      <c r="E116" s="721">
        <v>2</v>
      </c>
      <c r="F116" s="30"/>
      <c r="G116" s="30"/>
      <c r="H116" s="30"/>
      <c r="I116" s="30"/>
      <c r="J116" s="30"/>
      <c r="K116" s="30"/>
      <c r="L116" s="30"/>
      <c r="M116" s="30"/>
      <c r="N116" s="1127"/>
      <c r="O116" s="30"/>
      <c r="P116" s="30"/>
      <c r="Q116" s="30"/>
      <c r="R116" s="30"/>
      <c r="S116" s="30"/>
      <c r="T116" s="30"/>
      <c r="U116" s="30"/>
      <c r="V116" s="31">
        <f>SUM(E116:U116)</f>
        <v>2</v>
      </c>
      <c r="W116" s="801" t="s">
        <v>16</v>
      </c>
      <c r="X116" s="675">
        <v>35000</v>
      </c>
      <c r="Y116" s="691">
        <v>30000</v>
      </c>
      <c r="Z116" s="691"/>
      <c r="AA116" s="685"/>
      <c r="AB116" s="685"/>
      <c r="AC116" s="685"/>
      <c r="AD116" s="685"/>
      <c r="AE116" s="685"/>
      <c r="AF116" s="685"/>
      <c r="AG116" s="685"/>
      <c r="AH116" s="685"/>
      <c r="AI116" s="1164"/>
      <c r="AJ116" s="1164"/>
      <c r="AK116" s="1164"/>
      <c r="AL116" s="1164"/>
      <c r="AM116" s="1164"/>
      <c r="AN116" s="1164"/>
      <c r="AO116" s="685"/>
      <c r="AP116" s="1304">
        <f t="shared" si="321"/>
        <v>70000</v>
      </c>
      <c r="AQ116" s="70">
        <f t="shared" si="312"/>
        <v>60000</v>
      </c>
      <c r="AR116" s="70">
        <f t="shared" si="313"/>
        <v>0</v>
      </c>
      <c r="AS116" s="70">
        <f t="shared" si="314"/>
        <v>0</v>
      </c>
      <c r="AT116" s="70">
        <f t="shared" si="322"/>
        <v>0</v>
      </c>
      <c r="AU116" s="70">
        <f t="shared" si="322"/>
        <v>0</v>
      </c>
      <c r="AV116" s="70">
        <f t="shared" si="322"/>
        <v>0</v>
      </c>
      <c r="AW116" s="70">
        <f t="shared" si="322"/>
        <v>0</v>
      </c>
      <c r="AX116" s="70">
        <f t="shared" si="322"/>
        <v>0</v>
      </c>
      <c r="AY116" s="70">
        <f t="shared" si="322"/>
        <v>0</v>
      </c>
      <c r="AZ116" s="70">
        <f t="shared" si="322"/>
        <v>0</v>
      </c>
      <c r="BA116" s="70">
        <f t="shared" si="322"/>
        <v>0</v>
      </c>
      <c r="BB116" s="70"/>
      <c r="BC116" s="70"/>
      <c r="BD116" s="70"/>
      <c r="BE116" s="70"/>
      <c r="BF116" s="70"/>
      <c r="BG116" s="70"/>
      <c r="BH116" s="71">
        <f>SUM(AQ116:BG116)</f>
        <v>60000</v>
      </c>
      <c r="BI116" s="70">
        <f t="shared" si="323"/>
        <v>2400</v>
      </c>
      <c r="BJ116" s="70">
        <f t="shared" si="323"/>
        <v>0</v>
      </c>
      <c r="BK116" s="70">
        <f t="shared" si="324"/>
        <v>0</v>
      </c>
      <c r="BL116" s="70">
        <f t="shared" si="324"/>
        <v>0</v>
      </c>
      <c r="BM116" s="70">
        <f t="shared" si="324"/>
        <v>0</v>
      </c>
      <c r="BN116" s="70">
        <f t="shared" si="324"/>
        <v>0</v>
      </c>
      <c r="BO116" s="70">
        <f t="shared" si="324"/>
        <v>0</v>
      </c>
      <c r="BP116" s="70">
        <f t="shared" si="324"/>
        <v>0</v>
      </c>
      <c r="BQ116" s="70">
        <f t="shared" si="324"/>
        <v>0</v>
      </c>
      <c r="BR116" s="70">
        <f t="shared" si="324"/>
        <v>0</v>
      </c>
      <c r="BS116" s="1130">
        <f t="shared" si="324"/>
        <v>0</v>
      </c>
      <c r="BT116" s="1130"/>
      <c r="BU116" s="1130"/>
      <c r="BV116" s="1130"/>
      <c r="BW116" s="1130"/>
      <c r="BX116" s="1130"/>
      <c r="BY116" s="1130"/>
      <c r="BZ116" s="72">
        <f>SUM(BI116:BY116)</f>
        <v>2400</v>
      </c>
      <c r="CA116" s="686">
        <f t="shared" si="325"/>
        <v>7600</v>
      </c>
      <c r="CB116" s="687">
        <f>X116*D116</f>
        <v>70000</v>
      </c>
      <c r="CC116" s="688">
        <f>CB116-BH116-BZ116</f>
        <v>7600</v>
      </c>
      <c r="CD116" s="630">
        <f>SUM(V116/D116)</f>
        <v>1</v>
      </c>
      <c r="CE116" s="1081"/>
      <c r="CF116" s="1081"/>
      <c r="CG116" s="1083"/>
      <c r="CH116" s="1084"/>
      <c r="CI116" s="862"/>
      <c r="CJ116" s="862"/>
      <c r="CK116" s="862"/>
      <c r="CL116" s="862"/>
      <c r="CM116" s="862"/>
      <c r="CN116" s="862"/>
      <c r="CO116" s="862"/>
      <c r="CP116" s="862"/>
      <c r="CQ116" s="1081">
        <f t="shared" si="307"/>
        <v>0</v>
      </c>
      <c r="CR116" s="862"/>
      <c r="CS116" s="862"/>
      <c r="CT116" s="862"/>
      <c r="CU116" s="73">
        <f t="shared" si="319"/>
        <v>0</v>
      </c>
      <c r="CV116" s="862"/>
      <c r="CW116" s="862"/>
      <c r="CX116" s="862"/>
      <c r="CY116" s="862"/>
      <c r="CZ116" s="862"/>
      <c r="DA116" s="862"/>
      <c r="DB116" s="862"/>
      <c r="DC116" s="862"/>
      <c r="DD116" s="1081"/>
      <c r="DE116" s="862"/>
      <c r="DF116" s="862"/>
      <c r="DG116" s="862"/>
      <c r="DH116" s="73">
        <f t="shared" si="320"/>
        <v>0</v>
      </c>
    </row>
    <row r="117" spans="1:118" s="37" customFormat="1" ht="24.75" customHeight="1" x14ac:dyDescent="0.2">
      <c r="A117" s="28"/>
      <c r="B117" s="722" t="s">
        <v>495</v>
      </c>
      <c r="C117" s="29" t="s">
        <v>128</v>
      </c>
      <c r="D117" s="725">
        <v>4</v>
      </c>
      <c r="E117" s="716">
        <v>4</v>
      </c>
      <c r="F117" s="30"/>
      <c r="G117" s="30"/>
      <c r="H117" s="30"/>
      <c r="I117" s="30"/>
      <c r="J117" s="30"/>
      <c r="K117" s="30"/>
      <c r="L117" s="30"/>
      <c r="M117" s="30"/>
      <c r="N117" s="1127"/>
      <c r="O117" s="30"/>
      <c r="P117" s="30"/>
      <c r="Q117" s="30"/>
      <c r="R117" s="30"/>
      <c r="S117" s="30"/>
      <c r="T117" s="30"/>
      <c r="U117" s="30"/>
      <c r="V117" s="31">
        <f>SUM(E117:U117)</f>
        <v>4</v>
      </c>
      <c r="W117" s="801" t="s">
        <v>35</v>
      </c>
      <c r="X117" s="675">
        <v>350000</v>
      </c>
      <c r="Y117" s="691">
        <v>350000</v>
      </c>
      <c r="Z117" s="691"/>
      <c r="AA117" s="685"/>
      <c r="AB117" s="685"/>
      <c r="AC117" s="685"/>
      <c r="AD117" s="685"/>
      <c r="AE117" s="685"/>
      <c r="AF117" s="685"/>
      <c r="AG117" s="685"/>
      <c r="AH117" s="685"/>
      <c r="AI117" s="1164"/>
      <c r="AJ117" s="1164"/>
      <c r="AK117" s="1164"/>
      <c r="AL117" s="1164"/>
      <c r="AM117" s="1164"/>
      <c r="AN117" s="1164"/>
      <c r="AO117" s="685"/>
      <c r="AP117" s="1304">
        <f t="shared" si="321"/>
        <v>1400000</v>
      </c>
      <c r="AQ117" s="70">
        <f t="shared" si="312"/>
        <v>1400000</v>
      </c>
      <c r="AR117" s="70">
        <f t="shared" si="313"/>
        <v>0</v>
      </c>
      <c r="AS117" s="70">
        <f t="shared" si="314"/>
        <v>0</v>
      </c>
      <c r="AT117" s="70">
        <f t="shared" si="322"/>
        <v>0</v>
      </c>
      <c r="AU117" s="70">
        <f t="shared" si="322"/>
        <v>0</v>
      </c>
      <c r="AV117" s="70">
        <f t="shared" si="322"/>
        <v>0</v>
      </c>
      <c r="AW117" s="70">
        <f t="shared" si="322"/>
        <v>0</v>
      </c>
      <c r="AX117" s="70">
        <f t="shared" si="322"/>
        <v>0</v>
      </c>
      <c r="AY117" s="70">
        <f t="shared" si="322"/>
        <v>0</v>
      </c>
      <c r="AZ117" s="70">
        <f t="shared" si="322"/>
        <v>0</v>
      </c>
      <c r="BA117" s="70">
        <f t="shared" si="322"/>
        <v>0</v>
      </c>
      <c r="BB117" s="70"/>
      <c r="BC117" s="70"/>
      <c r="BD117" s="70"/>
      <c r="BE117" s="70"/>
      <c r="BF117" s="70"/>
      <c r="BG117" s="70"/>
      <c r="BH117" s="71">
        <f>SUM(AQ117:BG117)</f>
        <v>1400000</v>
      </c>
      <c r="BI117" s="70"/>
      <c r="BJ117" s="70">
        <f>SUM(AR117*4%)</f>
        <v>0</v>
      </c>
      <c r="BK117" s="70">
        <f t="shared" si="324"/>
        <v>0</v>
      </c>
      <c r="BL117" s="70">
        <f t="shared" si="324"/>
        <v>0</v>
      </c>
      <c r="BM117" s="70">
        <f t="shared" si="324"/>
        <v>0</v>
      </c>
      <c r="BN117" s="70">
        <f t="shared" si="324"/>
        <v>0</v>
      </c>
      <c r="BO117" s="70">
        <f t="shared" si="324"/>
        <v>0</v>
      </c>
      <c r="BP117" s="70">
        <f t="shared" si="324"/>
        <v>0</v>
      </c>
      <c r="BQ117" s="70">
        <f t="shared" si="324"/>
        <v>0</v>
      </c>
      <c r="BR117" s="70">
        <f t="shared" si="324"/>
        <v>0</v>
      </c>
      <c r="BS117" s="1130">
        <f t="shared" si="324"/>
        <v>0</v>
      </c>
      <c r="BT117" s="1130"/>
      <c r="BU117" s="1130"/>
      <c r="BV117" s="1130"/>
      <c r="BW117" s="1130"/>
      <c r="BX117" s="1130"/>
      <c r="BY117" s="1130"/>
      <c r="BZ117" s="72">
        <f>SUM(BI117:BY117)</f>
        <v>0</v>
      </c>
      <c r="CA117" s="686">
        <f t="shared" si="325"/>
        <v>0</v>
      </c>
      <c r="CB117" s="687">
        <f>X117*D117</f>
        <v>1400000</v>
      </c>
      <c r="CC117" s="688">
        <f>CB117-BH117-BZ117</f>
        <v>0</v>
      </c>
      <c r="CD117" s="630">
        <f>SUM(V117/D117)</f>
        <v>1</v>
      </c>
      <c r="CE117" s="1081"/>
      <c r="CF117" s="1081"/>
      <c r="CG117" s="1083"/>
      <c r="CH117" s="1084"/>
      <c r="CI117" s="862"/>
      <c r="CJ117" s="862"/>
      <c r="CK117" s="862"/>
      <c r="CL117" s="862"/>
      <c r="CM117" s="862"/>
      <c r="CN117" s="862"/>
      <c r="CO117" s="862"/>
      <c r="CP117" s="862"/>
      <c r="CQ117" s="1081">
        <f t="shared" si="307"/>
        <v>0</v>
      </c>
      <c r="CR117" s="862"/>
      <c r="CS117" s="862"/>
      <c r="CT117" s="862"/>
      <c r="CU117" s="73">
        <f t="shared" si="319"/>
        <v>0</v>
      </c>
      <c r="CV117" s="862"/>
      <c r="CW117" s="862"/>
      <c r="CX117" s="862"/>
      <c r="CY117" s="862"/>
      <c r="CZ117" s="862"/>
      <c r="DA117" s="862"/>
      <c r="DB117" s="862"/>
      <c r="DC117" s="862"/>
      <c r="DD117" s="1081"/>
      <c r="DE117" s="862"/>
      <c r="DF117" s="862"/>
      <c r="DG117" s="862"/>
      <c r="DH117" s="73">
        <f t="shared" si="320"/>
        <v>0</v>
      </c>
    </row>
    <row r="118" spans="1:118" s="37" customFormat="1" ht="24.75" customHeight="1" thickBot="1" x14ac:dyDescent="0.25">
      <c r="A118" s="28"/>
      <c r="B118" s="722" t="s">
        <v>136</v>
      </c>
      <c r="C118" s="29" t="s">
        <v>128</v>
      </c>
      <c r="D118" s="725">
        <v>8</v>
      </c>
      <c r="E118" s="683">
        <v>7</v>
      </c>
      <c r="F118" s="30"/>
      <c r="G118" s="30"/>
      <c r="H118" s="30"/>
      <c r="I118" s="30"/>
      <c r="J118" s="30"/>
      <c r="K118" s="30"/>
      <c r="L118" s="30"/>
      <c r="M118" s="30"/>
      <c r="N118" s="1127"/>
      <c r="O118" s="30"/>
      <c r="P118" s="30"/>
      <c r="Q118" s="30"/>
      <c r="R118" s="30"/>
      <c r="S118" s="30"/>
      <c r="T118" s="30"/>
      <c r="U118" s="30"/>
      <c r="V118" s="31">
        <f>SUM(E118:U118)</f>
        <v>7</v>
      </c>
      <c r="W118" s="801" t="s">
        <v>35</v>
      </c>
      <c r="X118" s="675">
        <v>250000</v>
      </c>
      <c r="Y118" s="691">
        <v>250000</v>
      </c>
      <c r="Z118" s="685"/>
      <c r="AA118" s="685"/>
      <c r="AB118" s="685"/>
      <c r="AC118" s="685"/>
      <c r="AD118" s="685"/>
      <c r="AE118" s="685"/>
      <c r="AF118" s="685"/>
      <c r="AG118" s="685"/>
      <c r="AH118" s="685"/>
      <c r="AI118" s="1164"/>
      <c r="AJ118" s="1164"/>
      <c r="AK118" s="1164"/>
      <c r="AL118" s="1164"/>
      <c r="AM118" s="1164"/>
      <c r="AN118" s="1164"/>
      <c r="AO118" s="685"/>
      <c r="AP118" s="1304">
        <f t="shared" ref="AP118" si="326">SUM(V118*X118)</f>
        <v>1750000</v>
      </c>
      <c r="AQ118" s="70">
        <f t="shared" ref="AQ118" si="327">Y118*E118</f>
        <v>1750000</v>
      </c>
      <c r="AR118" s="70">
        <f t="shared" ref="AR118" si="328">Z118*F118</f>
        <v>0</v>
      </c>
      <c r="AS118" s="70">
        <f t="shared" ref="AS118" si="329">AA118*G118</f>
        <v>0</v>
      </c>
      <c r="AT118" s="70">
        <f t="shared" ref="AT118" si="330">AB118*H118</f>
        <v>0</v>
      </c>
      <c r="AU118" s="70">
        <f t="shared" ref="AU118" si="331">AC118*I118</f>
        <v>0</v>
      </c>
      <c r="AV118" s="70">
        <f t="shared" ref="AV118" si="332">AD118*J118</f>
        <v>0</v>
      </c>
      <c r="AW118" s="70">
        <f t="shared" ref="AW118" si="333">AE118*K118</f>
        <v>0</v>
      </c>
      <c r="AX118" s="70">
        <f t="shared" ref="AX118" si="334">AF118*L118</f>
        <v>0</v>
      </c>
      <c r="AY118" s="70">
        <f t="shared" ref="AY118" si="335">AG118*M118</f>
        <v>0</v>
      </c>
      <c r="AZ118" s="70">
        <f t="shared" ref="AZ118" si="336">AH118*N118</f>
        <v>0</v>
      </c>
      <c r="BA118" s="70">
        <f t="shared" ref="BA118" si="337">AI118*O118</f>
        <v>0</v>
      </c>
      <c r="BB118" s="70"/>
      <c r="BC118" s="70"/>
      <c r="BD118" s="70"/>
      <c r="BE118" s="70"/>
      <c r="BF118" s="70"/>
      <c r="BG118" s="70"/>
      <c r="BH118" s="71">
        <f>SUM(AQ118:BG118)</f>
        <v>1750000</v>
      </c>
      <c r="BI118" s="70"/>
      <c r="BJ118" s="70">
        <f>SUM(AR118*14%)</f>
        <v>0</v>
      </c>
      <c r="BK118" s="70">
        <f t="shared" si="324"/>
        <v>0</v>
      </c>
      <c r="BL118" s="70">
        <f t="shared" si="324"/>
        <v>0</v>
      </c>
      <c r="BM118" s="70">
        <f t="shared" si="324"/>
        <v>0</v>
      </c>
      <c r="BN118" s="70">
        <f t="shared" si="324"/>
        <v>0</v>
      </c>
      <c r="BO118" s="70">
        <f t="shared" si="324"/>
        <v>0</v>
      </c>
      <c r="BP118" s="70">
        <f t="shared" si="324"/>
        <v>0</v>
      </c>
      <c r="BQ118" s="70">
        <f t="shared" si="324"/>
        <v>0</v>
      </c>
      <c r="BR118" s="70">
        <f t="shared" si="324"/>
        <v>0</v>
      </c>
      <c r="BS118" s="1130">
        <f t="shared" si="324"/>
        <v>0</v>
      </c>
      <c r="BT118" s="1130"/>
      <c r="BU118" s="1130"/>
      <c r="BV118" s="1130"/>
      <c r="BW118" s="1130"/>
      <c r="BX118" s="1130"/>
      <c r="BY118" s="1130"/>
      <c r="BZ118" s="72">
        <f>SUM(BI118:BY118)</f>
        <v>0</v>
      </c>
      <c r="CA118" s="686">
        <f t="shared" si="325"/>
        <v>0</v>
      </c>
      <c r="CB118" s="687">
        <f>X118*D118</f>
        <v>2000000</v>
      </c>
      <c r="CC118" s="688">
        <f>CB118-BH118-BZ118</f>
        <v>250000</v>
      </c>
      <c r="CD118" s="630">
        <f>SUM(V118/D118)</f>
        <v>0.875</v>
      </c>
      <c r="CE118" s="1081"/>
      <c r="CF118" s="1081"/>
      <c r="CG118" s="1083"/>
      <c r="CH118" s="1084"/>
      <c r="CI118" s="862"/>
      <c r="CJ118" s="862"/>
      <c r="CK118" s="862"/>
      <c r="CL118" s="862"/>
      <c r="CM118" s="862"/>
      <c r="CN118" s="862"/>
      <c r="CO118" s="862"/>
      <c r="CP118" s="862"/>
      <c r="CQ118" s="1081">
        <f t="shared" si="307"/>
        <v>0</v>
      </c>
      <c r="CR118" s="862"/>
      <c r="CS118" s="862"/>
      <c r="CT118" s="862"/>
      <c r="CU118" s="73">
        <f t="shared" si="319"/>
        <v>0</v>
      </c>
      <c r="CV118" s="862"/>
      <c r="CW118" s="862"/>
      <c r="CX118" s="862"/>
      <c r="CY118" s="862"/>
      <c r="CZ118" s="862"/>
      <c r="DA118" s="862"/>
      <c r="DB118" s="862"/>
      <c r="DC118" s="862"/>
      <c r="DD118" s="1081"/>
      <c r="DE118" s="862"/>
      <c r="DF118" s="862"/>
      <c r="DG118" s="862"/>
      <c r="DH118" s="73">
        <f t="shared" si="320"/>
        <v>0</v>
      </c>
    </row>
    <row r="119" spans="1:118" s="38" customFormat="1" ht="24.75" customHeight="1" thickBot="1" x14ac:dyDescent="0.25">
      <c r="A119" s="577">
        <v>6</v>
      </c>
      <c r="B119" s="44" t="s">
        <v>4</v>
      </c>
      <c r="C119" s="44"/>
      <c r="D119" s="222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7"/>
      <c r="W119" s="77"/>
      <c r="X119" s="101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3">
        <f t="shared" ref="AP119:BZ119" si="338">SUM(AP108:AP118)</f>
        <v>10304000</v>
      </c>
      <c r="AQ119" s="1588">
        <f>SUM(AQ108:AQ118)</f>
        <v>6950000</v>
      </c>
      <c r="AR119" s="1588">
        <f t="shared" si="338"/>
        <v>2590000</v>
      </c>
      <c r="AS119" s="103">
        <f t="shared" si="338"/>
        <v>0</v>
      </c>
      <c r="AT119" s="103">
        <f t="shared" si="338"/>
        <v>0</v>
      </c>
      <c r="AU119" s="103">
        <f t="shared" si="338"/>
        <v>0</v>
      </c>
      <c r="AV119" s="103">
        <f t="shared" si="338"/>
        <v>0</v>
      </c>
      <c r="AW119" s="103">
        <f t="shared" si="338"/>
        <v>0</v>
      </c>
      <c r="AX119" s="103">
        <f t="shared" si="338"/>
        <v>0</v>
      </c>
      <c r="AY119" s="103">
        <f t="shared" si="338"/>
        <v>0</v>
      </c>
      <c r="AZ119" s="103">
        <f t="shared" si="338"/>
        <v>0</v>
      </c>
      <c r="BA119" s="103">
        <f t="shared" si="338"/>
        <v>0</v>
      </c>
      <c r="BB119" s="103"/>
      <c r="BC119" s="103"/>
      <c r="BD119" s="103"/>
      <c r="BE119" s="103"/>
      <c r="BF119" s="103"/>
      <c r="BG119" s="103"/>
      <c r="BH119" s="103">
        <f t="shared" si="338"/>
        <v>9540000</v>
      </c>
      <c r="BI119" s="103">
        <f t="shared" si="338"/>
        <v>152000</v>
      </c>
      <c r="BJ119" s="103">
        <f t="shared" si="338"/>
        <v>63600</v>
      </c>
      <c r="BK119" s="103">
        <f t="shared" si="338"/>
        <v>0</v>
      </c>
      <c r="BL119" s="103">
        <f t="shared" si="338"/>
        <v>0</v>
      </c>
      <c r="BM119" s="103">
        <f t="shared" si="338"/>
        <v>0</v>
      </c>
      <c r="BN119" s="103">
        <f t="shared" si="338"/>
        <v>0</v>
      </c>
      <c r="BO119" s="103">
        <f t="shared" si="338"/>
        <v>0</v>
      </c>
      <c r="BP119" s="103">
        <f t="shared" si="338"/>
        <v>0</v>
      </c>
      <c r="BQ119" s="103">
        <f t="shared" si="338"/>
        <v>0</v>
      </c>
      <c r="BR119" s="103">
        <f t="shared" si="338"/>
        <v>0</v>
      </c>
      <c r="BS119" s="103">
        <f t="shared" si="338"/>
        <v>0</v>
      </c>
      <c r="BT119" s="103"/>
      <c r="BU119" s="103"/>
      <c r="BV119" s="103"/>
      <c r="BW119" s="103"/>
      <c r="BX119" s="103"/>
      <c r="BY119" s="103"/>
      <c r="BZ119" s="103">
        <f t="shared" si="338"/>
        <v>215600</v>
      </c>
      <c r="CA119" s="104">
        <f t="shared" si="325"/>
        <v>548400</v>
      </c>
      <c r="CB119" s="103">
        <f>SUM(CB108:CB118)</f>
        <v>11054000</v>
      </c>
      <c r="CC119" s="103">
        <f>SUM(CC108:CC118)</f>
        <v>1298400</v>
      </c>
      <c r="CD119" s="164">
        <v>1</v>
      </c>
      <c r="CE119" s="1083"/>
      <c r="CF119" s="1083"/>
      <c r="CG119" s="1083"/>
      <c r="CH119" s="1084"/>
      <c r="CI119" s="862"/>
      <c r="CJ119" s="862"/>
      <c r="CK119" s="862"/>
      <c r="CL119" s="862"/>
      <c r="CM119" s="862"/>
      <c r="CN119" s="862"/>
      <c r="CO119" s="862"/>
      <c r="CP119" s="862"/>
      <c r="CQ119" s="1081">
        <f t="shared" si="307"/>
        <v>0</v>
      </c>
      <c r="CR119" s="862"/>
      <c r="CS119" s="862"/>
      <c r="CT119" s="862"/>
      <c r="CU119" s="73">
        <f t="shared" ref="CU119" si="339">SUM(CI119:CT119)</f>
        <v>0</v>
      </c>
      <c r="CV119" s="862"/>
      <c r="CW119" s="862"/>
      <c r="CX119" s="862"/>
      <c r="CY119" s="862"/>
      <c r="CZ119" s="862"/>
      <c r="DA119" s="862"/>
      <c r="DB119" s="862"/>
      <c r="DC119" s="862"/>
      <c r="DD119" s="1081"/>
      <c r="DE119" s="862"/>
      <c r="DF119" s="862"/>
      <c r="DG119" s="862"/>
      <c r="DH119" s="73">
        <f t="shared" ref="DH119" si="340">SUM(CV119:DG119)</f>
        <v>0</v>
      </c>
    </row>
    <row r="120" spans="1:118" s="20" customFormat="1" ht="24.75" customHeight="1" x14ac:dyDescent="0.2">
      <c r="A120" s="50"/>
      <c r="D120" s="223"/>
      <c r="E120" s="50"/>
      <c r="F120" s="50"/>
      <c r="G120" s="50"/>
      <c r="H120" s="50"/>
      <c r="I120" s="50"/>
      <c r="J120" s="50"/>
      <c r="K120" s="50"/>
      <c r="L120" s="50"/>
      <c r="M120" s="50"/>
      <c r="N120" s="165"/>
      <c r="O120" s="50"/>
      <c r="P120" s="50"/>
      <c r="Q120" s="50"/>
      <c r="R120" s="50"/>
      <c r="S120" s="50"/>
      <c r="T120" s="50"/>
      <c r="U120" s="50"/>
      <c r="V120" s="50"/>
      <c r="W120" s="50"/>
      <c r="AI120" s="40"/>
      <c r="AJ120" s="40"/>
      <c r="AK120" s="40"/>
      <c r="AL120" s="40"/>
      <c r="AM120" s="40"/>
      <c r="AN120" s="40"/>
      <c r="AO120" s="40"/>
      <c r="BH120" s="51"/>
      <c r="BS120" s="40"/>
      <c r="BT120" s="40"/>
      <c r="BU120" s="40"/>
      <c r="BV120" s="40"/>
      <c r="BW120" s="40"/>
      <c r="BX120" s="40"/>
      <c r="BY120" s="40"/>
      <c r="BZ120" s="52">
        <f>SUM(BH119+BZ119)</f>
        <v>9755600</v>
      </c>
      <c r="CA120" s="53">
        <f>AP119-BH119-BZ119</f>
        <v>548400</v>
      </c>
      <c r="CB120" s="54">
        <f>SUM(CC119+BH119+BZ119)</f>
        <v>11054000</v>
      </c>
      <c r="CC120" s="55">
        <f>SUM(CA119)</f>
        <v>548400</v>
      </c>
      <c r="CD120" s="40" t="s">
        <v>38</v>
      </c>
      <c r="CE120" s="171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</row>
    <row r="121" spans="1:118" s="20" customFormat="1" ht="24.75" customHeight="1" x14ac:dyDescent="0.2">
      <c r="A121" s="50"/>
      <c r="D121" s="223"/>
      <c r="E121" s="50"/>
      <c r="F121" s="50"/>
      <c r="G121" s="50"/>
      <c r="H121" s="50"/>
      <c r="I121" s="50"/>
      <c r="J121" s="50"/>
      <c r="K121" s="50"/>
      <c r="L121" s="50"/>
      <c r="M121" s="50"/>
      <c r="N121" s="165"/>
      <c r="O121" s="50"/>
      <c r="P121" s="50"/>
      <c r="Q121" s="50"/>
      <c r="R121" s="50"/>
      <c r="S121" s="50"/>
      <c r="T121" s="50"/>
      <c r="U121" s="50"/>
      <c r="V121" s="50"/>
      <c r="W121" s="50"/>
      <c r="AI121" s="40"/>
      <c r="AJ121" s="40"/>
      <c r="AK121" s="40"/>
      <c r="AL121" s="40"/>
      <c r="AM121" s="40"/>
      <c r="AN121" s="40"/>
      <c r="AO121" s="40"/>
      <c r="BH121" s="40"/>
      <c r="BI121" s="123">
        <f t="shared" ref="BI121:BS121" si="341">SUM(AQ119+BI119)</f>
        <v>7102000</v>
      </c>
      <c r="BJ121" s="123">
        <f t="shared" si="341"/>
        <v>2653600</v>
      </c>
      <c r="BK121" s="123">
        <f t="shared" si="341"/>
        <v>0</v>
      </c>
      <c r="BL121" s="123">
        <f t="shared" si="341"/>
        <v>0</v>
      </c>
      <c r="BM121" s="123">
        <f t="shared" si="341"/>
        <v>0</v>
      </c>
      <c r="BN121" s="123">
        <f t="shared" si="341"/>
        <v>0</v>
      </c>
      <c r="BO121" s="123">
        <f t="shared" si="341"/>
        <v>0</v>
      </c>
      <c r="BP121" s="123">
        <f t="shared" si="341"/>
        <v>0</v>
      </c>
      <c r="BQ121" s="123">
        <f t="shared" si="341"/>
        <v>0</v>
      </c>
      <c r="BR121" s="123">
        <f t="shared" si="341"/>
        <v>0</v>
      </c>
      <c r="BS121" s="123">
        <f t="shared" si="341"/>
        <v>0</v>
      </c>
      <c r="BT121" s="123"/>
      <c r="BU121" s="123"/>
      <c r="BV121" s="123"/>
      <c r="BW121" s="123"/>
      <c r="BX121" s="123"/>
      <c r="BY121" s="123"/>
      <c r="BZ121" s="123">
        <f>SUM(BI121:BY121)</f>
        <v>9755600</v>
      </c>
      <c r="CA121" s="40"/>
      <c r="CB121" s="56"/>
      <c r="CC121" s="57">
        <f>SUM(CC119-CC120)</f>
        <v>750000</v>
      </c>
      <c r="CD121" s="40" t="s">
        <v>37</v>
      </c>
      <c r="CE121" s="171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</row>
    <row r="122" spans="1:118" s="20" customFormat="1" ht="24.75" customHeight="1" x14ac:dyDescent="0.2">
      <c r="A122" s="1730" t="s">
        <v>8</v>
      </c>
      <c r="B122" s="1731"/>
      <c r="C122" s="124" t="s">
        <v>608</v>
      </c>
      <c r="D122" s="136"/>
      <c r="E122" s="23"/>
      <c r="F122" s="23"/>
      <c r="G122" s="23"/>
      <c r="H122" s="23"/>
      <c r="I122" s="23"/>
      <c r="J122" s="23"/>
      <c r="K122" s="23"/>
      <c r="L122" s="23"/>
      <c r="M122" s="23"/>
      <c r="N122" s="1090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7"/>
      <c r="AJ122" s="137"/>
      <c r="AK122" s="137"/>
      <c r="AL122" s="137"/>
      <c r="AM122" s="137"/>
      <c r="AN122" s="137"/>
      <c r="AO122" s="137"/>
      <c r="AP122" s="23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8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7"/>
      <c r="BT122" s="137"/>
      <c r="BU122" s="137"/>
      <c r="BV122" s="137"/>
      <c r="BW122" s="137"/>
      <c r="BX122" s="137"/>
      <c r="BY122" s="137"/>
      <c r="BZ122" s="138"/>
      <c r="CA122" s="138"/>
      <c r="CB122" s="135"/>
      <c r="CC122" s="139"/>
      <c r="CD122" s="23"/>
      <c r="CE122" s="169"/>
      <c r="CF122" s="136"/>
      <c r="CG122" s="136"/>
      <c r="CH122" s="136"/>
      <c r="CI122" s="136"/>
      <c r="CJ122" s="137"/>
      <c r="CK122" s="136"/>
      <c r="CL122" s="136"/>
      <c r="CM122" s="136"/>
      <c r="CN122" s="136"/>
      <c r="CO122" s="136"/>
      <c r="CP122" s="138"/>
      <c r="CQ122" s="138"/>
      <c r="CR122" s="138"/>
      <c r="CS122" s="135"/>
      <c r="CT122" s="139"/>
      <c r="CU122" s="138"/>
      <c r="CV122" s="138"/>
      <c r="CW122" s="24"/>
      <c r="CX122" s="24"/>
      <c r="CY122" s="24"/>
      <c r="CZ122" s="24"/>
      <c r="DA122" s="24"/>
      <c r="DB122" s="140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</row>
    <row r="123" spans="1:118" s="8" customFormat="1" ht="48.75" customHeight="1" x14ac:dyDescent="0.2">
      <c r="A123" s="1703" t="s">
        <v>10</v>
      </c>
      <c r="B123" s="1706" t="s">
        <v>11</v>
      </c>
      <c r="C123" s="1706" t="s">
        <v>22</v>
      </c>
      <c r="D123" s="1721" t="s">
        <v>12</v>
      </c>
      <c r="E123" s="1721"/>
      <c r="F123" s="1721"/>
      <c r="G123" s="1721"/>
      <c r="H123" s="1721"/>
      <c r="I123" s="1721"/>
      <c r="J123" s="1721"/>
      <c r="K123" s="1721"/>
      <c r="L123" s="1721"/>
      <c r="M123" s="1721"/>
      <c r="N123" s="1721"/>
      <c r="O123" s="1721"/>
      <c r="P123" s="1721"/>
      <c r="Q123" s="1721"/>
      <c r="R123" s="1721"/>
      <c r="S123" s="1721"/>
      <c r="T123" s="1721"/>
      <c r="U123" s="1721"/>
      <c r="V123" s="1721"/>
      <c r="W123" s="1706" t="s">
        <v>20</v>
      </c>
      <c r="X123" s="1717" t="s">
        <v>17</v>
      </c>
      <c r="Y123" s="1718"/>
      <c r="Z123" s="1718"/>
      <c r="AA123" s="1718"/>
      <c r="AB123" s="1718"/>
      <c r="AC123" s="1718"/>
      <c r="AD123" s="1718"/>
      <c r="AE123" s="1718"/>
      <c r="AF123" s="1718"/>
      <c r="AG123" s="1718"/>
      <c r="AH123" s="1718"/>
      <c r="AI123" s="1718"/>
      <c r="AJ123" s="1718"/>
      <c r="AK123" s="1718"/>
      <c r="AL123" s="1718"/>
      <c r="AM123" s="1718"/>
      <c r="AN123" s="1718"/>
      <c r="AO123" s="1719"/>
      <c r="AP123" s="1720" t="s">
        <v>6</v>
      </c>
      <c r="AQ123" s="1720"/>
      <c r="AR123" s="1720"/>
      <c r="AS123" s="1720"/>
      <c r="AT123" s="1720"/>
      <c r="AU123" s="1720"/>
      <c r="AV123" s="1720"/>
      <c r="AW123" s="1720"/>
      <c r="AX123" s="1720"/>
      <c r="AY123" s="1720"/>
      <c r="AZ123" s="1720"/>
      <c r="BA123" s="1720"/>
      <c r="BB123" s="1720"/>
      <c r="BC123" s="1720"/>
      <c r="BD123" s="1720"/>
      <c r="BE123" s="1720"/>
      <c r="BF123" s="1720"/>
      <c r="BG123" s="1720"/>
      <c r="BH123" s="1720"/>
      <c r="BI123" s="1722" t="s">
        <v>41</v>
      </c>
      <c r="BJ123" s="1723"/>
      <c r="BK123" s="1723"/>
      <c r="BL123" s="1723"/>
      <c r="BM123" s="1723"/>
      <c r="BN123" s="1723"/>
      <c r="BO123" s="1723"/>
      <c r="BP123" s="1723"/>
      <c r="BQ123" s="1723"/>
      <c r="BR123" s="1723"/>
      <c r="BS123" s="1723"/>
      <c r="BT123" s="1723"/>
      <c r="BU123" s="1723"/>
      <c r="BV123" s="1723"/>
      <c r="BW123" s="1723"/>
      <c r="BX123" s="1723"/>
      <c r="BY123" s="1723"/>
      <c r="BZ123" s="1724"/>
      <c r="CA123" s="1706" t="s">
        <v>38</v>
      </c>
      <c r="CB123" s="1706" t="s">
        <v>256</v>
      </c>
      <c r="CC123" s="1794" t="s">
        <v>39</v>
      </c>
      <c r="CD123" s="135"/>
      <c r="CE123" s="135"/>
      <c r="CF123" s="135"/>
      <c r="CG123" s="135"/>
      <c r="CH123" s="135"/>
      <c r="CI123" s="1733" t="s">
        <v>41</v>
      </c>
      <c r="CJ123" s="1734"/>
      <c r="CK123" s="1734"/>
      <c r="CL123" s="1734"/>
      <c r="CM123" s="1734"/>
      <c r="CN123" s="1734"/>
      <c r="CO123" s="1734"/>
      <c r="CP123" s="1734"/>
      <c r="CQ123" s="1734"/>
      <c r="CR123" s="1734"/>
      <c r="CS123" s="1734"/>
      <c r="CT123" s="1734"/>
      <c r="CU123" s="1734"/>
      <c r="CV123" s="1734"/>
      <c r="CW123" s="1734"/>
      <c r="CX123" s="1734"/>
      <c r="CY123" s="1734"/>
      <c r="CZ123" s="1734"/>
      <c r="DA123" s="1734"/>
      <c r="DB123" s="1734"/>
      <c r="DC123" s="1734"/>
      <c r="DD123" s="1734"/>
      <c r="DE123" s="1734"/>
      <c r="DF123" s="1734"/>
      <c r="DG123" s="1734"/>
      <c r="DH123" s="1735"/>
    </row>
    <row r="124" spans="1:118" s="8" customFormat="1" ht="48.75" customHeight="1" x14ac:dyDescent="0.2">
      <c r="A124" s="1704"/>
      <c r="B124" s="1707"/>
      <c r="C124" s="1707"/>
      <c r="D124" s="1712" t="s">
        <v>18</v>
      </c>
      <c r="E124" s="1714" t="s">
        <v>19</v>
      </c>
      <c r="F124" s="1715"/>
      <c r="G124" s="1715"/>
      <c r="H124" s="1715"/>
      <c r="I124" s="1715"/>
      <c r="J124" s="1715"/>
      <c r="K124" s="1715"/>
      <c r="L124" s="1715"/>
      <c r="M124" s="1715"/>
      <c r="N124" s="1715"/>
      <c r="O124" s="1715"/>
      <c r="P124" s="1715"/>
      <c r="Q124" s="1715"/>
      <c r="R124" s="1715"/>
      <c r="S124" s="1715"/>
      <c r="T124" s="1715"/>
      <c r="U124" s="1715"/>
      <c r="V124" s="1715"/>
      <c r="W124" s="1707"/>
      <c r="X124" s="1712" t="s">
        <v>18</v>
      </c>
      <c r="Y124" s="1714" t="s">
        <v>19</v>
      </c>
      <c r="Z124" s="1715"/>
      <c r="AA124" s="1715"/>
      <c r="AB124" s="1715"/>
      <c r="AC124" s="1715"/>
      <c r="AD124" s="1715"/>
      <c r="AE124" s="1715"/>
      <c r="AF124" s="1715"/>
      <c r="AG124" s="1715"/>
      <c r="AH124" s="1715"/>
      <c r="AI124" s="1715"/>
      <c r="AJ124" s="1715"/>
      <c r="AK124" s="1715"/>
      <c r="AL124" s="1715"/>
      <c r="AM124" s="1715"/>
      <c r="AN124" s="1715"/>
      <c r="AO124" s="1716"/>
      <c r="AP124" s="1712" t="s">
        <v>18</v>
      </c>
      <c r="AQ124" s="1714" t="s">
        <v>19</v>
      </c>
      <c r="AR124" s="1715"/>
      <c r="AS124" s="1715"/>
      <c r="AT124" s="1715"/>
      <c r="AU124" s="1715"/>
      <c r="AV124" s="1715"/>
      <c r="AW124" s="1715"/>
      <c r="AX124" s="1715"/>
      <c r="AY124" s="1715"/>
      <c r="AZ124" s="1715"/>
      <c r="BA124" s="1715"/>
      <c r="BB124" s="1715"/>
      <c r="BC124" s="1715"/>
      <c r="BD124" s="1715"/>
      <c r="BE124" s="1715"/>
      <c r="BF124" s="1715"/>
      <c r="BG124" s="1715"/>
      <c r="BH124" s="1716"/>
      <c r="BI124" s="1725"/>
      <c r="BJ124" s="1726"/>
      <c r="BK124" s="1726"/>
      <c r="BL124" s="1726"/>
      <c r="BM124" s="1726"/>
      <c r="BN124" s="1726"/>
      <c r="BO124" s="1726"/>
      <c r="BP124" s="1726"/>
      <c r="BQ124" s="1726"/>
      <c r="BR124" s="1726"/>
      <c r="BS124" s="1726"/>
      <c r="BT124" s="1726"/>
      <c r="BU124" s="1726"/>
      <c r="BV124" s="1726"/>
      <c r="BW124" s="1726"/>
      <c r="BX124" s="1726"/>
      <c r="BY124" s="1726"/>
      <c r="BZ124" s="1727"/>
      <c r="CA124" s="1707"/>
      <c r="CB124" s="1707"/>
      <c r="CC124" s="1795"/>
      <c r="CD124" s="135"/>
      <c r="CE124" s="1736">
        <f>SUM(AY127-BQ127)</f>
        <v>2464000</v>
      </c>
      <c r="CF124" s="1736"/>
      <c r="CG124" s="1736"/>
      <c r="CH124" s="23"/>
      <c r="CI124" s="1737" t="s">
        <v>686</v>
      </c>
      <c r="CJ124" s="1738"/>
      <c r="CK124" s="1738"/>
      <c r="CL124" s="1738"/>
      <c r="CM124" s="1738"/>
      <c r="CN124" s="1738"/>
      <c r="CO124" s="1738"/>
      <c r="CP124" s="1738"/>
      <c r="CQ124" s="1738"/>
      <c r="CR124" s="1738"/>
      <c r="CS124" s="1738"/>
      <c r="CT124" s="1738"/>
      <c r="CU124" s="1739"/>
      <c r="CV124" s="1740" t="s">
        <v>687</v>
      </c>
      <c r="CW124" s="1741"/>
      <c r="CX124" s="1741"/>
      <c r="CY124" s="1741"/>
      <c r="CZ124" s="1741"/>
      <c r="DA124" s="1741"/>
      <c r="DB124" s="1741"/>
      <c r="DC124" s="1741"/>
      <c r="DD124" s="1741"/>
      <c r="DE124" s="1741"/>
      <c r="DF124" s="1741"/>
      <c r="DG124" s="1741"/>
      <c r="DH124" s="1742"/>
    </row>
    <row r="125" spans="1:118" s="6" customFormat="1" ht="28.5" customHeight="1" x14ac:dyDescent="0.2">
      <c r="A125" s="1704"/>
      <c r="B125" s="1707"/>
      <c r="C125" s="1707"/>
      <c r="D125" s="1784"/>
      <c r="E125" s="26">
        <v>1</v>
      </c>
      <c r="F125" s="26">
        <v>2</v>
      </c>
      <c r="G125" s="26">
        <v>3</v>
      </c>
      <c r="H125" s="26">
        <v>4</v>
      </c>
      <c r="I125" s="26">
        <v>5</v>
      </c>
      <c r="J125" s="26">
        <v>6</v>
      </c>
      <c r="K125" s="26">
        <v>7</v>
      </c>
      <c r="L125" s="26">
        <v>8</v>
      </c>
      <c r="M125" s="26">
        <v>9</v>
      </c>
      <c r="N125" s="26">
        <v>10</v>
      </c>
      <c r="O125" s="26">
        <v>11</v>
      </c>
      <c r="P125" s="26">
        <v>12</v>
      </c>
      <c r="Q125" s="26">
        <v>13</v>
      </c>
      <c r="R125" s="26">
        <v>14</v>
      </c>
      <c r="S125" s="26">
        <v>15</v>
      </c>
      <c r="T125" s="26">
        <v>16</v>
      </c>
      <c r="U125" s="26">
        <v>17</v>
      </c>
      <c r="V125" s="26" t="s">
        <v>21</v>
      </c>
      <c r="W125" s="1707"/>
      <c r="X125" s="1784"/>
      <c r="Y125" s="26">
        <v>1</v>
      </c>
      <c r="Z125" s="26">
        <v>2</v>
      </c>
      <c r="AA125" s="26">
        <v>3</v>
      </c>
      <c r="AB125" s="26">
        <v>4</v>
      </c>
      <c r="AC125" s="26">
        <v>5</v>
      </c>
      <c r="AD125" s="26">
        <v>6</v>
      </c>
      <c r="AE125" s="26">
        <v>7</v>
      </c>
      <c r="AF125" s="26">
        <v>8</v>
      </c>
      <c r="AG125" s="26">
        <v>9</v>
      </c>
      <c r="AH125" s="26">
        <v>10</v>
      </c>
      <c r="AI125" s="26">
        <v>11</v>
      </c>
      <c r="AJ125" s="26">
        <v>12</v>
      </c>
      <c r="AK125" s="26">
        <v>13</v>
      </c>
      <c r="AL125" s="26">
        <v>14</v>
      </c>
      <c r="AM125" s="26">
        <v>15</v>
      </c>
      <c r="AN125" s="26">
        <v>16</v>
      </c>
      <c r="AO125" s="26">
        <v>17</v>
      </c>
      <c r="AP125" s="1784"/>
      <c r="AQ125" s="26">
        <v>1</v>
      </c>
      <c r="AR125" s="26">
        <v>2</v>
      </c>
      <c r="AS125" s="26">
        <v>3</v>
      </c>
      <c r="AT125" s="26">
        <v>4</v>
      </c>
      <c r="AU125" s="26">
        <v>5</v>
      </c>
      <c r="AV125" s="26">
        <v>6</v>
      </c>
      <c r="AW125" s="26">
        <v>7</v>
      </c>
      <c r="AX125" s="26">
        <v>8</v>
      </c>
      <c r="AY125" s="26">
        <v>9</v>
      </c>
      <c r="AZ125" s="26">
        <v>10</v>
      </c>
      <c r="BA125" s="26">
        <v>11</v>
      </c>
      <c r="BB125" s="26">
        <v>12</v>
      </c>
      <c r="BC125" s="26">
        <v>13</v>
      </c>
      <c r="BD125" s="26">
        <v>14</v>
      </c>
      <c r="BE125" s="26">
        <v>15</v>
      </c>
      <c r="BF125" s="26">
        <v>16</v>
      </c>
      <c r="BG125" s="26">
        <v>17</v>
      </c>
      <c r="BH125" s="26" t="s">
        <v>13</v>
      </c>
      <c r="BI125" s="173">
        <v>1</v>
      </c>
      <c r="BJ125" s="173">
        <v>2</v>
      </c>
      <c r="BK125" s="173">
        <v>3</v>
      </c>
      <c r="BL125" s="173">
        <v>4</v>
      </c>
      <c r="BM125" s="173">
        <v>5</v>
      </c>
      <c r="BN125" s="173">
        <v>6</v>
      </c>
      <c r="BO125" s="173">
        <v>7</v>
      </c>
      <c r="BP125" s="173">
        <v>8</v>
      </c>
      <c r="BQ125" s="173">
        <v>9</v>
      </c>
      <c r="BR125" s="173">
        <v>10</v>
      </c>
      <c r="BS125" s="173">
        <v>11</v>
      </c>
      <c r="BT125" s="173">
        <v>12</v>
      </c>
      <c r="BU125" s="173">
        <v>13</v>
      </c>
      <c r="BV125" s="173">
        <v>14</v>
      </c>
      <c r="BW125" s="173">
        <v>15</v>
      </c>
      <c r="BX125" s="173">
        <v>16</v>
      </c>
      <c r="BY125" s="173">
        <v>17</v>
      </c>
      <c r="BZ125" s="26" t="s">
        <v>13</v>
      </c>
      <c r="CA125" s="1707"/>
      <c r="CB125" s="1707"/>
      <c r="CC125" s="1795"/>
      <c r="CD125" s="7"/>
      <c r="CE125" s="1743" t="s">
        <v>19</v>
      </c>
      <c r="CF125" s="1744"/>
      <c r="CG125" s="1745"/>
      <c r="CH125" s="621"/>
      <c r="CI125" s="173">
        <v>1</v>
      </c>
      <c r="CJ125" s="173">
        <v>2</v>
      </c>
      <c r="CK125" s="173">
        <v>3</v>
      </c>
      <c r="CL125" s="173">
        <v>4</v>
      </c>
      <c r="CM125" s="173">
        <v>5</v>
      </c>
      <c r="CN125" s="173">
        <v>6</v>
      </c>
      <c r="CO125" s="173">
        <v>7</v>
      </c>
      <c r="CP125" s="173">
        <v>8</v>
      </c>
      <c r="CQ125" s="173">
        <v>9</v>
      </c>
      <c r="CR125" s="173">
        <v>10</v>
      </c>
      <c r="CS125" s="173">
        <v>11</v>
      </c>
      <c r="CT125" s="173">
        <v>12</v>
      </c>
      <c r="CU125" s="26" t="s">
        <v>13</v>
      </c>
      <c r="CV125" s="173">
        <v>1</v>
      </c>
      <c r="CW125" s="173">
        <v>2</v>
      </c>
      <c r="CX125" s="173">
        <v>3</v>
      </c>
      <c r="CY125" s="173">
        <v>4</v>
      </c>
      <c r="CZ125" s="173">
        <v>5</v>
      </c>
      <c r="DA125" s="173">
        <v>6</v>
      </c>
      <c r="DB125" s="173">
        <v>7</v>
      </c>
      <c r="DC125" s="173">
        <v>8</v>
      </c>
      <c r="DD125" s="173">
        <v>9</v>
      </c>
      <c r="DE125" s="173">
        <v>10</v>
      </c>
      <c r="DF125" s="173">
        <v>11</v>
      </c>
      <c r="DG125" s="173">
        <v>12</v>
      </c>
      <c r="DH125" s="26" t="s">
        <v>13</v>
      </c>
    </row>
    <row r="126" spans="1:118" s="37" customFormat="1" ht="31.5" customHeight="1" x14ac:dyDescent="0.2">
      <c r="A126" s="28">
        <v>1</v>
      </c>
      <c r="B126" s="724" t="s">
        <v>496</v>
      </c>
      <c r="C126" s="29" t="s">
        <v>128</v>
      </c>
      <c r="D126" s="902">
        <v>7</v>
      </c>
      <c r="E126" s="683"/>
      <c r="F126" s="30"/>
      <c r="G126" s="30"/>
      <c r="H126" s="30"/>
      <c r="I126" s="30"/>
      <c r="J126" s="30"/>
      <c r="K126" s="30"/>
      <c r="L126" s="1161"/>
      <c r="M126" s="1348">
        <v>7</v>
      </c>
      <c r="N126" s="88"/>
      <c r="O126" s="88"/>
      <c r="P126" s="1324"/>
      <c r="Q126" s="1242"/>
      <c r="R126" s="88"/>
      <c r="S126" s="88"/>
      <c r="T126" s="88"/>
      <c r="U126" s="1127"/>
      <c r="V126" s="31">
        <f t="shared" ref="V126:V129" si="342">SUM(E126:U126)</f>
        <v>7</v>
      </c>
      <c r="W126" s="902" t="s">
        <v>68</v>
      </c>
      <c r="X126" s="903">
        <v>5000</v>
      </c>
      <c r="Y126" s="691"/>
      <c r="Z126" s="685"/>
      <c r="AA126" s="685"/>
      <c r="AB126" s="685"/>
      <c r="AC126" s="685"/>
      <c r="AD126" s="685"/>
      <c r="AE126" s="685"/>
      <c r="AF126" s="1163"/>
      <c r="AG126" s="1163">
        <v>5000</v>
      </c>
      <c r="AH126" s="1164"/>
      <c r="AI126" s="1215"/>
      <c r="AJ126" s="1215"/>
      <c r="AK126" s="1243"/>
      <c r="AL126" s="1215"/>
      <c r="AM126" s="1215"/>
      <c r="AN126" s="1215"/>
      <c r="AO126" s="1164"/>
      <c r="AP126" s="1304">
        <f t="shared" ref="AP126:AP129" si="343">SUM(V126*X126)</f>
        <v>35000</v>
      </c>
      <c r="AQ126" s="70">
        <f t="shared" ref="AQ126:AQ132" si="344">Y126*E126</f>
        <v>0</v>
      </c>
      <c r="AR126" s="70">
        <f t="shared" ref="AR126:AR132" si="345">Z126*F126</f>
        <v>0</v>
      </c>
      <c r="AS126" s="70">
        <f t="shared" ref="AS126:AS132" si="346">AA126*G126</f>
        <v>0</v>
      </c>
      <c r="AT126" s="70">
        <f t="shared" ref="AT126:AT132" si="347">AB126*H126</f>
        <v>0</v>
      </c>
      <c r="AU126" s="70">
        <f t="shared" ref="AU126:AU132" si="348">AC126*I126</f>
        <v>0</v>
      </c>
      <c r="AV126" s="70">
        <f t="shared" ref="AV126:AV132" si="349">AD126*J126</f>
        <v>0</v>
      </c>
      <c r="AW126" s="70">
        <f t="shared" ref="AW126:AW132" si="350">AE126*K126</f>
        <v>0</v>
      </c>
      <c r="AX126" s="1130">
        <f t="shared" ref="AX126:AX132" si="351">AF126*L126</f>
        <v>0</v>
      </c>
      <c r="AY126" s="1347">
        <f t="shared" ref="AY126:AY132" si="352">AG126*M126</f>
        <v>35000</v>
      </c>
      <c r="AZ126" s="1379">
        <f t="shared" ref="AZ126:AZ132" si="353">AH126*N126</f>
        <v>0</v>
      </c>
      <c r="BA126" s="1483">
        <f t="shared" ref="BA126:BA132" si="354">AI126*O126</f>
        <v>0</v>
      </c>
      <c r="BB126" s="1379"/>
      <c r="BC126" s="1374"/>
      <c r="BD126" s="1130"/>
      <c r="BE126" s="1130"/>
      <c r="BF126" s="1130"/>
      <c r="BG126" s="1130"/>
      <c r="BH126" s="71">
        <f t="shared" ref="BH126:BH134" si="355">SUM(AQ126:BG126)</f>
        <v>35000</v>
      </c>
      <c r="BI126" s="70"/>
      <c r="BJ126" s="70"/>
      <c r="BK126" s="70"/>
      <c r="BL126" s="70"/>
      <c r="BM126" s="70"/>
      <c r="BN126" s="70"/>
      <c r="BO126" s="70"/>
      <c r="BP126" s="1123"/>
      <c r="BQ126" s="1123"/>
      <c r="BR126" s="1130"/>
      <c r="BS126" s="1130"/>
      <c r="BT126" s="1130"/>
      <c r="BU126" s="1130"/>
      <c r="BV126" s="1130"/>
      <c r="BW126" s="1130"/>
      <c r="BX126" s="1130"/>
      <c r="BY126" s="1130"/>
      <c r="BZ126" s="72">
        <f t="shared" ref="BZ126:BZ134" si="356">SUM(BI126:BY126)</f>
        <v>0</v>
      </c>
      <c r="CA126" s="686">
        <f t="shared" ref="CA126:CA134" si="357">AP126-BH126</f>
        <v>0</v>
      </c>
      <c r="CB126" s="687">
        <f t="shared" ref="CB126:CB134" si="358">X126*D126</f>
        <v>35000</v>
      </c>
      <c r="CC126" s="688">
        <f>CB126-BH126-BZ126</f>
        <v>0</v>
      </c>
      <c r="CD126" s="630">
        <f t="shared" ref="CD126:CD134" si="359">SUM(V126/D126)</f>
        <v>1</v>
      </c>
      <c r="CE126" s="1081">
        <f>SUM(AY126-CQ126)</f>
        <v>35000</v>
      </c>
      <c r="CF126" s="1081">
        <f>5000*7</f>
        <v>35000</v>
      </c>
      <c r="CG126" s="1083">
        <f t="shared" ref="CG126:CG134" si="360">SUM(CE126-CF126)</f>
        <v>0</v>
      </c>
      <c r="CH126" s="1084"/>
      <c r="CI126" s="862"/>
      <c r="CJ126" s="862"/>
      <c r="CK126" s="862">
        <f t="shared" ref="CK126:CK135" si="361">SUM(AR126*12.5%)</f>
        <v>0</v>
      </c>
      <c r="CL126" s="862">
        <f t="shared" ref="CL126:CL135" si="362">SUM(AS126*12.5%)</f>
        <v>0</v>
      </c>
      <c r="CM126" s="862">
        <f t="shared" ref="CM126:CM135" si="363">SUM(AT126*12.5%)</f>
        <v>0</v>
      </c>
      <c r="CN126" s="862">
        <f t="shared" ref="CN126:CN135" si="364">SUM(AU126*12.5%)</f>
        <v>0</v>
      </c>
      <c r="CO126" s="862">
        <f t="shared" ref="CO126:CO135" si="365">SUM(AV126*12.5%)</f>
        <v>0</v>
      </c>
      <c r="CP126" s="862">
        <f t="shared" ref="CP126:CP135" si="366">SUM(AW126*12.5%)</f>
        <v>0</v>
      </c>
      <c r="CQ126" s="1103"/>
      <c r="CR126" s="862"/>
      <c r="CS126" s="862"/>
      <c r="CT126" s="862"/>
      <c r="CU126" s="73">
        <f t="shared" ref="CU126" si="367">SUM(CI126:CT126)</f>
        <v>0</v>
      </c>
      <c r="CV126" s="862"/>
      <c r="CW126" s="862"/>
      <c r="CX126" s="862"/>
      <c r="CY126" s="862"/>
      <c r="CZ126" s="862"/>
      <c r="DA126" s="862"/>
      <c r="DB126" s="862"/>
      <c r="DC126" s="862"/>
      <c r="DD126" s="1103"/>
      <c r="DE126" s="862"/>
      <c r="DF126" s="862"/>
      <c r="DG126" s="862"/>
      <c r="DH126" s="73">
        <f t="shared" ref="DH126:DH127" si="368">SUM(CV126:DG126)</f>
        <v>0</v>
      </c>
    </row>
    <row r="127" spans="1:118" s="37" customFormat="1" ht="32.25" customHeight="1" x14ac:dyDescent="0.2">
      <c r="A127" s="28">
        <f>A126+1</f>
        <v>2</v>
      </c>
      <c r="B127" s="904" t="s">
        <v>497</v>
      </c>
      <c r="C127" s="29" t="s">
        <v>128</v>
      </c>
      <c r="D127" s="902">
        <v>100</v>
      </c>
      <c r="E127" s="683"/>
      <c r="F127" s="30"/>
      <c r="G127" s="30"/>
      <c r="H127" s="30"/>
      <c r="I127" s="30"/>
      <c r="J127" s="30"/>
      <c r="K127" s="30"/>
      <c r="L127" s="1161"/>
      <c r="M127" s="1348">
        <v>100</v>
      </c>
      <c r="N127" s="88"/>
      <c r="O127" s="88"/>
      <c r="P127" s="1324"/>
      <c r="Q127" s="1242"/>
      <c r="R127" s="88"/>
      <c r="S127" s="88"/>
      <c r="T127" s="88"/>
      <c r="U127" s="1127"/>
      <c r="V127" s="31">
        <f t="shared" si="342"/>
        <v>100</v>
      </c>
      <c r="W127" s="902" t="s">
        <v>0</v>
      </c>
      <c r="X127" s="905">
        <v>28500</v>
      </c>
      <c r="Y127" s="691"/>
      <c r="Z127" s="685"/>
      <c r="AA127" s="685"/>
      <c r="AB127" s="685"/>
      <c r="AC127" s="685"/>
      <c r="AD127" s="685"/>
      <c r="AE127" s="685"/>
      <c r="AF127" s="1165"/>
      <c r="AG127" s="1165">
        <v>28000</v>
      </c>
      <c r="AH127" s="1164"/>
      <c r="AI127" s="1215"/>
      <c r="AJ127" s="1215"/>
      <c r="AK127" s="1243"/>
      <c r="AL127" s="1215"/>
      <c r="AM127" s="1215"/>
      <c r="AN127" s="1215"/>
      <c r="AO127" s="1164"/>
      <c r="AP127" s="1304">
        <f t="shared" si="343"/>
        <v>2850000</v>
      </c>
      <c r="AQ127" s="70">
        <f t="shared" si="344"/>
        <v>0</v>
      </c>
      <c r="AR127" s="70">
        <f t="shared" si="345"/>
        <v>0</v>
      </c>
      <c r="AS127" s="70">
        <f t="shared" si="346"/>
        <v>0</v>
      </c>
      <c r="AT127" s="70">
        <f t="shared" si="347"/>
        <v>0</v>
      </c>
      <c r="AU127" s="70">
        <f t="shared" si="348"/>
        <v>0</v>
      </c>
      <c r="AV127" s="70">
        <f t="shared" si="349"/>
        <v>0</v>
      </c>
      <c r="AW127" s="70">
        <f t="shared" si="350"/>
        <v>0</v>
      </c>
      <c r="AX127" s="1130">
        <f t="shared" si="351"/>
        <v>0</v>
      </c>
      <c r="AY127" s="1347">
        <f t="shared" si="352"/>
        <v>2800000</v>
      </c>
      <c r="AZ127" s="1379">
        <f t="shared" si="353"/>
        <v>0</v>
      </c>
      <c r="BA127" s="1483">
        <f t="shared" si="354"/>
        <v>0</v>
      </c>
      <c r="BB127" s="1379"/>
      <c r="BC127" s="1374"/>
      <c r="BD127" s="1130"/>
      <c r="BE127" s="1130"/>
      <c r="BF127" s="1130"/>
      <c r="BG127" s="1130"/>
      <c r="BH127" s="71">
        <f t="shared" si="355"/>
        <v>2800000</v>
      </c>
      <c r="BI127" s="70"/>
      <c r="BJ127" s="70"/>
      <c r="BK127" s="70"/>
      <c r="BL127" s="70"/>
      <c r="BM127" s="70"/>
      <c r="BN127" s="70"/>
      <c r="BO127" s="70"/>
      <c r="BP127" s="1123"/>
      <c r="BQ127" s="1123">
        <f>SUM(AY127*12%)</f>
        <v>336000</v>
      </c>
      <c r="BR127" s="1130"/>
      <c r="BS127" s="1130"/>
      <c r="BT127" s="1130"/>
      <c r="BU127" s="1130"/>
      <c r="BV127" s="1130"/>
      <c r="BW127" s="1130"/>
      <c r="BX127" s="1130"/>
      <c r="BY127" s="1130"/>
      <c r="BZ127" s="72">
        <f t="shared" si="356"/>
        <v>336000</v>
      </c>
      <c r="CA127" s="686">
        <f t="shared" si="357"/>
        <v>50000</v>
      </c>
      <c r="CB127" s="687">
        <f t="shared" si="358"/>
        <v>2850000</v>
      </c>
      <c r="CC127" s="688">
        <f t="shared" ref="CC127:CC134" si="369">CB127-BH127</f>
        <v>50000</v>
      </c>
      <c r="CD127" s="630">
        <f t="shared" si="359"/>
        <v>1</v>
      </c>
      <c r="CE127" s="1081">
        <f t="shared" ref="CE127:CE134" si="370">SUM(AY127-BQ127)</f>
        <v>2464000</v>
      </c>
      <c r="CF127" s="1081">
        <f>24000*100</f>
        <v>2400000</v>
      </c>
      <c r="CG127" s="1083">
        <f t="shared" si="360"/>
        <v>64000</v>
      </c>
      <c r="CH127" s="1084"/>
      <c r="CI127" s="862"/>
      <c r="CJ127" s="862"/>
      <c r="CK127" s="862">
        <f t="shared" si="361"/>
        <v>0</v>
      </c>
      <c r="CL127" s="862">
        <f t="shared" si="362"/>
        <v>0</v>
      </c>
      <c r="CM127" s="862">
        <f t="shared" si="363"/>
        <v>0</v>
      </c>
      <c r="CN127" s="862">
        <f t="shared" si="364"/>
        <v>0</v>
      </c>
      <c r="CO127" s="862">
        <f t="shared" si="365"/>
        <v>0</v>
      </c>
      <c r="CP127" s="862">
        <f t="shared" si="366"/>
        <v>0</v>
      </c>
      <c r="CQ127" s="1103">
        <f>AY127*2%</f>
        <v>56000</v>
      </c>
      <c r="CR127" s="862"/>
      <c r="CS127" s="862"/>
      <c r="CT127" s="862"/>
      <c r="CU127" s="73">
        <f t="shared" ref="CU127" si="371">SUM(CI127:CT127)</f>
        <v>56000</v>
      </c>
      <c r="CV127" s="862"/>
      <c r="CW127" s="862"/>
      <c r="CX127" s="862"/>
      <c r="CY127" s="862"/>
      <c r="CZ127" s="862"/>
      <c r="DA127" s="862"/>
      <c r="DB127" s="862"/>
      <c r="DC127" s="862"/>
      <c r="DD127" s="1103">
        <f>AY127*10%</f>
        <v>280000</v>
      </c>
      <c r="DE127" s="862"/>
      <c r="DF127" s="862"/>
      <c r="DG127" s="862"/>
      <c r="DH127" s="73">
        <f t="shared" si="368"/>
        <v>280000</v>
      </c>
    </row>
    <row r="128" spans="1:118" s="37" customFormat="1" ht="24.75" customHeight="1" x14ac:dyDescent="0.2">
      <c r="A128" s="28">
        <f t="shared" ref="A128:A137" si="372">A127+1</f>
        <v>3</v>
      </c>
      <c r="B128" s="904" t="s">
        <v>89</v>
      </c>
      <c r="C128" s="29" t="s">
        <v>128</v>
      </c>
      <c r="D128" s="902">
        <v>100</v>
      </c>
      <c r="E128" s="683"/>
      <c r="F128" s="30"/>
      <c r="G128" s="30"/>
      <c r="H128" s="30"/>
      <c r="I128" s="30"/>
      <c r="J128" s="30"/>
      <c r="K128" s="30"/>
      <c r="L128" s="1161"/>
      <c r="M128" s="1348">
        <v>100</v>
      </c>
      <c r="N128" s="88"/>
      <c r="O128" s="88"/>
      <c r="P128" s="1324"/>
      <c r="Q128" s="1242"/>
      <c r="R128" s="88"/>
      <c r="S128" s="88"/>
      <c r="T128" s="88"/>
      <c r="U128" s="1127"/>
      <c r="V128" s="31">
        <f t="shared" si="342"/>
        <v>100</v>
      </c>
      <c r="W128" s="902" t="s">
        <v>0</v>
      </c>
      <c r="X128" s="906">
        <v>10300</v>
      </c>
      <c r="Y128" s="691"/>
      <c r="Z128" s="685"/>
      <c r="AA128" s="685"/>
      <c r="AB128" s="685"/>
      <c r="AC128" s="685"/>
      <c r="AD128" s="685"/>
      <c r="AE128" s="685"/>
      <c r="AF128" s="1166"/>
      <c r="AG128" s="1166">
        <v>10300</v>
      </c>
      <c r="AH128" s="1164"/>
      <c r="AI128" s="1215"/>
      <c r="AJ128" s="1215"/>
      <c r="AK128" s="1243"/>
      <c r="AL128" s="1215"/>
      <c r="AM128" s="1215"/>
      <c r="AN128" s="1215"/>
      <c r="AO128" s="1164"/>
      <c r="AP128" s="1304">
        <f t="shared" si="343"/>
        <v>1030000</v>
      </c>
      <c r="AQ128" s="70">
        <f t="shared" si="344"/>
        <v>0</v>
      </c>
      <c r="AR128" s="70">
        <f t="shared" si="345"/>
        <v>0</v>
      </c>
      <c r="AS128" s="70">
        <f t="shared" si="346"/>
        <v>0</v>
      </c>
      <c r="AT128" s="70">
        <f t="shared" si="347"/>
        <v>0</v>
      </c>
      <c r="AU128" s="70">
        <f t="shared" si="348"/>
        <v>0</v>
      </c>
      <c r="AV128" s="70">
        <f t="shared" si="349"/>
        <v>0</v>
      </c>
      <c r="AW128" s="70">
        <f t="shared" si="350"/>
        <v>0</v>
      </c>
      <c r="AX128" s="1130">
        <f t="shared" si="351"/>
        <v>0</v>
      </c>
      <c r="AY128" s="1347">
        <f t="shared" si="352"/>
        <v>1030000</v>
      </c>
      <c r="AZ128" s="1379">
        <f t="shared" si="353"/>
        <v>0</v>
      </c>
      <c r="BA128" s="1483">
        <f t="shared" si="354"/>
        <v>0</v>
      </c>
      <c r="BB128" s="1379"/>
      <c r="BC128" s="1374"/>
      <c r="BD128" s="1130"/>
      <c r="BE128" s="1130"/>
      <c r="BF128" s="1130"/>
      <c r="BG128" s="1130"/>
      <c r="BH128" s="71">
        <f t="shared" si="355"/>
        <v>1030000</v>
      </c>
      <c r="BI128" s="70"/>
      <c r="BJ128" s="70"/>
      <c r="BK128" s="70"/>
      <c r="BL128" s="70"/>
      <c r="BM128" s="70"/>
      <c r="BN128" s="70"/>
      <c r="BO128" s="70"/>
      <c r="BP128" s="1123"/>
      <c r="BQ128" s="1123">
        <f>SUM(AY128*12%)</f>
        <v>123600</v>
      </c>
      <c r="BR128" s="1130"/>
      <c r="BS128" s="1130"/>
      <c r="BT128" s="1130"/>
      <c r="BU128" s="1130"/>
      <c r="BV128" s="1130"/>
      <c r="BW128" s="1130"/>
      <c r="BX128" s="1130"/>
      <c r="BY128" s="1130"/>
      <c r="BZ128" s="72">
        <f t="shared" si="356"/>
        <v>123600</v>
      </c>
      <c r="CA128" s="686">
        <f t="shared" si="357"/>
        <v>0</v>
      </c>
      <c r="CB128" s="687">
        <f t="shared" si="358"/>
        <v>1030000</v>
      </c>
      <c r="CC128" s="688">
        <f t="shared" si="369"/>
        <v>0</v>
      </c>
      <c r="CD128" s="630">
        <f t="shared" si="359"/>
        <v>1</v>
      </c>
      <c r="CE128" s="1081">
        <f t="shared" si="370"/>
        <v>906400</v>
      </c>
      <c r="CF128" s="1081">
        <f>9000*100</f>
        <v>900000</v>
      </c>
      <c r="CG128" s="1083">
        <f t="shared" si="360"/>
        <v>6400</v>
      </c>
      <c r="CH128" s="1084"/>
      <c r="CI128" s="862"/>
      <c r="CJ128" s="862"/>
      <c r="CK128" s="862">
        <f t="shared" si="361"/>
        <v>0</v>
      </c>
      <c r="CL128" s="862">
        <f t="shared" si="362"/>
        <v>0</v>
      </c>
      <c r="CM128" s="862">
        <f t="shared" si="363"/>
        <v>0</v>
      </c>
      <c r="CN128" s="862">
        <f t="shared" si="364"/>
        <v>0</v>
      </c>
      <c r="CO128" s="862">
        <f t="shared" si="365"/>
        <v>0</v>
      </c>
      <c r="CP128" s="862">
        <f t="shared" si="366"/>
        <v>0</v>
      </c>
      <c r="CQ128" s="1103"/>
      <c r="CR128" s="862"/>
      <c r="CS128" s="862"/>
      <c r="CT128" s="862"/>
      <c r="CU128" s="73">
        <f t="shared" ref="CU128:CU137" si="373">SUM(CI128:CT128)</f>
        <v>0</v>
      </c>
      <c r="CV128" s="862"/>
      <c r="CW128" s="862"/>
      <c r="CX128" s="862"/>
      <c r="CY128" s="862"/>
      <c r="CZ128" s="862"/>
      <c r="DA128" s="862"/>
      <c r="DB128" s="862"/>
      <c r="DC128" s="862"/>
      <c r="DD128" s="1103"/>
      <c r="DE128" s="862"/>
      <c r="DF128" s="862"/>
      <c r="DG128" s="862"/>
      <c r="DH128" s="73">
        <f t="shared" ref="DH128:DH137" si="374">SUM(CV128:DG128)</f>
        <v>0</v>
      </c>
    </row>
    <row r="129" spans="1:118" s="37" customFormat="1" ht="27" customHeight="1" x14ac:dyDescent="0.2">
      <c r="A129" s="28">
        <f t="shared" si="372"/>
        <v>4</v>
      </c>
      <c r="B129" s="907" t="s">
        <v>498</v>
      </c>
      <c r="C129" s="29" t="s">
        <v>128</v>
      </c>
      <c r="D129" s="902">
        <v>5</v>
      </c>
      <c r="E129" s="683"/>
      <c r="F129" s="30"/>
      <c r="G129" s="30"/>
      <c r="H129" s="30"/>
      <c r="I129" s="30"/>
      <c r="J129" s="30"/>
      <c r="K129" s="30"/>
      <c r="L129" s="1161"/>
      <c r="M129" s="1348">
        <v>5</v>
      </c>
      <c r="N129" s="88"/>
      <c r="O129" s="88"/>
      <c r="P129" s="1324"/>
      <c r="Q129" s="1242"/>
      <c r="R129" s="88"/>
      <c r="S129" s="88"/>
      <c r="T129" s="88"/>
      <c r="U129" s="1127"/>
      <c r="V129" s="31">
        <f t="shared" si="342"/>
        <v>5</v>
      </c>
      <c r="W129" s="902" t="s">
        <v>0</v>
      </c>
      <c r="X129" s="906">
        <v>20000</v>
      </c>
      <c r="Y129" s="691"/>
      <c r="Z129" s="685"/>
      <c r="AA129" s="685"/>
      <c r="AB129" s="685"/>
      <c r="AC129" s="685"/>
      <c r="AD129" s="685"/>
      <c r="AE129" s="685"/>
      <c r="AF129" s="1166"/>
      <c r="AG129" s="1166">
        <v>17000</v>
      </c>
      <c r="AH129" s="1164"/>
      <c r="AI129" s="1215"/>
      <c r="AJ129" s="1215"/>
      <c r="AK129" s="1243"/>
      <c r="AL129" s="1215"/>
      <c r="AM129" s="1215"/>
      <c r="AN129" s="1215"/>
      <c r="AO129" s="1164"/>
      <c r="AP129" s="1304">
        <f t="shared" si="343"/>
        <v>100000</v>
      </c>
      <c r="AQ129" s="70">
        <f t="shared" si="344"/>
        <v>0</v>
      </c>
      <c r="AR129" s="70">
        <f t="shared" si="345"/>
        <v>0</v>
      </c>
      <c r="AS129" s="70">
        <f t="shared" si="346"/>
        <v>0</v>
      </c>
      <c r="AT129" s="70">
        <f t="shared" si="347"/>
        <v>0</v>
      </c>
      <c r="AU129" s="70">
        <f t="shared" si="348"/>
        <v>0</v>
      </c>
      <c r="AV129" s="70">
        <f t="shared" si="349"/>
        <v>0</v>
      </c>
      <c r="AW129" s="70">
        <f t="shared" si="350"/>
        <v>0</v>
      </c>
      <c r="AX129" s="1130">
        <f t="shared" si="351"/>
        <v>0</v>
      </c>
      <c r="AY129" s="1347">
        <f t="shared" si="352"/>
        <v>85000</v>
      </c>
      <c r="AZ129" s="1379">
        <f t="shared" si="353"/>
        <v>0</v>
      </c>
      <c r="BA129" s="1483">
        <f t="shared" si="354"/>
        <v>0</v>
      </c>
      <c r="BB129" s="1379"/>
      <c r="BC129" s="1374"/>
      <c r="BD129" s="1130"/>
      <c r="BE129" s="1130"/>
      <c r="BF129" s="1130"/>
      <c r="BG129" s="1130"/>
      <c r="BH129" s="71">
        <f t="shared" si="355"/>
        <v>85000</v>
      </c>
      <c r="BI129" s="70"/>
      <c r="BJ129" s="70"/>
      <c r="BK129" s="70"/>
      <c r="BL129" s="70"/>
      <c r="BM129" s="70"/>
      <c r="BN129" s="70"/>
      <c r="BO129" s="70"/>
      <c r="BP129" s="1123"/>
      <c r="BQ129" s="1123"/>
      <c r="BR129" s="1130"/>
      <c r="BS129" s="1130"/>
      <c r="BT129" s="1130"/>
      <c r="BU129" s="1130"/>
      <c r="BV129" s="1130"/>
      <c r="BW129" s="1130"/>
      <c r="BX129" s="1130"/>
      <c r="BY129" s="1130"/>
      <c r="BZ129" s="72">
        <f t="shared" si="356"/>
        <v>0</v>
      </c>
      <c r="CA129" s="686">
        <f t="shared" si="357"/>
        <v>15000</v>
      </c>
      <c r="CB129" s="687">
        <f t="shared" si="358"/>
        <v>100000</v>
      </c>
      <c r="CC129" s="688">
        <f t="shared" si="369"/>
        <v>15000</v>
      </c>
      <c r="CD129" s="630">
        <f t="shared" si="359"/>
        <v>1</v>
      </c>
      <c r="CE129" s="1081">
        <f t="shared" si="370"/>
        <v>85000</v>
      </c>
      <c r="CF129" s="1081">
        <f>17000*5</f>
        <v>85000</v>
      </c>
      <c r="CG129" s="1083">
        <f t="shared" si="360"/>
        <v>0</v>
      </c>
      <c r="CH129" s="1084"/>
      <c r="CI129" s="862"/>
      <c r="CJ129" s="862"/>
      <c r="CK129" s="862">
        <f t="shared" si="361"/>
        <v>0</v>
      </c>
      <c r="CL129" s="862">
        <f t="shared" si="362"/>
        <v>0</v>
      </c>
      <c r="CM129" s="862">
        <f t="shared" si="363"/>
        <v>0</v>
      </c>
      <c r="CN129" s="862">
        <f t="shared" si="364"/>
        <v>0</v>
      </c>
      <c r="CO129" s="862">
        <f t="shared" si="365"/>
        <v>0</v>
      </c>
      <c r="CP129" s="862">
        <f t="shared" si="366"/>
        <v>0</v>
      </c>
      <c r="CQ129" s="1103"/>
      <c r="CR129" s="862"/>
      <c r="CS129" s="862"/>
      <c r="CT129" s="862"/>
      <c r="CU129" s="73">
        <f t="shared" si="373"/>
        <v>0</v>
      </c>
      <c r="CV129" s="862"/>
      <c r="CW129" s="862"/>
      <c r="CX129" s="862"/>
      <c r="CY129" s="862"/>
      <c r="CZ129" s="862"/>
      <c r="DA129" s="862"/>
      <c r="DB129" s="862"/>
      <c r="DC129" s="862"/>
      <c r="DD129" s="1103"/>
      <c r="DE129" s="862"/>
      <c r="DF129" s="862"/>
      <c r="DG129" s="862"/>
      <c r="DH129" s="73">
        <f t="shared" si="374"/>
        <v>0</v>
      </c>
    </row>
    <row r="130" spans="1:118" s="37" customFormat="1" ht="24.75" customHeight="1" x14ac:dyDescent="0.2">
      <c r="A130" s="28">
        <f t="shared" si="372"/>
        <v>5</v>
      </c>
      <c r="B130" s="904" t="s">
        <v>499</v>
      </c>
      <c r="C130" s="29" t="s">
        <v>128</v>
      </c>
      <c r="D130" s="902">
        <v>40</v>
      </c>
      <c r="E130" s="716"/>
      <c r="F130" s="30"/>
      <c r="G130" s="30"/>
      <c r="H130" s="30"/>
      <c r="I130" s="30"/>
      <c r="J130" s="30"/>
      <c r="K130" s="30"/>
      <c r="L130" s="1161"/>
      <c r="M130" s="1348">
        <v>40</v>
      </c>
      <c r="N130" s="88"/>
      <c r="O130" s="88"/>
      <c r="P130" s="1324"/>
      <c r="Q130" s="1242"/>
      <c r="R130" s="88"/>
      <c r="S130" s="88"/>
      <c r="T130" s="88"/>
      <c r="U130" s="1127"/>
      <c r="V130" s="31">
        <f>SUM(E130:U130)</f>
        <v>40</v>
      </c>
      <c r="W130" s="902" t="s">
        <v>130</v>
      </c>
      <c r="X130" s="728">
        <v>5000</v>
      </c>
      <c r="Y130" s="718"/>
      <c r="Z130" s="718"/>
      <c r="AA130" s="685"/>
      <c r="AB130" s="685"/>
      <c r="AC130" s="685"/>
      <c r="AD130" s="685"/>
      <c r="AE130" s="685"/>
      <c r="AF130" s="1166"/>
      <c r="AG130" s="1166">
        <v>4000</v>
      </c>
      <c r="AH130" s="1164"/>
      <c r="AI130" s="1215"/>
      <c r="AJ130" s="1215"/>
      <c r="AK130" s="1243"/>
      <c r="AL130" s="1215"/>
      <c r="AM130" s="1215"/>
      <c r="AN130" s="1215"/>
      <c r="AO130" s="1164"/>
      <c r="AP130" s="1304">
        <f t="shared" ref="AP130:AP132" si="375">SUM(V130*X130)</f>
        <v>200000</v>
      </c>
      <c r="AQ130" s="70">
        <f t="shared" si="344"/>
        <v>0</v>
      </c>
      <c r="AR130" s="70">
        <f t="shared" si="345"/>
        <v>0</v>
      </c>
      <c r="AS130" s="70">
        <f t="shared" si="346"/>
        <v>0</v>
      </c>
      <c r="AT130" s="70">
        <f t="shared" si="347"/>
        <v>0</v>
      </c>
      <c r="AU130" s="70">
        <f t="shared" si="348"/>
        <v>0</v>
      </c>
      <c r="AV130" s="70">
        <f t="shared" si="349"/>
        <v>0</v>
      </c>
      <c r="AW130" s="70">
        <f t="shared" si="350"/>
        <v>0</v>
      </c>
      <c r="AX130" s="1130">
        <f t="shared" si="351"/>
        <v>0</v>
      </c>
      <c r="AY130" s="1347">
        <f t="shared" si="352"/>
        <v>160000</v>
      </c>
      <c r="AZ130" s="1379">
        <f t="shared" si="353"/>
        <v>0</v>
      </c>
      <c r="BA130" s="1483">
        <f t="shared" si="354"/>
        <v>0</v>
      </c>
      <c r="BB130" s="1379"/>
      <c r="BC130" s="1374"/>
      <c r="BD130" s="1130"/>
      <c r="BE130" s="1130"/>
      <c r="BF130" s="1130"/>
      <c r="BG130" s="1130"/>
      <c r="BH130" s="71">
        <f t="shared" si="355"/>
        <v>160000</v>
      </c>
      <c r="BI130" s="70"/>
      <c r="BJ130" s="70"/>
      <c r="BK130" s="70"/>
      <c r="BL130" s="70"/>
      <c r="BM130" s="70"/>
      <c r="BN130" s="70"/>
      <c r="BO130" s="70"/>
      <c r="BP130" s="1123"/>
      <c r="BQ130" s="1123"/>
      <c r="BR130" s="1130"/>
      <c r="BS130" s="1130"/>
      <c r="BT130" s="1130"/>
      <c r="BU130" s="1130"/>
      <c r="BV130" s="1130"/>
      <c r="BW130" s="1130"/>
      <c r="BX130" s="1130"/>
      <c r="BY130" s="1130"/>
      <c r="BZ130" s="72">
        <f t="shared" si="356"/>
        <v>0</v>
      </c>
      <c r="CA130" s="686">
        <f t="shared" si="357"/>
        <v>40000</v>
      </c>
      <c r="CB130" s="687">
        <f t="shared" si="358"/>
        <v>200000</v>
      </c>
      <c r="CC130" s="688">
        <f t="shared" si="369"/>
        <v>40000</v>
      </c>
      <c r="CD130" s="630">
        <f t="shared" si="359"/>
        <v>1</v>
      </c>
      <c r="CE130" s="1081">
        <f t="shared" si="370"/>
        <v>160000</v>
      </c>
      <c r="CF130" s="1081">
        <f>4000*40</f>
        <v>160000</v>
      </c>
      <c r="CG130" s="1083">
        <f t="shared" si="360"/>
        <v>0</v>
      </c>
      <c r="CH130" s="1084"/>
      <c r="CI130" s="862"/>
      <c r="CJ130" s="862"/>
      <c r="CK130" s="862">
        <f t="shared" si="361"/>
        <v>0</v>
      </c>
      <c r="CL130" s="862">
        <f t="shared" si="362"/>
        <v>0</v>
      </c>
      <c r="CM130" s="862">
        <f t="shared" si="363"/>
        <v>0</v>
      </c>
      <c r="CN130" s="862">
        <f t="shared" si="364"/>
        <v>0</v>
      </c>
      <c r="CO130" s="862">
        <f t="shared" si="365"/>
        <v>0</v>
      </c>
      <c r="CP130" s="862">
        <f t="shared" si="366"/>
        <v>0</v>
      </c>
      <c r="CQ130" s="1103"/>
      <c r="CR130" s="862"/>
      <c r="CS130" s="862"/>
      <c r="CT130" s="862"/>
      <c r="CU130" s="73">
        <f t="shared" si="373"/>
        <v>0</v>
      </c>
      <c r="CV130" s="862"/>
      <c r="CW130" s="862"/>
      <c r="CX130" s="862"/>
      <c r="CY130" s="862"/>
      <c r="CZ130" s="862"/>
      <c r="DA130" s="862"/>
      <c r="DB130" s="862"/>
      <c r="DC130" s="862"/>
      <c r="DD130" s="1103"/>
      <c r="DE130" s="862"/>
      <c r="DF130" s="862"/>
      <c r="DG130" s="862"/>
      <c r="DH130" s="73">
        <f t="shared" si="374"/>
        <v>0</v>
      </c>
    </row>
    <row r="131" spans="1:118" s="37" customFormat="1" ht="24.75" customHeight="1" x14ac:dyDescent="0.2">
      <c r="A131" s="28">
        <f t="shared" si="372"/>
        <v>6</v>
      </c>
      <c r="B131" s="908" t="s">
        <v>684</v>
      </c>
      <c r="C131" s="29" t="s">
        <v>128</v>
      </c>
      <c r="D131" s="909">
        <v>7</v>
      </c>
      <c r="E131" s="716"/>
      <c r="F131" s="30"/>
      <c r="G131" s="30"/>
      <c r="H131" s="30"/>
      <c r="I131" s="30"/>
      <c r="J131" s="30"/>
      <c r="K131" s="30"/>
      <c r="L131" s="1162"/>
      <c r="M131" s="1349">
        <v>7</v>
      </c>
      <c r="N131" s="88"/>
      <c r="O131" s="88"/>
      <c r="P131" s="1324"/>
      <c r="Q131" s="1242"/>
      <c r="R131" s="88"/>
      <c r="S131" s="88"/>
      <c r="T131" s="88"/>
      <c r="U131" s="1127"/>
      <c r="V131" s="31">
        <f>SUM(E131:U131)</f>
        <v>7</v>
      </c>
      <c r="W131" s="910" t="s">
        <v>2</v>
      </c>
      <c r="X131" s="911">
        <v>113500</v>
      </c>
      <c r="Y131" s="719"/>
      <c r="Z131" s="719"/>
      <c r="AA131" s="685"/>
      <c r="AB131" s="685"/>
      <c r="AC131" s="685"/>
      <c r="AD131" s="685"/>
      <c r="AE131" s="685"/>
      <c r="AF131" s="1167"/>
      <c r="AG131" s="1167">
        <v>85000</v>
      </c>
      <c r="AH131" s="1164"/>
      <c r="AI131" s="1215"/>
      <c r="AJ131" s="1215"/>
      <c r="AK131" s="1243"/>
      <c r="AL131" s="1215"/>
      <c r="AM131" s="1215"/>
      <c r="AN131" s="1215"/>
      <c r="AO131" s="1164"/>
      <c r="AP131" s="1304">
        <f t="shared" si="375"/>
        <v>794500</v>
      </c>
      <c r="AQ131" s="70">
        <f t="shared" si="344"/>
        <v>0</v>
      </c>
      <c r="AR131" s="70">
        <f t="shared" si="345"/>
        <v>0</v>
      </c>
      <c r="AS131" s="70">
        <f t="shared" si="346"/>
        <v>0</v>
      </c>
      <c r="AT131" s="70">
        <f t="shared" si="347"/>
        <v>0</v>
      </c>
      <c r="AU131" s="70">
        <f t="shared" si="348"/>
        <v>0</v>
      </c>
      <c r="AV131" s="70">
        <f t="shared" si="349"/>
        <v>0</v>
      </c>
      <c r="AW131" s="70">
        <f t="shared" si="350"/>
        <v>0</v>
      </c>
      <c r="AX131" s="1130">
        <f t="shared" si="351"/>
        <v>0</v>
      </c>
      <c r="AY131" s="1347">
        <f t="shared" si="352"/>
        <v>595000</v>
      </c>
      <c r="AZ131" s="1379">
        <f t="shared" si="353"/>
        <v>0</v>
      </c>
      <c r="BA131" s="1483">
        <f t="shared" si="354"/>
        <v>0</v>
      </c>
      <c r="BB131" s="1379"/>
      <c r="BC131" s="1374"/>
      <c r="BD131" s="1130"/>
      <c r="BE131" s="1130"/>
      <c r="BF131" s="1130"/>
      <c r="BG131" s="1130"/>
      <c r="BH131" s="71">
        <f t="shared" si="355"/>
        <v>595000</v>
      </c>
      <c r="BI131" s="70"/>
      <c r="BJ131" s="70"/>
      <c r="BK131" s="70"/>
      <c r="BL131" s="70"/>
      <c r="BM131" s="70"/>
      <c r="BN131" s="70"/>
      <c r="BO131" s="70"/>
      <c r="BP131" s="1123"/>
      <c r="BQ131" s="1123"/>
      <c r="BR131" s="1130"/>
      <c r="BS131" s="1130"/>
      <c r="BT131" s="1130"/>
      <c r="BU131" s="1130"/>
      <c r="BV131" s="1130"/>
      <c r="BW131" s="1130"/>
      <c r="BX131" s="1130"/>
      <c r="BY131" s="1130"/>
      <c r="BZ131" s="72">
        <f t="shared" si="356"/>
        <v>0</v>
      </c>
      <c r="CA131" s="686">
        <f t="shared" si="357"/>
        <v>199500</v>
      </c>
      <c r="CB131" s="687">
        <f t="shared" si="358"/>
        <v>794500</v>
      </c>
      <c r="CC131" s="688">
        <f t="shared" si="369"/>
        <v>199500</v>
      </c>
      <c r="CD131" s="630">
        <f t="shared" si="359"/>
        <v>1</v>
      </c>
      <c r="CE131" s="1081">
        <f t="shared" si="370"/>
        <v>595000</v>
      </c>
      <c r="CF131" s="1081">
        <f>85000*7</f>
        <v>595000</v>
      </c>
      <c r="CG131" s="1083">
        <f t="shared" si="360"/>
        <v>0</v>
      </c>
      <c r="CH131" s="1084"/>
      <c r="CI131" s="862"/>
      <c r="CJ131" s="862"/>
      <c r="CK131" s="862">
        <f t="shared" si="361"/>
        <v>0</v>
      </c>
      <c r="CL131" s="862">
        <f t="shared" si="362"/>
        <v>0</v>
      </c>
      <c r="CM131" s="862">
        <f t="shared" si="363"/>
        <v>0</v>
      </c>
      <c r="CN131" s="862">
        <f t="shared" si="364"/>
        <v>0</v>
      </c>
      <c r="CO131" s="862">
        <f t="shared" si="365"/>
        <v>0</v>
      </c>
      <c r="CP131" s="862">
        <f t="shared" si="366"/>
        <v>0</v>
      </c>
      <c r="CQ131" s="1103"/>
      <c r="CR131" s="862"/>
      <c r="CS131" s="862"/>
      <c r="CT131" s="862"/>
      <c r="CU131" s="73">
        <f t="shared" si="373"/>
        <v>0</v>
      </c>
      <c r="CV131" s="862"/>
      <c r="CW131" s="862"/>
      <c r="CX131" s="862"/>
      <c r="CY131" s="862"/>
      <c r="CZ131" s="862"/>
      <c r="DA131" s="862"/>
      <c r="DB131" s="862"/>
      <c r="DC131" s="862"/>
      <c r="DD131" s="1103"/>
      <c r="DE131" s="862"/>
      <c r="DF131" s="862"/>
      <c r="DG131" s="862"/>
      <c r="DH131" s="73">
        <f t="shared" si="374"/>
        <v>0</v>
      </c>
    </row>
    <row r="132" spans="1:118" s="37" customFormat="1" ht="32.25" customHeight="1" x14ac:dyDescent="0.2">
      <c r="A132" s="28">
        <f t="shared" si="372"/>
        <v>7</v>
      </c>
      <c r="B132" s="672" t="s">
        <v>32</v>
      </c>
      <c r="C132" s="29" t="s">
        <v>128</v>
      </c>
      <c r="D132" s="909">
        <v>2</v>
      </c>
      <c r="E132" s="721"/>
      <c r="F132" s="30"/>
      <c r="G132" s="30"/>
      <c r="H132" s="30"/>
      <c r="I132" s="30"/>
      <c r="J132" s="30"/>
      <c r="K132" s="30"/>
      <c r="L132" s="1162"/>
      <c r="M132" s="1349">
        <v>2</v>
      </c>
      <c r="N132" s="88"/>
      <c r="O132" s="88"/>
      <c r="P132" s="1324"/>
      <c r="Q132" s="1242"/>
      <c r="R132" s="88"/>
      <c r="S132" s="88"/>
      <c r="T132" s="88"/>
      <c r="U132" s="1127"/>
      <c r="V132" s="31">
        <f>SUM(E132:U132)</f>
        <v>2</v>
      </c>
      <c r="W132" s="910" t="s">
        <v>16</v>
      </c>
      <c r="X132" s="911">
        <v>35000</v>
      </c>
      <c r="Y132" s="691"/>
      <c r="Z132" s="691"/>
      <c r="AA132" s="685"/>
      <c r="AB132" s="685"/>
      <c r="AC132" s="685"/>
      <c r="AD132" s="685"/>
      <c r="AE132" s="685"/>
      <c r="AF132" s="1167"/>
      <c r="AG132" s="1167">
        <v>31000</v>
      </c>
      <c r="AH132" s="1164"/>
      <c r="AI132" s="1215"/>
      <c r="AJ132" s="1215"/>
      <c r="AK132" s="1243"/>
      <c r="AL132" s="1215"/>
      <c r="AM132" s="1215"/>
      <c r="AN132" s="1215"/>
      <c r="AO132" s="1164"/>
      <c r="AP132" s="1304">
        <f t="shared" si="375"/>
        <v>70000</v>
      </c>
      <c r="AQ132" s="70">
        <f t="shared" si="344"/>
        <v>0</v>
      </c>
      <c r="AR132" s="70">
        <f t="shared" si="345"/>
        <v>0</v>
      </c>
      <c r="AS132" s="70">
        <f t="shared" si="346"/>
        <v>0</v>
      </c>
      <c r="AT132" s="70">
        <f t="shared" si="347"/>
        <v>0</v>
      </c>
      <c r="AU132" s="70">
        <f t="shared" si="348"/>
        <v>0</v>
      </c>
      <c r="AV132" s="70">
        <f t="shared" si="349"/>
        <v>0</v>
      </c>
      <c r="AW132" s="70">
        <f t="shared" si="350"/>
        <v>0</v>
      </c>
      <c r="AX132" s="1130">
        <f t="shared" si="351"/>
        <v>0</v>
      </c>
      <c r="AY132" s="1347">
        <f t="shared" si="352"/>
        <v>62000</v>
      </c>
      <c r="AZ132" s="1379">
        <f t="shared" si="353"/>
        <v>0</v>
      </c>
      <c r="BA132" s="1483">
        <f t="shared" si="354"/>
        <v>0</v>
      </c>
      <c r="BB132" s="1379"/>
      <c r="BC132" s="1374"/>
      <c r="BD132" s="1130"/>
      <c r="BE132" s="1130"/>
      <c r="BF132" s="1130"/>
      <c r="BG132" s="1130"/>
      <c r="BH132" s="71">
        <f t="shared" si="355"/>
        <v>62000</v>
      </c>
      <c r="BI132" s="70"/>
      <c r="BJ132" s="70"/>
      <c r="BK132" s="70"/>
      <c r="BL132" s="70"/>
      <c r="BM132" s="70"/>
      <c r="BN132" s="70"/>
      <c r="BO132" s="70"/>
      <c r="BP132" s="1123"/>
      <c r="BQ132" s="1123">
        <f>SUM(AY132*2%)</f>
        <v>1240</v>
      </c>
      <c r="BR132" s="1130"/>
      <c r="BS132" s="1130"/>
      <c r="BT132" s="1130"/>
      <c r="BU132" s="1130"/>
      <c r="BV132" s="1130"/>
      <c r="BW132" s="1130"/>
      <c r="BX132" s="1130"/>
      <c r="BY132" s="1130"/>
      <c r="BZ132" s="72">
        <f t="shared" si="356"/>
        <v>1240</v>
      </c>
      <c r="CA132" s="686">
        <f t="shared" si="357"/>
        <v>8000</v>
      </c>
      <c r="CB132" s="687">
        <f t="shared" si="358"/>
        <v>70000</v>
      </c>
      <c r="CC132" s="688">
        <f t="shared" si="369"/>
        <v>8000</v>
      </c>
      <c r="CD132" s="630">
        <f t="shared" si="359"/>
        <v>1</v>
      </c>
      <c r="CE132" s="1081">
        <f t="shared" si="370"/>
        <v>60760</v>
      </c>
      <c r="CF132" s="1081">
        <f>30000*2</f>
        <v>60000</v>
      </c>
      <c r="CG132" s="1083">
        <f t="shared" si="360"/>
        <v>760</v>
      </c>
      <c r="CH132" s="1084"/>
      <c r="CI132" s="862"/>
      <c r="CJ132" s="862"/>
      <c r="CK132" s="862">
        <f t="shared" si="361"/>
        <v>0</v>
      </c>
      <c r="CL132" s="862">
        <f t="shared" si="362"/>
        <v>0</v>
      </c>
      <c r="CM132" s="862">
        <f t="shared" si="363"/>
        <v>0</v>
      </c>
      <c r="CN132" s="862">
        <f t="shared" si="364"/>
        <v>0</v>
      </c>
      <c r="CO132" s="862">
        <f t="shared" si="365"/>
        <v>0</v>
      </c>
      <c r="CP132" s="862">
        <f t="shared" si="366"/>
        <v>0</v>
      </c>
      <c r="CQ132" s="1103"/>
      <c r="CR132" s="862"/>
      <c r="CS132" s="862"/>
      <c r="CT132" s="862"/>
      <c r="CU132" s="73">
        <f t="shared" si="373"/>
        <v>0</v>
      </c>
      <c r="CV132" s="862"/>
      <c r="CW132" s="862"/>
      <c r="CX132" s="862"/>
      <c r="CY132" s="862"/>
      <c r="CZ132" s="862"/>
      <c r="DA132" s="862"/>
      <c r="DB132" s="862"/>
      <c r="DC132" s="862"/>
      <c r="DD132" s="1103"/>
      <c r="DE132" s="862"/>
      <c r="DF132" s="862"/>
      <c r="DG132" s="862"/>
      <c r="DH132" s="73">
        <f t="shared" si="374"/>
        <v>0</v>
      </c>
    </row>
    <row r="133" spans="1:118" s="37" customFormat="1" ht="32.25" customHeight="1" x14ac:dyDescent="0.2">
      <c r="A133" s="28">
        <f t="shared" si="372"/>
        <v>8</v>
      </c>
      <c r="B133" s="672" t="s">
        <v>500</v>
      </c>
      <c r="C133" s="29" t="s">
        <v>128</v>
      </c>
      <c r="D133" s="909">
        <v>9</v>
      </c>
      <c r="E133" s="721"/>
      <c r="F133" s="30"/>
      <c r="G133" s="30"/>
      <c r="H133" s="30"/>
      <c r="I133" s="30"/>
      <c r="J133" s="30"/>
      <c r="K133" s="30"/>
      <c r="L133" s="1162"/>
      <c r="M133" s="1349">
        <v>9</v>
      </c>
      <c r="N133" s="88"/>
      <c r="O133" s="88"/>
      <c r="P133" s="1324"/>
      <c r="Q133" s="1242"/>
      <c r="R133" s="88"/>
      <c r="S133" s="88"/>
      <c r="T133" s="88"/>
      <c r="U133" s="1127"/>
      <c r="V133" s="31">
        <f t="shared" ref="V133" si="376">SUM(E133:U133)</f>
        <v>9</v>
      </c>
      <c r="W133" s="910" t="s">
        <v>502</v>
      </c>
      <c r="X133" s="910">
        <v>100000</v>
      </c>
      <c r="Y133" s="691"/>
      <c r="Z133" s="691"/>
      <c r="AA133" s="685"/>
      <c r="AB133" s="685"/>
      <c r="AC133" s="685"/>
      <c r="AD133" s="685"/>
      <c r="AE133" s="685"/>
      <c r="AF133" s="1167"/>
      <c r="AG133" s="1167">
        <v>100000</v>
      </c>
      <c r="AH133" s="1164"/>
      <c r="AI133" s="1215"/>
      <c r="AJ133" s="1215"/>
      <c r="AK133" s="1243"/>
      <c r="AL133" s="1215"/>
      <c r="AM133" s="1215"/>
      <c r="AN133" s="1215"/>
      <c r="AO133" s="1164"/>
      <c r="AP133" s="1304">
        <f t="shared" ref="AP133" si="377">SUM(V133*X133)</f>
        <v>900000</v>
      </c>
      <c r="AQ133" s="70">
        <f t="shared" ref="AQ133:AQ137" si="378">Y133*E133</f>
        <v>0</v>
      </c>
      <c r="AR133" s="70">
        <f t="shared" ref="AR133:AR137" si="379">Z133*F133</f>
        <v>0</v>
      </c>
      <c r="AS133" s="70">
        <f t="shared" ref="AS133:AS137" si="380">AA133*G133</f>
        <v>0</v>
      </c>
      <c r="AT133" s="70">
        <f t="shared" ref="AT133:AT137" si="381">AB133*H133</f>
        <v>0</v>
      </c>
      <c r="AU133" s="70">
        <f t="shared" ref="AU133:AU137" si="382">AC133*I133</f>
        <v>0</v>
      </c>
      <c r="AV133" s="70">
        <f t="shared" ref="AV133:AV137" si="383">AD133*J133</f>
        <v>0</v>
      </c>
      <c r="AW133" s="70">
        <f t="shared" ref="AW133:AW137" si="384">AE133*K133</f>
        <v>0</v>
      </c>
      <c r="AX133" s="1130">
        <f t="shared" ref="AX133:AX137" si="385">AF133*L133</f>
        <v>0</v>
      </c>
      <c r="AY133" s="1347">
        <f t="shared" ref="AY133:AY137" si="386">AG133*M133</f>
        <v>900000</v>
      </c>
      <c r="AZ133" s="1379">
        <f t="shared" ref="AZ133:AZ137" si="387">AH133*N133</f>
        <v>0</v>
      </c>
      <c r="BA133" s="1483">
        <f t="shared" ref="BA133" si="388">AI133*O133</f>
        <v>0</v>
      </c>
      <c r="BB133" s="1379"/>
      <c r="BC133" s="1374"/>
      <c r="BD133" s="1130"/>
      <c r="BE133" s="1130"/>
      <c r="BF133" s="1130"/>
      <c r="BG133" s="1130"/>
      <c r="BH133" s="71">
        <f t="shared" si="355"/>
        <v>900000</v>
      </c>
      <c r="BI133" s="70"/>
      <c r="BJ133" s="70"/>
      <c r="BK133" s="70"/>
      <c r="BL133" s="70"/>
      <c r="BM133" s="70"/>
      <c r="BN133" s="70"/>
      <c r="BO133" s="70"/>
      <c r="BP133" s="1123"/>
      <c r="BQ133" s="1123"/>
      <c r="BR133" s="1130"/>
      <c r="BS133" s="1130"/>
      <c r="BT133" s="1130"/>
      <c r="BU133" s="1130"/>
      <c r="BV133" s="1130"/>
      <c r="BW133" s="1130"/>
      <c r="BX133" s="1130"/>
      <c r="BY133" s="1130"/>
      <c r="BZ133" s="72">
        <f t="shared" si="356"/>
        <v>0</v>
      </c>
      <c r="CA133" s="686">
        <f t="shared" si="357"/>
        <v>0</v>
      </c>
      <c r="CB133" s="687">
        <f t="shared" si="358"/>
        <v>900000</v>
      </c>
      <c r="CC133" s="688">
        <f t="shared" si="369"/>
        <v>0</v>
      </c>
      <c r="CD133" s="630">
        <f t="shared" si="359"/>
        <v>1</v>
      </c>
      <c r="CE133" s="1081">
        <f t="shared" si="370"/>
        <v>900000</v>
      </c>
      <c r="CF133" s="1081">
        <f>100000*9</f>
        <v>900000</v>
      </c>
      <c r="CG133" s="1083">
        <f t="shared" si="360"/>
        <v>0</v>
      </c>
      <c r="CH133" s="1084"/>
      <c r="CI133" s="862"/>
      <c r="CJ133" s="862"/>
      <c r="CK133" s="862">
        <f t="shared" si="361"/>
        <v>0</v>
      </c>
      <c r="CL133" s="862">
        <f t="shared" si="362"/>
        <v>0</v>
      </c>
      <c r="CM133" s="862">
        <f t="shared" si="363"/>
        <v>0</v>
      </c>
      <c r="CN133" s="862">
        <f t="shared" si="364"/>
        <v>0</v>
      </c>
      <c r="CO133" s="862">
        <f t="shared" si="365"/>
        <v>0</v>
      </c>
      <c r="CP133" s="862">
        <f t="shared" si="366"/>
        <v>0</v>
      </c>
      <c r="CQ133" s="1103"/>
      <c r="CR133" s="862"/>
      <c r="CS133" s="862"/>
      <c r="CT133" s="862"/>
      <c r="CU133" s="73">
        <f t="shared" si="373"/>
        <v>0</v>
      </c>
      <c r="CV133" s="862"/>
      <c r="CW133" s="862"/>
      <c r="CX133" s="862"/>
      <c r="CY133" s="862"/>
      <c r="CZ133" s="862"/>
      <c r="DA133" s="862"/>
      <c r="DB133" s="862"/>
      <c r="DC133" s="862"/>
      <c r="DD133" s="1103"/>
      <c r="DE133" s="862"/>
      <c r="DF133" s="862"/>
      <c r="DG133" s="862"/>
      <c r="DH133" s="73">
        <f t="shared" si="374"/>
        <v>0</v>
      </c>
    </row>
    <row r="134" spans="1:118" s="37" customFormat="1" ht="32.25" customHeight="1" x14ac:dyDescent="0.2">
      <c r="A134" s="28">
        <f t="shared" si="372"/>
        <v>9</v>
      </c>
      <c r="B134" s="672" t="s">
        <v>501</v>
      </c>
      <c r="C134" s="29" t="s">
        <v>128</v>
      </c>
      <c r="D134" s="909">
        <v>1</v>
      </c>
      <c r="E134" s="721"/>
      <c r="F134" s="30"/>
      <c r="G134" s="30"/>
      <c r="H134" s="30"/>
      <c r="I134" s="30"/>
      <c r="J134" s="30"/>
      <c r="K134" s="30"/>
      <c r="L134" s="1162"/>
      <c r="M134" s="1349">
        <v>1</v>
      </c>
      <c r="N134" s="88"/>
      <c r="O134" s="88"/>
      <c r="P134" s="1324"/>
      <c r="Q134" s="1242"/>
      <c r="R134" s="88"/>
      <c r="S134" s="88"/>
      <c r="T134" s="88"/>
      <c r="U134" s="1127"/>
      <c r="V134" s="31">
        <f t="shared" ref="V134" si="389">SUM(E134:U134)</f>
        <v>1</v>
      </c>
      <c r="W134" s="910" t="s">
        <v>33</v>
      </c>
      <c r="X134" s="911">
        <v>9000000</v>
      </c>
      <c r="Y134" s="691"/>
      <c r="Z134" s="691"/>
      <c r="AA134" s="685"/>
      <c r="AB134" s="685"/>
      <c r="AC134" s="685"/>
      <c r="AD134" s="685"/>
      <c r="AE134" s="685"/>
      <c r="AF134" s="1167"/>
      <c r="AG134" s="1167">
        <v>9000000</v>
      </c>
      <c r="AH134" s="1164"/>
      <c r="AI134" s="1215"/>
      <c r="AJ134" s="1215"/>
      <c r="AK134" s="1243"/>
      <c r="AL134" s="1215"/>
      <c r="AM134" s="1215"/>
      <c r="AN134" s="1215"/>
      <c r="AO134" s="1164"/>
      <c r="AP134" s="1304">
        <f t="shared" ref="AP134" si="390">SUM(V134*X134)</f>
        <v>9000000</v>
      </c>
      <c r="AQ134" s="70">
        <f t="shared" ref="AQ134" si="391">Y134*E134</f>
        <v>0</v>
      </c>
      <c r="AR134" s="70">
        <f t="shared" ref="AR134" si="392">Z134*F134</f>
        <v>0</v>
      </c>
      <c r="AS134" s="70">
        <f t="shared" ref="AS134" si="393">AA134*G134</f>
        <v>0</v>
      </c>
      <c r="AT134" s="70">
        <f t="shared" ref="AT134" si="394">AB134*H134</f>
        <v>0</v>
      </c>
      <c r="AU134" s="70">
        <f t="shared" ref="AU134" si="395">AC134*I134</f>
        <v>0</v>
      </c>
      <c r="AV134" s="70">
        <f t="shared" ref="AV134" si="396">AD134*J134</f>
        <v>0</v>
      </c>
      <c r="AW134" s="70">
        <f t="shared" ref="AW134" si="397">AE134*K134</f>
        <v>0</v>
      </c>
      <c r="AX134" s="1130">
        <f t="shared" ref="AX134" si="398">AF134*L134</f>
        <v>0</v>
      </c>
      <c r="AY134" s="1347">
        <f t="shared" ref="AY134" si="399">AG134*M134</f>
        <v>9000000</v>
      </c>
      <c r="AZ134" s="1379">
        <f t="shared" ref="AZ134" si="400">AH134*N134</f>
        <v>0</v>
      </c>
      <c r="BA134" s="1483">
        <f t="shared" ref="BA134" si="401">AI134*O134</f>
        <v>0</v>
      </c>
      <c r="BB134" s="1379"/>
      <c r="BC134" s="1374"/>
      <c r="BD134" s="1130"/>
      <c r="BE134" s="1130"/>
      <c r="BF134" s="1130"/>
      <c r="BG134" s="1130"/>
      <c r="BH134" s="71">
        <f t="shared" si="355"/>
        <v>9000000</v>
      </c>
      <c r="BI134" s="70"/>
      <c r="BJ134" s="70"/>
      <c r="BK134" s="70"/>
      <c r="BL134" s="70"/>
      <c r="BM134" s="70"/>
      <c r="BN134" s="70"/>
      <c r="BO134" s="70"/>
      <c r="BP134" s="1123"/>
      <c r="BQ134" s="1123">
        <f>SUM(AY134*12.5%)</f>
        <v>1125000</v>
      </c>
      <c r="BR134" s="1130"/>
      <c r="BS134" s="1130"/>
      <c r="BT134" s="1130"/>
      <c r="BU134" s="1130"/>
      <c r="BV134" s="1130"/>
      <c r="BW134" s="1130"/>
      <c r="BX134" s="1130"/>
      <c r="BY134" s="1130"/>
      <c r="BZ134" s="72">
        <f t="shared" si="356"/>
        <v>1125000</v>
      </c>
      <c r="CA134" s="686">
        <f t="shared" si="357"/>
        <v>0</v>
      </c>
      <c r="CB134" s="687">
        <f t="shared" si="358"/>
        <v>9000000</v>
      </c>
      <c r="CC134" s="688">
        <f t="shared" si="369"/>
        <v>0</v>
      </c>
      <c r="CD134" s="630">
        <f t="shared" si="359"/>
        <v>1</v>
      </c>
      <c r="CE134" s="1081">
        <f t="shared" si="370"/>
        <v>7875000</v>
      </c>
      <c r="CF134" s="1081">
        <f>7875000*1</f>
        <v>7875000</v>
      </c>
      <c r="CG134" s="1083">
        <f t="shared" si="360"/>
        <v>0</v>
      </c>
      <c r="CH134" s="1084"/>
      <c r="CI134" s="862"/>
      <c r="CJ134" s="862"/>
      <c r="CK134" s="862">
        <f t="shared" si="361"/>
        <v>0</v>
      </c>
      <c r="CL134" s="862">
        <f t="shared" si="362"/>
        <v>0</v>
      </c>
      <c r="CM134" s="862">
        <f t="shared" si="363"/>
        <v>0</v>
      </c>
      <c r="CN134" s="862">
        <f t="shared" si="364"/>
        <v>0</v>
      </c>
      <c r="CO134" s="862">
        <f t="shared" si="365"/>
        <v>0</v>
      </c>
      <c r="CP134" s="862">
        <f t="shared" si="366"/>
        <v>0</v>
      </c>
      <c r="CQ134" s="1103"/>
      <c r="CR134" s="862"/>
      <c r="CS134" s="862"/>
      <c r="CT134" s="862"/>
      <c r="CU134" s="73">
        <f t="shared" si="373"/>
        <v>0</v>
      </c>
      <c r="CV134" s="862"/>
      <c r="CW134" s="862"/>
      <c r="CX134" s="862"/>
      <c r="CY134" s="862"/>
      <c r="CZ134" s="862"/>
      <c r="DA134" s="862"/>
      <c r="DB134" s="862"/>
      <c r="DC134" s="862"/>
      <c r="DD134" s="1103"/>
      <c r="DE134" s="862"/>
      <c r="DF134" s="862"/>
      <c r="DG134" s="862"/>
      <c r="DH134" s="73">
        <f t="shared" si="374"/>
        <v>0</v>
      </c>
    </row>
    <row r="135" spans="1:118" s="37" customFormat="1" ht="26.25" customHeight="1" x14ac:dyDescent="0.2">
      <c r="A135" s="28"/>
      <c r="B135" s="151" t="s">
        <v>371</v>
      </c>
      <c r="C135" s="29"/>
      <c r="D135" s="39"/>
      <c r="E135" s="39"/>
      <c r="F135" s="148"/>
      <c r="G135" s="30"/>
      <c r="H135" s="30"/>
      <c r="I135" s="30"/>
      <c r="J135" s="30"/>
      <c r="K135" s="30"/>
      <c r="L135" s="1127"/>
      <c r="M135" s="88"/>
      <c r="N135" s="88"/>
      <c r="O135" s="88"/>
      <c r="P135" s="1324"/>
      <c r="Q135" s="1242"/>
      <c r="R135" s="88"/>
      <c r="S135" s="88"/>
      <c r="T135" s="88"/>
      <c r="U135" s="1127"/>
      <c r="V135" s="31"/>
      <c r="W135" s="39"/>
      <c r="X135" s="232"/>
      <c r="Y135" s="233"/>
      <c r="Z135" s="32"/>
      <c r="AA135" s="32"/>
      <c r="AB135" s="32"/>
      <c r="AC135" s="32"/>
      <c r="AD135" s="32"/>
      <c r="AE135" s="32"/>
      <c r="AF135" s="1168"/>
      <c r="AG135" s="1168"/>
      <c r="AH135" s="1168"/>
      <c r="AI135" s="1407"/>
      <c r="AJ135" s="1408"/>
      <c r="AK135" s="1480"/>
      <c r="AL135" s="1408"/>
      <c r="AM135" s="1408"/>
      <c r="AN135" s="1408"/>
      <c r="AO135" s="1158"/>
      <c r="AP135" s="1308"/>
      <c r="AQ135" s="34"/>
      <c r="AR135" s="34"/>
      <c r="AS135" s="34"/>
      <c r="AT135" s="34"/>
      <c r="AU135" s="34"/>
      <c r="AV135" s="34"/>
      <c r="AW135" s="34"/>
      <c r="AX135" s="1171"/>
      <c r="AY135" s="1484"/>
      <c r="AZ135" s="1485"/>
      <c r="BA135" s="1484"/>
      <c r="BB135" s="1485"/>
      <c r="BC135" s="1486"/>
      <c r="BD135" s="1171"/>
      <c r="BE135" s="1171"/>
      <c r="BF135" s="1171"/>
      <c r="BG135" s="1171"/>
      <c r="BH135" s="35"/>
      <c r="BI135" s="34"/>
      <c r="BJ135" s="34"/>
      <c r="BK135" s="34"/>
      <c r="BL135" s="34"/>
      <c r="BM135" s="34"/>
      <c r="BN135" s="34"/>
      <c r="BO135" s="34"/>
      <c r="BP135" s="1171"/>
      <c r="BQ135" s="1171"/>
      <c r="BR135" s="1171"/>
      <c r="BS135" s="1171"/>
      <c r="BT135" s="1171"/>
      <c r="BU135" s="1171"/>
      <c r="BV135" s="1171"/>
      <c r="BW135" s="1171"/>
      <c r="BX135" s="1171"/>
      <c r="BY135" s="1171"/>
      <c r="BZ135" s="72"/>
      <c r="CA135" s="686"/>
      <c r="CB135" s="687"/>
      <c r="CC135" s="688"/>
      <c r="CD135" s="163"/>
      <c r="CE135" s="1081"/>
      <c r="CF135" s="1081"/>
      <c r="CG135" s="1083"/>
      <c r="CH135" s="1084"/>
      <c r="CI135" s="862"/>
      <c r="CJ135" s="862"/>
      <c r="CK135" s="862">
        <f t="shared" si="361"/>
        <v>0</v>
      </c>
      <c r="CL135" s="862">
        <f t="shared" si="362"/>
        <v>0</v>
      </c>
      <c r="CM135" s="862">
        <f t="shared" si="363"/>
        <v>0</v>
      </c>
      <c r="CN135" s="862">
        <f t="shared" si="364"/>
        <v>0</v>
      </c>
      <c r="CO135" s="862">
        <f t="shared" si="365"/>
        <v>0</v>
      </c>
      <c r="CP135" s="862">
        <f t="shared" si="366"/>
        <v>0</v>
      </c>
      <c r="CQ135" s="1103"/>
      <c r="CR135" s="862"/>
      <c r="CS135" s="862"/>
      <c r="CT135" s="862"/>
      <c r="CU135" s="73">
        <f t="shared" si="373"/>
        <v>0</v>
      </c>
      <c r="CV135" s="862"/>
      <c r="CW135" s="862"/>
      <c r="CX135" s="862"/>
      <c r="CY135" s="862"/>
      <c r="CZ135" s="862"/>
      <c r="DA135" s="862"/>
      <c r="DB135" s="862"/>
      <c r="DC135" s="862"/>
      <c r="DD135" s="862"/>
      <c r="DE135" s="862"/>
      <c r="DF135" s="862"/>
      <c r="DG135" s="862"/>
      <c r="DH135" s="73">
        <f t="shared" si="374"/>
        <v>0</v>
      </c>
    </row>
    <row r="136" spans="1:118" s="37" customFormat="1" ht="26.25" customHeight="1" x14ac:dyDescent="0.2">
      <c r="A136" s="28">
        <v>10</v>
      </c>
      <c r="B136" s="149" t="s">
        <v>260</v>
      </c>
      <c r="C136" s="29" t="s">
        <v>24</v>
      </c>
      <c r="D136" s="152">
        <v>1200</v>
      </c>
      <c r="E136" s="838">
        <v>100</v>
      </c>
      <c r="F136" s="838">
        <v>100</v>
      </c>
      <c r="G136" s="39">
        <v>100</v>
      </c>
      <c r="H136" s="39">
        <v>100</v>
      </c>
      <c r="I136" s="39">
        <v>100</v>
      </c>
      <c r="J136" s="39">
        <v>100</v>
      </c>
      <c r="K136" s="39">
        <v>100</v>
      </c>
      <c r="L136" s="1127">
        <v>100</v>
      </c>
      <c r="M136" s="88"/>
      <c r="N136" s="1324">
        <v>100</v>
      </c>
      <c r="O136" s="88">
        <v>100</v>
      </c>
      <c r="P136" s="1324">
        <v>100</v>
      </c>
      <c r="Q136" s="1242">
        <v>100</v>
      </c>
      <c r="R136" s="88"/>
      <c r="S136" s="88"/>
      <c r="T136" s="88"/>
      <c r="U136" s="1127"/>
      <c r="V136" s="31">
        <f>SUM(E136:U136)</f>
        <v>1200</v>
      </c>
      <c r="W136" s="39" t="s">
        <v>31</v>
      </c>
      <c r="X136" s="156">
        <v>28500</v>
      </c>
      <c r="Y136" s="233">
        <v>25000</v>
      </c>
      <c r="Z136" s="233">
        <v>25000</v>
      </c>
      <c r="AA136" s="233">
        <v>25000</v>
      </c>
      <c r="AB136" s="233">
        <v>25000</v>
      </c>
      <c r="AC136" s="233">
        <v>25000</v>
      </c>
      <c r="AD136" s="233">
        <v>25000</v>
      </c>
      <c r="AE136" s="233">
        <v>25000</v>
      </c>
      <c r="AF136" s="1169">
        <v>28000</v>
      </c>
      <c r="AG136" s="1169"/>
      <c r="AH136" s="1224">
        <v>28000</v>
      </c>
      <c r="AI136" s="1224">
        <v>28000</v>
      </c>
      <c r="AJ136" s="1224">
        <v>28000</v>
      </c>
      <c r="AK136" s="1481">
        <v>28000</v>
      </c>
      <c r="AL136" s="1224"/>
      <c r="AM136" s="1224"/>
      <c r="AN136" s="1224"/>
      <c r="AO136" s="1169"/>
      <c r="AP136" s="1308">
        <f>SUM(V136*X136)</f>
        <v>34200000</v>
      </c>
      <c r="AQ136" s="70">
        <f t="shared" si="378"/>
        <v>2500000</v>
      </c>
      <c r="AR136" s="70">
        <f t="shared" si="379"/>
        <v>2500000</v>
      </c>
      <c r="AS136" s="70">
        <f t="shared" si="380"/>
        <v>2500000</v>
      </c>
      <c r="AT136" s="70">
        <f t="shared" si="381"/>
        <v>2500000</v>
      </c>
      <c r="AU136" s="70">
        <f t="shared" si="382"/>
        <v>2500000</v>
      </c>
      <c r="AV136" s="70">
        <f t="shared" si="383"/>
        <v>2500000</v>
      </c>
      <c r="AW136" s="70">
        <f t="shared" si="384"/>
        <v>2500000</v>
      </c>
      <c r="AX136" s="1123">
        <f t="shared" si="385"/>
        <v>2800000</v>
      </c>
      <c r="AY136" s="1347">
        <f t="shared" si="386"/>
        <v>0</v>
      </c>
      <c r="AZ136" s="1379">
        <f t="shared" si="387"/>
        <v>2800000</v>
      </c>
      <c r="BA136" s="1379">
        <f>AI136*O136</f>
        <v>2800000</v>
      </c>
      <c r="BB136" s="1379">
        <f>AJ136*P136</f>
        <v>2800000</v>
      </c>
      <c r="BC136" s="1374">
        <f>Q136*AK136</f>
        <v>2800000</v>
      </c>
      <c r="BD136" s="1202"/>
      <c r="BE136" s="1202"/>
      <c r="BF136" s="1202"/>
      <c r="BG136" s="1202"/>
      <c r="BH136" s="71">
        <f>SUM(AQ136:BG136)</f>
        <v>31500000</v>
      </c>
      <c r="BI136" s="70">
        <f t="shared" ref="BI136:BO136" si="402">SUM(AQ136*4%)</f>
        <v>100000</v>
      </c>
      <c r="BJ136" s="70">
        <f t="shared" si="402"/>
        <v>100000</v>
      </c>
      <c r="BK136" s="70">
        <f t="shared" si="402"/>
        <v>100000</v>
      </c>
      <c r="BL136" s="70">
        <f t="shared" si="402"/>
        <v>100000</v>
      </c>
      <c r="BM136" s="70">
        <f t="shared" si="402"/>
        <v>100000</v>
      </c>
      <c r="BN136" s="70">
        <f t="shared" si="402"/>
        <v>100000</v>
      </c>
      <c r="BO136" s="70">
        <f t="shared" si="402"/>
        <v>100000</v>
      </c>
      <c r="BP136" s="1123"/>
      <c r="BQ136" s="1123"/>
      <c r="BR136" s="1130"/>
      <c r="BS136" s="1130"/>
      <c r="BT136" s="1130"/>
      <c r="BU136" s="1130"/>
      <c r="BV136" s="1130"/>
      <c r="BW136" s="1130"/>
      <c r="BX136" s="1130"/>
      <c r="BY136" s="1130"/>
      <c r="BZ136" s="72">
        <f>SUM(BI136:BY136)</f>
        <v>700000</v>
      </c>
      <c r="CA136" s="686">
        <f>AP136-BH136-BZ136</f>
        <v>2000000</v>
      </c>
      <c r="CB136" s="687">
        <f>X136*D136</f>
        <v>34200000</v>
      </c>
      <c r="CC136" s="688">
        <f>CB136-BH136</f>
        <v>2700000</v>
      </c>
      <c r="CD136" s="163">
        <f>SUM(V136/D136)</f>
        <v>1</v>
      </c>
      <c r="CE136" s="1081">
        <f>SUM(AX136+AZ136)-(CP136+DC136+CR136+DE136)</f>
        <v>4928000</v>
      </c>
      <c r="CF136" s="1081">
        <f>24000*200</f>
        <v>4800000</v>
      </c>
      <c r="CG136" s="1083">
        <f t="shared" ref="CG136" si="403">SUM(CE136-CF136)</f>
        <v>128000</v>
      </c>
      <c r="CH136" s="1084"/>
      <c r="CI136" s="862"/>
      <c r="CJ136" s="862"/>
      <c r="CK136" s="862"/>
      <c r="CL136" s="862"/>
      <c r="CM136" s="862"/>
      <c r="CN136" s="862"/>
      <c r="CO136" s="862"/>
      <c r="CP136" s="1081">
        <f>SUM(AX136*2%)</f>
        <v>56000</v>
      </c>
      <c r="CQ136" s="1103">
        <f>SUM(AY136*2%)</f>
        <v>0</v>
      </c>
      <c r="CR136" s="1106">
        <f>SUM(AZ136*2%)</f>
        <v>56000</v>
      </c>
      <c r="CS136" s="862"/>
      <c r="CT136" s="862"/>
      <c r="CU136" s="73">
        <f t="shared" si="373"/>
        <v>112000</v>
      </c>
      <c r="CV136" s="862"/>
      <c r="CW136" s="862"/>
      <c r="CX136" s="862"/>
      <c r="CY136" s="862"/>
      <c r="CZ136" s="862"/>
      <c r="DA136" s="862"/>
      <c r="DB136" s="862"/>
      <c r="DC136" s="1081">
        <f>AX136*10%</f>
        <v>280000</v>
      </c>
      <c r="DD136" s="1103">
        <f>AY136*10%</f>
        <v>0</v>
      </c>
      <c r="DE136" s="1106">
        <f>AZ136*10%</f>
        <v>280000</v>
      </c>
      <c r="DF136" s="862"/>
      <c r="DG136" s="862"/>
      <c r="DH136" s="73">
        <f t="shared" si="374"/>
        <v>560000</v>
      </c>
    </row>
    <row r="137" spans="1:118" s="37" customFormat="1" ht="26.25" customHeight="1" thickBot="1" x14ac:dyDescent="0.25">
      <c r="A137" s="28">
        <f t="shared" si="372"/>
        <v>11</v>
      </c>
      <c r="B137" s="150" t="s">
        <v>142</v>
      </c>
      <c r="C137" s="29" t="s">
        <v>24</v>
      </c>
      <c r="D137" s="39">
        <v>24</v>
      </c>
      <c r="E137" s="838">
        <v>2</v>
      </c>
      <c r="F137" s="838">
        <v>2</v>
      </c>
      <c r="G137" s="39">
        <v>2</v>
      </c>
      <c r="H137" s="39">
        <v>2</v>
      </c>
      <c r="I137" s="39">
        <v>2</v>
      </c>
      <c r="J137" s="39">
        <v>2</v>
      </c>
      <c r="K137" s="39">
        <v>2</v>
      </c>
      <c r="L137" s="1127">
        <v>2</v>
      </c>
      <c r="M137" s="88"/>
      <c r="N137" s="1324">
        <v>2</v>
      </c>
      <c r="O137" s="88">
        <v>2</v>
      </c>
      <c r="P137" s="1324">
        <v>2</v>
      </c>
      <c r="Q137" s="1242">
        <v>2</v>
      </c>
      <c r="R137" s="88"/>
      <c r="S137" s="88"/>
      <c r="T137" s="88"/>
      <c r="U137" s="1127"/>
      <c r="V137" s="31">
        <f>SUM(E137:U137)</f>
        <v>24</v>
      </c>
      <c r="W137" s="39" t="s">
        <v>35</v>
      </c>
      <c r="X137" s="232">
        <v>400000</v>
      </c>
      <c r="Y137" s="232">
        <v>400000</v>
      </c>
      <c r="Z137" s="232">
        <v>400000</v>
      </c>
      <c r="AA137" s="232">
        <v>400000</v>
      </c>
      <c r="AB137" s="232">
        <v>400000</v>
      </c>
      <c r="AC137" s="232">
        <v>400000</v>
      </c>
      <c r="AD137" s="232">
        <v>400000</v>
      </c>
      <c r="AE137" s="232">
        <v>400000</v>
      </c>
      <c r="AF137" s="1170">
        <v>400000</v>
      </c>
      <c r="AG137" s="1170"/>
      <c r="AH137" s="1225">
        <v>400000</v>
      </c>
      <c r="AI137" s="1225">
        <v>400000</v>
      </c>
      <c r="AJ137" s="1225">
        <v>400000</v>
      </c>
      <c r="AK137" s="1482">
        <v>400000</v>
      </c>
      <c r="AL137" s="1225"/>
      <c r="AM137" s="1225"/>
      <c r="AN137" s="1225"/>
      <c r="AO137" s="1170"/>
      <c r="AP137" s="1308">
        <f>SUM(V137*X137)</f>
        <v>9600000</v>
      </c>
      <c r="AQ137" s="70">
        <f t="shared" si="378"/>
        <v>800000</v>
      </c>
      <c r="AR137" s="70">
        <f t="shared" si="379"/>
        <v>800000</v>
      </c>
      <c r="AS137" s="70">
        <f t="shared" si="380"/>
        <v>800000</v>
      </c>
      <c r="AT137" s="70">
        <f t="shared" si="381"/>
        <v>800000</v>
      </c>
      <c r="AU137" s="70">
        <f t="shared" si="382"/>
        <v>800000</v>
      </c>
      <c r="AV137" s="70">
        <f t="shared" si="383"/>
        <v>800000</v>
      </c>
      <c r="AW137" s="70">
        <f t="shared" si="384"/>
        <v>800000</v>
      </c>
      <c r="AX137" s="1123">
        <f t="shared" si="385"/>
        <v>800000</v>
      </c>
      <c r="AY137" s="1347">
        <f t="shared" si="386"/>
        <v>0</v>
      </c>
      <c r="AZ137" s="1379">
        <f t="shared" si="387"/>
        <v>800000</v>
      </c>
      <c r="BA137" s="1379">
        <f>AI137*O137</f>
        <v>800000</v>
      </c>
      <c r="BB137" s="1379">
        <f>AJ137*P137</f>
        <v>800000</v>
      </c>
      <c r="BC137" s="1374">
        <f>Q137*AK137</f>
        <v>800000</v>
      </c>
      <c r="BD137" s="1202"/>
      <c r="BE137" s="1202"/>
      <c r="BF137" s="1202"/>
      <c r="BG137" s="1202"/>
      <c r="BH137" s="71">
        <f>SUM(AQ137:BG137)</f>
        <v>9600000</v>
      </c>
      <c r="BI137" s="70"/>
      <c r="BJ137" s="70"/>
      <c r="BK137" s="70"/>
      <c r="BL137" s="70"/>
      <c r="BM137" s="70"/>
      <c r="BN137" s="70"/>
      <c r="BO137" s="70"/>
      <c r="BP137" s="1123"/>
      <c r="BQ137" s="1123"/>
      <c r="BR137" s="1130"/>
      <c r="BS137" s="1130"/>
      <c r="BT137" s="1130"/>
      <c r="BU137" s="1130"/>
      <c r="BV137" s="1130"/>
      <c r="BW137" s="1130"/>
      <c r="BX137" s="1130"/>
      <c r="BY137" s="1130"/>
      <c r="BZ137" s="72">
        <f>SUM(BI137:BY137)</f>
        <v>0</v>
      </c>
      <c r="CA137" s="686">
        <f>AP137-BH137</f>
        <v>0</v>
      </c>
      <c r="CB137" s="687">
        <f>X137*D137</f>
        <v>9600000</v>
      </c>
      <c r="CC137" s="688">
        <f>CB137-BH137</f>
        <v>0</v>
      </c>
      <c r="CD137" s="163">
        <f>SUM(V137/D137)</f>
        <v>1</v>
      </c>
      <c r="CE137" s="1081"/>
      <c r="CF137" s="1081"/>
      <c r="CG137" s="1083"/>
      <c r="CH137" s="1084"/>
      <c r="CI137" s="862"/>
      <c r="CJ137" s="862"/>
      <c r="CK137" s="862"/>
      <c r="CL137" s="862"/>
      <c r="CM137" s="862"/>
      <c r="CN137" s="862"/>
      <c r="CO137" s="862"/>
      <c r="CP137" s="1081"/>
      <c r="CQ137" s="862"/>
      <c r="CR137" s="862"/>
      <c r="CS137" s="862"/>
      <c r="CT137" s="862"/>
      <c r="CU137" s="73">
        <f t="shared" si="373"/>
        <v>0</v>
      </c>
      <c r="CV137" s="862"/>
      <c r="CW137" s="862"/>
      <c r="CX137" s="862"/>
      <c r="CY137" s="862"/>
      <c r="CZ137" s="862"/>
      <c r="DA137" s="862"/>
      <c r="DB137" s="862"/>
      <c r="DC137" s="1081"/>
      <c r="DD137" s="862"/>
      <c r="DE137" s="862"/>
      <c r="DF137" s="862"/>
      <c r="DG137" s="862"/>
      <c r="DH137" s="73">
        <f t="shared" si="374"/>
        <v>0</v>
      </c>
    </row>
    <row r="138" spans="1:118" s="40" customFormat="1" ht="24.75" customHeight="1" thickBot="1" x14ac:dyDescent="0.25">
      <c r="A138" s="577">
        <v>7</v>
      </c>
      <c r="B138" s="44" t="s">
        <v>4</v>
      </c>
      <c r="C138" s="44"/>
      <c r="D138" s="1097"/>
      <c r="E138" s="1098"/>
      <c r="F138" s="1098"/>
      <c r="G138" s="1098"/>
      <c r="H138" s="1098"/>
      <c r="I138" s="1098"/>
      <c r="J138" s="1098"/>
      <c r="K138" s="1098"/>
      <c r="L138" s="1098"/>
      <c r="M138" s="1098"/>
      <c r="N138" s="1098"/>
      <c r="O138" s="1098"/>
      <c r="P138" s="1098"/>
      <c r="Q138" s="1098"/>
      <c r="R138" s="1098"/>
      <c r="S138" s="1098"/>
      <c r="T138" s="1098"/>
      <c r="U138" s="1098"/>
      <c r="V138" s="47"/>
      <c r="W138" s="1099"/>
      <c r="X138" s="1100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3">
        <f t="shared" ref="AP138:BZ138" si="404">SUM(AP126:AP137)</f>
        <v>58779500</v>
      </c>
      <c r="AQ138" s="1588">
        <f t="shared" si="404"/>
        <v>3300000</v>
      </c>
      <c r="AR138" s="1588">
        <f t="shared" si="404"/>
        <v>3300000</v>
      </c>
      <c r="AS138" s="1588">
        <f t="shared" si="404"/>
        <v>3300000</v>
      </c>
      <c r="AT138" s="1588">
        <f t="shared" si="404"/>
        <v>3300000</v>
      </c>
      <c r="AU138" s="1588">
        <f t="shared" si="404"/>
        <v>3300000</v>
      </c>
      <c r="AV138" s="1588">
        <f t="shared" si="404"/>
        <v>3300000</v>
      </c>
      <c r="AW138" s="1588">
        <f t="shared" si="404"/>
        <v>3300000</v>
      </c>
      <c r="AX138" s="1588">
        <f t="shared" si="404"/>
        <v>3600000</v>
      </c>
      <c r="AY138" s="1589">
        <f>SUM(AY126:AY137)</f>
        <v>14667000</v>
      </c>
      <c r="AZ138" s="1589">
        <f t="shared" si="404"/>
        <v>3600000</v>
      </c>
      <c r="BA138" s="1589">
        <f>SUM(BA126:BA137)</f>
        <v>3600000</v>
      </c>
      <c r="BB138" s="1589">
        <f>SUM(BB126:BB137)</f>
        <v>3600000</v>
      </c>
      <c r="BC138" s="1589">
        <f>SUM(BC126:BC137)</f>
        <v>3600000</v>
      </c>
      <c r="BD138" s="103"/>
      <c r="BE138" s="103"/>
      <c r="BF138" s="103"/>
      <c r="BG138" s="103"/>
      <c r="BH138" s="103">
        <f t="shared" si="404"/>
        <v>55767000</v>
      </c>
      <c r="BI138" s="103">
        <f t="shared" si="404"/>
        <v>100000</v>
      </c>
      <c r="BJ138" s="103">
        <f t="shared" si="404"/>
        <v>100000</v>
      </c>
      <c r="BK138" s="103">
        <f t="shared" si="404"/>
        <v>100000</v>
      </c>
      <c r="BL138" s="103">
        <f t="shared" si="404"/>
        <v>100000</v>
      </c>
      <c r="BM138" s="103">
        <f t="shared" si="404"/>
        <v>100000</v>
      </c>
      <c r="BN138" s="103">
        <f t="shared" si="404"/>
        <v>100000</v>
      </c>
      <c r="BO138" s="103">
        <f t="shared" si="404"/>
        <v>100000</v>
      </c>
      <c r="BP138" s="103">
        <f t="shared" si="404"/>
        <v>0</v>
      </c>
      <c r="BQ138" s="103">
        <f t="shared" si="404"/>
        <v>1585840</v>
      </c>
      <c r="BR138" s="103">
        <f t="shared" si="404"/>
        <v>0</v>
      </c>
      <c r="BS138" s="103">
        <f t="shared" si="404"/>
        <v>0</v>
      </c>
      <c r="BT138" s="103"/>
      <c r="BU138" s="103"/>
      <c r="BV138" s="103"/>
      <c r="BW138" s="103"/>
      <c r="BX138" s="103"/>
      <c r="BY138" s="103"/>
      <c r="BZ138" s="103">
        <f t="shared" si="404"/>
        <v>2285840</v>
      </c>
      <c r="CA138" s="104">
        <f>SUM(CA126:CA137)</f>
        <v>2312500</v>
      </c>
      <c r="CB138" s="103">
        <f>SUM(CB126:CB137)</f>
        <v>58779500</v>
      </c>
      <c r="CC138" s="104">
        <f>SUM(CC126:CC137)</f>
        <v>3012500</v>
      </c>
      <c r="CD138" s="164">
        <f>SUM(CD126:CD137)/11</f>
        <v>1</v>
      </c>
      <c r="CE138" s="1083">
        <f>SUM(CE126:CE137)</f>
        <v>18009160</v>
      </c>
      <c r="CF138" s="1083">
        <f t="shared" ref="CF138:DH138" si="405">SUM(CF126:CF137)</f>
        <v>17810000</v>
      </c>
      <c r="CG138" s="1083">
        <f t="shared" si="405"/>
        <v>199160</v>
      </c>
      <c r="CH138" s="1084"/>
      <c r="CI138" s="1083">
        <f t="shared" si="405"/>
        <v>0</v>
      </c>
      <c r="CJ138" s="1083">
        <f t="shared" si="405"/>
        <v>0</v>
      </c>
      <c r="CK138" s="1083">
        <f t="shared" si="405"/>
        <v>0</v>
      </c>
      <c r="CL138" s="1083">
        <f t="shared" si="405"/>
        <v>0</v>
      </c>
      <c r="CM138" s="1083">
        <f t="shared" si="405"/>
        <v>0</v>
      </c>
      <c r="CN138" s="1083">
        <f t="shared" si="405"/>
        <v>0</v>
      </c>
      <c r="CO138" s="1083">
        <f t="shared" si="405"/>
        <v>0</v>
      </c>
      <c r="CP138" s="1083">
        <f t="shared" si="405"/>
        <v>56000</v>
      </c>
      <c r="CQ138" s="1083">
        <f t="shared" si="405"/>
        <v>56000</v>
      </c>
      <c r="CR138" s="1083">
        <f t="shared" si="405"/>
        <v>56000</v>
      </c>
      <c r="CS138" s="1083">
        <f t="shared" si="405"/>
        <v>0</v>
      </c>
      <c r="CT138" s="1083">
        <f t="shared" si="405"/>
        <v>0</v>
      </c>
      <c r="CU138" s="1083">
        <f t="shared" si="405"/>
        <v>168000</v>
      </c>
      <c r="CV138" s="1083">
        <f t="shared" si="405"/>
        <v>0</v>
      </c>
      <c r="CW138" s="1083">
        <f t="shared" si="405"/>
        <v>0</v>
      </c>
      <c r="CX138" s="1083">
        <f t="shared" si="405"/>
        <v>0</v>
      </c>
      <c r="CY138" s="1083">
        <f t="shared" si="405"/>
        <v>0</v>
      </c>
      <c r="CZ138" s="1083">
        <f t="shared" si="405"/>
        <v>0</v>
      </c>
      <c r="DA138" s="1083">
        <f t="shared" si="405"/>
        <v>0</v>
      </c>
      <c r="DB138" s="1083">
        <f t="shared" si="405"/>
        <v>0</v>
      </c>
      <c r="DC138" s="1083">
        <f t="shared" si="405"/>
        <v>280000</v>
      </c>
      <c r="DD138" s="1083">
        <f t="shared" si="405"/>
        <v>280000</v>
      </c>
      <c r="DE138" s="1083">
        <f t="shared" si="405"/>
        <v>280000</v>
      </c>
      <c r="DF138" s="1083">
        <f t="shared" si="405"/>
        <v>0</v>
      </c>
      <c r="DG138" s="1083">
        <f t="shared" si="405"/>
        <v>0</v>
      </c>
      <c r="DH138" s="1083">
        <f t="shared" si="405"/>
        <v>840000</v>
      </c>
    </row>
    <row r="139" spans="1:118" s="20" customFormat="1" ht="24.75" customHeight="1" x14ac:dyDescent="0.2">
      <c r="A139" s="50"/>
      <c r="D139" s="223"/>
      <c r="E139" s="50"/>
      <c r="F139" s="50"/>
      <c r="G139" s="50"/>
      <c r="H139" s="50"/>
      <c r="I139" s="50"/>
      <c r="J139" s="50"/>
      <c r="K139" s="50"/>
      <c r="L139" s="50"/>
      <c r="M139" s="50"/>
      <c r="N139" s="165"/>
      <c r="O139" s="50"/>
      <c r="P139" s="50"/>
      <c r="Q139" s="50"/>
      <c r="R139" s="50"/>
      <c r="S139" s="50"/>
      <c r="T139" s="50"/>
      <c r="U139" s="50"/>
      <c r="V139" s="50"/>
      <c r="W139" s="50"/>
      <c r="AI139" s="40"/>
      <c r="AJ139" s="40"/>
      <c r="AK139" s="40"/>
      <c r="AL139" s="40"/>
      <c r="AM139" s="40"/>
      <c r="AN139" s="40"/>
      <c r="AO139" s="40"/>
      <c r="BH139" s="51"/>
      <c r="BS139" s="40"/>
      <c r="BT139" s="40"/>
      <c r="BU139" s="40"/>
      <c r="BV139" s="40"/>
      <c r="BW139" s="40"/>
      <c r="BX139" s="40"/>
      <c r="BY139" s="40"/>
      <c r="BZ139" s="52">
        <f>SUM(BH138+BZ138)</f>
        <v>58052840</v>
      </c>
      <c r="CA139" s="53">
        <f>AP138-BH138-BZ136</f>
        <v>2312500</v>
      </c>
      <c r="CB139" s="54">
        <f>SUM(CC138+BH138)</f>
        <v>58779500</v>
      </c>
      <c r="CC139" s="55">
        <f>SUM(CA138)</f>
        <v>2312500</v>
      </c>
      <c r="CD139" s="40" t="s">
        <v>38</v>
      </c>
      <c r="CE139" s="171"/>
      <c r="CG139" s="236">
        <f>SUM(CE138-CF138)</f>
        <v>199160</v>
      </c>
      <c r="CH139" s="24"/>
      <c r="CI139" s="24"/>
      <c r="CJ139" s="24"/>
      <c r="CK139" s="24" t="s">
        <v>682</v>
      </c>
      <c r="CL139" s="24" t="s">
        <v>683</v>
      </c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</row>
    <row r="140" spans="1:118" s="20" customFormat="1" ht="24.75" customHeight="1" x14ac:dyDescent="0.2">
      <c r="A140" s="50"/>
      <c r="D140" s="223"/>
      <c r="E140" s="50"/>
      <c r="F140" s="50"/>
      <c r="G140" s="50"/>
      <c r="H140" s="50"/>
      <c r="I140" s="50"/>
      <c r="J140" s="50"/>
      <c r="K140" s="50"/>
      <c r="L140" s="50"/>
      <c r="M140" s="50"/>
      <c r="N140" s="165"/>
      <c r="O140" s="50"/>
      <c r="P140" s="50"/>
      <c r="Q140" s="50"/>
      <c r="R140" s="50"/>
      <c r="S140" s="50"/>
      <c r="T140" s="50"/>
      <c r="U140" s="50"/>
      <c r="V140" s="50"/>
      <c r="W140" s="50"/>
      <c r="AI140" s="40"/>
      <c r="AJ140" s="40"/>
      <c r="AK140" s="40"/>
      <c r="AL140" s="40"/>
      <c r="AM140" s="40"/>
      <c r="AN140" s="40"/>
      <c r="AO140" s="40"/>
      <c r="BH140" s="40"/>
      <c r="BI140" s="123">
        <f t="shared" ref="BI140:BS140" si="406">SUM(AQ138+BI138)</f>
        <v>3400000</v>
      </c>
      <c r="BJ140" s="123">
        <f t="shared" si="406"/>
        <v>3400000</v>
      </c>
      <c r="BK140" s="123">
        <f t="shared" si="406"/>
        <v>3400000</v>
      </c>
      <c r="BL140" s="123">
        <f t="shared" si="406"/>
        <v>3400000</v>
      </c>
      <c r="BM140" s="123">
        <f t="shared" si="406"/>
        <v>3400000</v>
      </c>
      <c r="BN140" s="123">
        <f t="shared" si="406"/>
        <v>3400000</v>
      </c>
      <c r="BO140" s="123">
        <f t="shared" si="406"/>
        <v>3400000</v>
      </c>
      <c r="BP140" s="1033">
        <f t="shared" si="406"/>
        <v>3600000</v>
      </c>
      <c r="BQ140" s="123">
        <f t="shared" si="406"/>
        <v>16252840</v>
      </c>
      <c r="BR140" s="123">
        <f t="shared" si="406"/>
        <v>3600000</v>
      </c>
      <c r="BS140" s="123">
        <f t="shared" si="406"/>
        <v>3600000</v>
      </c>
      <c r="BT140" s="123"/>
      <c r="BU140" s="123"/>
      <c r="BV140" s="123"/>
      <c r="BW140" s="123"/>
      <c r="BX140" s="123"/>
      <c r="BY140" s="123"/>
      <c r="BZ140" s="123">
        <f>SUM(BI140:BY140)</f>
        <v>50852840</v>
      </c>
      <c r="CA140" s="123">
        <f>SUM(CA138-CA139)</f>
        <v>0</v>
      </c>
      <c r="CB140" s="123">
        <f>SUM(CB138-CB139)</f>
        <v>0</v>
      </c>
      <c r="CC140" s="57">
        <f>SUM(CC138-CC139)</f>
        <v>700000</v>
      </c>
      <c r="CD140" s="40" t="s">
        <v>37</v>
      </c>
      <c r="CE140" s="171"/>
      <c r="CF140" s="437"/>
      <c r="CG140" s="236">
        <v>64000</v>
      </c>
      <c r="CH140" s="1105"/>
      <c r="CI140" s="24"/>
      <c r="CJ140" s="24"/>
      <c r="CK140" s="24"/>
      <c r="CL140" s="24"/>
      <c r="CM140" s="36">
        <f>CG140+CH140+CI140+CJ140+CK140+CL140</f>
        <v>64000</v>
      </c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</row>
    <row r="141" spans="1:118" s="20" customFormat="1" ht="24.75" customHeight="1" x14ac:dyDescent="0.2">
      <c r="A141" s="1730" t="s">
        <v>8</v>
      </c>
      <c r="B141" s="1731"/>
      <c r="C141" s="124" t="s">
        <v>125</v>
      </c>
      <c r="D141" s="136"/>
      <c r="E141" s="23"/>
      <c r="F141" s="23"/>
      <c r="G141" s="23"/>
      <c r="H141" s="23"/>
      <c r="I141" s="23"/>
      <c r="J141" s="23"/>
      <c r="K141" s="23"/>
      <c r="L141" s="23"/>
      <c r="M141" s="23"/>
      <c r="N141" s="1090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7"/>
      <c r="AJ141" s="137"/>
      <c r="AK141" s="137"/>
      <c r="AL141" s="137"/>
      <c r="AM141" s="137"/>
      <c r="AN141" s="137"/>
      <c r="AO141" s="137"/>
      <c r="AP141" s="23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8"/>
      <c r="BI141" s="136"/>
      <c r="BJ141" s="136"/>
      <c r="BK141" s="136"/>
      <c r="BL141" s="136"/>
      <c r="BM141" s="406"/>
      <c r="BN141" s="136"/>
      <c r="BO141" s="136"/>
      <c r="BP141" s="136"/>
      <c r="BQ141" s="136"/>
      <c r="BR141" s="136"/>
      <c r="BS141" s="137"/>
      <c r="BT141" s="137"/>
      <c r="BU141" s="137"/>
      <c r="BV141" s="137"/>
      <c r="BW141" s="137"/>
      <c r="BX141" s="137"/>
      <c r="BY141" s="137"/>
      <c r="BZ141" s="138"/>
      <c r="CA141" s="138"/>
      <c r="CB141" s="135"/>
      <c r="CC141" s="139"/>
      <c r="CD141" s="23"/>
      <c r="CE141" s="169"/>
      <c r="CF141" s="136"/>
      <c r="CG141" s="1104">
        <v>199160</v>
      </c>
      <c r="CH141" s="1319">
        <f>CG140+CG141</f>
        <v>263160</v>
      </c>
      <c r="CI141" s="136"/>
      <c r="CJ141" s="137"/>
      <c r="CK141" s="136"/>
      <c r="CL141" s="136"/>
      <c r="CM141" s="136"/>
      <c r="CN141" s="136"/>
      <c r="CO141" s="136"/>
      <c r="CP141" s="138"/>
      <c r="CQ141" s="138"/>
      <c r="CR141" s="138"/>
      <c r="CS141" s="135"/>
      <c r="CT141" s="139"/>
      <c r="CU141" s="138"/>
      <c r="CV141" s="138"/>
      <c r="CW141" s="24"/>
      <c r="CX141" s="24"/>
      <c r="CY141" s="24"/>
      <c r="CZ141" s="24"/>
      <c r="DA141" s="24"/>
      <c r="DB141" s="140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</row>
    <row r="142" spans="1:118" s="8" customFormat="1" ht="48.75" customHeight="1" x14ac:dyDescent="0.2">
      <c r="A142" s="1703" t="s">
        <v>10</v>
      </c>
      <c r="B142" s="1706" t="s">
        <v>11</v>
      </c>
      <c r="C142" s="1706" t="s">
        <v>22</v>
      </c>
      <c r="D142" s="1721" t="s">
        <v>12</v>
      </c>
      <c r="E142" s="1721"/>
      <c r="F142" s="1721"/>
      <c r="G142" s="1721"/>
      <c r="H142" s="1721"/>
      <c r="I142" s="1721"/>
      <c r="J142" s="1721"/>
      <c r="K142" s="1721"/>
      <c r="L142" s="1721"/>
      <c r="M142" s="1721"/>
      <c r="N142" s="1721"/>
      <c r="O142" s="1721"/>
      <c r="P142" s="1721"/>
      <c r="Q142" s="1721"/>
      <c r="R142" s="1721"/>
      <c r="S142" s="1721"/>
      <c r="T142" s="1721"/>
      <c r="U142" s="1721"/>
      <c r="V142" s="1721"/>
      <c r="W142" s="1706" t="s">
        <v>20</v>
      </c>
      <c r="X142" s="1717" t="s">
        <v>17</v>
      </c>
      <c r="Y142" s="1718"/>
      <c r="Z142" s="1718"/>
      <c r="AA142" s="1718"/>
      <c r="AB142" s="1718"/>
      <c r="AC142" s="1718"/>
      <c r="AD142" s="1718"/>
      <c r="AE142" s="1718"/>
      <c r="AF142" s="1718"/>
      <c r="AG142" s="1718"/>
      <c r="AH142" s="1718"/>
      <c r="AI142" s="1718"/>
      <c r="AJ142" s="1718"/>
      <c r="AK142" s="1718"/>
      <c r="AL142" s="1718"/>
      <c r="AM142" s="1718"/>
      <c r="AN142" s="1718"/>
      <c r="AO142" s="1719"/>
      <c r="AP142" s="1720" t="s">
        <v>6</v>
      </c>
      <c r="AQ142" s="1720"/>
      <c r="AR142" s="1720"/>
      <c r="AS142" s="1720"/>
      <c r="AT142" s="1720"/>
      <c r="AU142" s="1720"/>
      <c r="AV142" s="1720"/>
      <c r="AW142" s="1720"/>
      <c r="AX142" s="1720"/>
      <c r="AY142" s="1720"/>
      <c r="AZ142" s="1720"/>
      <c r="BA142" s="1720"/>
      <c r="BB142" s="1720"/>
      <c r="BC142" s="1720"/>
      <c r="BD142" s="1720"/>
      <c r="BE142" s="1720"/>
      <c r="BF142" s="1720"/>
      <c r="BG142" s="1720"/>
      <c r="BH142" s="1720"/>
      <c r="BI142" s="1722" t="s">
        <v>41</v>
      </c>
      <c r="BJ142" s="1723"/>
      <c r="BK142" s="1723"/>
      <c r="BL142" s="1723"/>
      <c r="BM142" s="1723"/>
      <c r="BN142" s="1723"/>
      <c r="BO142" s="1723"/>
      <c r="BP142" s="1723"/>
      <c r="BQ142" s="1723"/>
      <c r="BR142" s="1723"/>
      <c r="BS142" s="1723"/>
      <c r="BT142" s="1723"/>
      <c r="BU142" s="1723"/>
      <c r="BV142" s="1723"/>
      <c r="BW142" s="1723"/>
      <c r="BX142" s="1723"/>
      <c r="BY142" s="1723"/>
      <c r="BZ142" s="1724"/>
      <c r="CA142" s="1706" t="s">
        <v>38</v>
      </c>
      <c r="CB142" s="1706" t="s">
        <v>256</v>
      </c>
      <c r="CC142" s="1794" t="s">
        <v>39</v>
      </c>
      <c r="CD142" s="135"/>
      <c r="CE142" s="135"/>
      <c r="CF142" s="135"/>
      <c r="CG142" s="135"/>
      <c r="CH142" s="135"/>
      <c r="CI142" s="1733" t="s">
        <v>41</v>
      </c>
      <c r="CJ142" s="1734"/>
      <c r="CK142" s="1734"/>
      <c r="CL142" s="1734"/>
      <c r="CM142" s="1734"/>
      <c r="CN142" s="1734"/>
      <c r="CO142" s="1734"/>
      <c r="CP142" s="1734"/>
      <c r="CQ142" s="1734"/>
      <c r="CR142" s="1734"/>
      <c r="CS142" s="1734"/>
      <c r="CT142" s="1734"/>
      <c r="CU142" s="1734"/>
      <c r="CV142" s="1734"/>
      <c r="CW142" s="1734"/>
      <c r="CX142" s="1734"/>
      <c r="CY142" s="1734"/>
      <c r="CZ142" s="1734"/>
      <c r="DA142" s="1734"/>
      <c r="DB142" s="1734"/>
      <c r="DC142" s="1734"/>
      <c r="DD142" s="1734"/>
      <c r="DE142" s="1734"/>
      <c r="DF142" s="1734"/>
      <c r="DG142" s="1734"/>
      <c r="DH142" s="1735"/>
    </row>
    <row r="143" spans="1:118" s="8" customFormat="1" ht="48.75" customHeight="1" x14ac:dyDescent="0.2">
      <c r="A143" s="1704"/>
      <c r="B143" s="1707"/>
      <c r="C143" s="1707"/>
      <c r="D143" s="1712" t="s">
        <v>18</v>
      </c>
      <c r="E143" s="1714" t="s">
        <v>19</v>
      </c>
      <c r="F143" s="1715"/>
      <c r="G143" s="1715"/>
      <c r="H143" s="1715"/>
      <c r="I143" s="1715"/>
      <c r="J143" s="1715"/>
      <c r="K143" s="1715"/>
      <c r="L143" s="1715"/>
      <c r="M143" s="1715"/>
      <c r="N143" s="1715"/>
      <c r="O143" s="1715"/>
      <c r="P143" s="1715"/>
      <c r="Q143" s="1715"/>
      <c r="R143" s="1715"/>
      <c r="S143" s="1715"/>
      <c r="T143" s="1715"/>
      <c r="U143" s="1715"/>
      <c r="V143" s="1715"/>
      <c r="W143" s="1707"/>
      <c r="X143" s="1712" t="s">
        <v>18</v>
      </c>
      <c r="Y143" s="1714" t="s">
        <v>19</v>
      </c>
      <c r="Z143" s="1715"/>
      <c r="AA143" s="1715"/>
      <c r="AB143" s="1715"/>
      <c r="AC143" s="1715"/>
      <c r="AD143" s="1715"/>
      <c r="AE143" s="1715"/>
      <c r="AF143" s="1715"/>
      <c r="AG143" s="1715"/>
      <c r="AH143" s="1715"/>
      <c r="AI143" s="1715"/>
      <c r="AJ143" s="1715"/>
      <c r="AK143" s="1715"/>
      <c r="AL143" s="1715"/>
      <c r="AM143" s="1715"/>
      <c r="AN143" s="1715"/>
      <c r="AO143" s="1716"/>
      <c r="AP143" s="1712" t="s">
        <v>18</v>
      </c>
      <c r="AQ143" s="1714" t="s">
        <v>19</v>
      </c>
      <c r="AR143" s="1715"/>
      <c r="AS143" s="1715"/>
      <c r="AT143" s="1715"/>
      <c r="AU143" s="1715"/>
      <c r="AV143" s="1715"/>
      <c r="AW143" s="1715"/>
      <c r="AX143" s="1715"/>
      <c r="AY143" s="1715"/>
      <c r="AZ143" s="1715"/>
      <c r="BA143" s="1715"/>
      <c r="BB143" s="1715"/>
      <c r="BC143" s="1715"/>
      <c r="BD143" s="1715"/>
      <c r="BE143" s="1715"/>
      <c r="BF143" s="1715"/>
      <c r="BG143" s="1715"/>
      <c r="BH143" s="1716"/>
      <c r="BI143" s="1725"/>
      <c r="BJ143" s="1726"/>
      <c r="BK143" s="1726"/>
      <c r="BL143" s="1726"/>
      <c r="BM143" s="1726"/>
      <c r="BN143" s="1726"/>
      <c r="BO143" s="1726"/>
      <c r="BP143" s="1726"/>
      <c r="BQ143" s="1726"/>
      <c r="BR143" s="1726"/>
      <c r="BS143" s="1726"/>
      <c r="BT143" s="1726"/>
      <c r="BU143" s="1726"/>
      <c r="BV143" s="1726"/>
      <c r="BW143" s="1726"/>
      <c r="BX143" s="1726"/>
      <c r="BY143" s="1726"/>
      <c r="BZ143" s="1727"/>
      <c r="CA143" s="1707"/>
      <c r="CB143" s="1707"/>
      <c r="CC143" s="1795"/>
      <c r="CD143" s="135"/>
      <c r="CE143" s="1736">
        <f>SUM(CE145/60)</f>
        <v>0</v>
      </c>
      <c r="CF143" s="1736"/>
      <c r="CG143" s="1736"/>
      <c r="CH143" s="23"/>
      <c r="CI143" s="1737" t="s">
        <v>686</v>
      </c>
      <c r="CJ143" s="1738"/>
      <c r="CK143" s="1738"/>
      <c r="CL143" s="1738"/>
      <c r="CM143" s="1738"/>
      <c r="CN143" s="1738"/>
      <c r="CO143" s="1738"/>
      <c r="CP143" s="1738"/>
      <c r="CQ143" s="1738"/>
      <c r="CR143" s="1738"/>
      <c r="CS143" s="1738"/>
      <c r="CT143" s="1738"/>
      <c r="CU143" s="1739"/>
      <c r="CV143" s="1740" t="s">
        <v>687</v>
      </c>
      <c r="CW143" s="1741"/>
      <c r="CX143" s="1741"/>
      <c r="CY143" s="1741"/>
      <c r="CZ143" s="1741"/>
      <c r="DA143" s="1741"/>
      <c r="DB143" s="1741"/>
      <c r="DC143" s="1741"/>
      <c r="DD143" s="1741"/>
      <c r="DE143" s="1741"/>
      <c r="DF143" s="1741"/>
      <c r="DG143" s="1741"/>
      <c r="DH143" s="1742"/>
    </row>
    <row r="144" spans="1:118" s="6" customFormat="1" ht="28.5" customHeight="1" x14ac:dyDescent="0.2">
      <c r="A144" s="1704"/>
      <c r="B144" s="1707"/>
      <c r="C144" s="1707"/>
      <c r="D144" s="1784"/>
      <c r="E144" s="26">
        <v>1</v>
      </c>
      <c r="F144" s="26">
        <v>2</v>
      </c>
      <c r="G144" s="26">
        <v>3</v>
      </c>
      <c r="H144" s="26">
        <v>4</v>
      </c>
      <c r="I144" s="26">
        <v>5</v>
      </c>
      <c r="J144" s="26">
        <v>6</v>
      </c>
      <c r="K144" s="26">
        <v>7</v>
      </c>
      <c r="L144" s="26">
        <v>8</v>
      </c>
      <c r="M144" s="26">
        <v>9</v>
      </c>
      <c r="N144" s="26">
        <v>10</v>
      </c>
      <c r="O144" s="26">
        <v>11</v>
      </c>
      <c r="P144" s="26">
        <v>12</v>
      </c>
      <c r="Q144" s="26">
        <v>13</v>
      </c>
      <c r="R144" s="26">
        <v>14</v>
      </c>
      <c r="S144" s="26">
        <v>15</v>
      </c>
      <c r="T144" s="26">
        <v>16</v>
      </c>
      <c r="U144" s="26">
        <v>17</v>
      </c>
      <c r="V144" s="26" t="s">
        <v>21</v>
      </c>
      <c r="W144" s="1707"/>
      <c r="X144" s="1784"/>
      <c r="Y144" s="26">
        <v>1</v>
      </c>
      <c r="Z144" s="26">
        <v>2</v>
      </c>
      <c r="AA144" s="26">
        <v>3</v>
      </c>
      <c r="AB144" s="26">
        <v>4</v>
      </c>
      <c r="AC144" s="26">
        <v>5</v>
      </c>
      <c r="AD144" s="26">
        <v>6</v>
      </c>
      <c r="AE144" s="26">
        <v>7</v>
      </c>
      <c r="AF144" s="26">
        <v>8</v>
      </c>
      <c r="AG144" s="26">
        <v>9</v>
      </c>
      <c r="AH144" s="26">
        <v>10</v>
      </c>
      <c r="AI144" s="26">
        <v>11</v>
      </c>
      <c r="AJ144" s="26">
        <v>12</v>
      </c>
      <c r="AK144" s="26">
        <v>13</v>
      </c>
      <c r="AL144" s="26">
        <v>14</v>
      </c>
      <c r="AM144" s="26">
        <v>15</v>
      </c>
      <c r="AN144" s="26">
        <v>16</v>
      </c>
      <c r="AO144" s="26">
        <v>17</v>
      </c>
      <c r="AP144" s="1784"/>
      <c r="AQ144" s="26">
        <v>1</v>
      </c>
      <c r="AR144" s="26">
        <v>2</v>
      </c>
      <c r="AS144" s="26">
        <v>3</v>
      </c>
      <c r="AT144" s="26">
        <v>4</v>
      </c>
      <c r="AU144" s="26">
        <v>5</v>
      </c>
      <c r="AV144" s="26">
        <v>6</v>
      </c>
      <c r="AW144" s="26">
        <v>7</v>
      </c>
      <c r="AX144" s="26">
        <v>8</v>
      </c>
      <c r="AY144" s="26">
        <v>9</v>
      </c>
      <c r="AZ144" s="26">
        <v>10</v>
      </c>
      <c r="BA144" s="26">
        <v>11</v>
      </c>
      <c r="BB144" s="26">
        <v>12</v>
      </c>
      <c r="BC144" s="26">
        <v>13</v>
      </c>
      <c r="BD144" s="26">
        <v>14</v>
      </c>
      <c r="BE144" s="26">
        <v>15</v>
      </c>
      <c r="BF144" s="26">
        <v>16</v>
      </c>
      <c r="BG144" s="26">
        <v>17</v>
      </c>
      <c r="BH144" s="26" t="s">
        <v>13</v>
      </c>
      <c r="BI144" s="173">
        <v>1</v>
      </c>
      <c r="BJ144" s="173">
        <v>2</v>
      </c>
      <c r="BK144" s="173">
        <v>3</v>
      </c>
      <c r="BL144" s="173">
        <v>4</v>
      </c>
      <c r="BM144" s="173">
        <v>5</v>
      </c>
      <c r="BN144" s="173">
        <v>6</v>
      </c>
      <c r="BO144" s="173">
        <v>7</v>
      </c>
      <c r="BP144" s="173">
        <v>8</v>
      </c>
      <c r="BQ144" s="173">
        <v>9</v>
      </c>
      <c r="BR144" s="173">
        <v>10</v>
      </c>
      <c r="BS144" s="173">
        <v>11</v>
      </c>
      <c r="BT144" s="173">
        <v>12</v>
      </c>
      <c r="BU144" s="173">
        <v>13</v>
      </c>
      <c r="BV144" s="173">
        <v>14</v>
      </c>
      <c r="BW144" s="173">
        <v>15</v>
      </c>
      <c r="BX144" s="173">
        <v>16</v>
      </c>
      <c r="BY144" s="173">
        <v>17</v>
      </c>
      <c r="BZ144" s="26" t="s">
        <v>13</v>
      </c>
      <c r="CA144" s="1707"/>
      <c r="CB144" s="1707"/>
      <c r="CC144" s="1795"/>
      <c r="CD144" s="7"/>
      <c r="CE144" s="1743" t="s">
        <v>19</v>
      </c>
      <c r="CF144" s="1744"/>
      <c r="CG144" s="1745"/>
      <c r="CH144" s="621"/>
      <c r="CI144" s="173">
        <v>1</v>
      </c>
      <c r="CJ144" s="173">
        <v>2</v>
      </c>
      <c r="CK144" s="173">
        <v>3</v>
      </c>
      <c r="CL144" s="173">
        <v>4</v>
      </c>
      <c r="CM144" s="173">
        <v>5</v>
      </c>
      <c r="CN144" s="173">
        <v>6</v>
      </c>
      <c r="CO144" s="173">
        <v>7</v>
      </c>
      <c r="CP144" s="173">
        <v>8</v>
      </c>
      <c r="CQ144" s="173">
        <v>9</v>
      </c>
      <c r="CR144" s="173">
        <v>10</v>
      </c>
      <c r="CS144" s="173">
        <v>11</v>
      </c>
      <c r="CT144" s="173">
        <v>12</v>
      </c>
      <c r="CU144" s="26" t="s">
        <v>13</v>
      </c>
      <c r="CV144" s="173">
        <v>1</v>
      </c>
      <c r="CW144" s="173">
        <v>2</v>
      </c>
      <c r="CX144" s="173">
        <v>3</v>
      </c>
      <c r="CY144" s="173">
        <v>4</v>
      </c>
      <c r="CZ144" s="173">
        <v>5</v>
      </c>
      <c r="DA144" s="173">
        <v>6</v>
      </c>
      <c r="DB144" s="173">
        <v>7</v>
      </c>
      <c r="DC144" s="173">
        <v>8</v>
      </c>
      <c r="DD144" s="173">
        <v>9</v>
      </c>
      <c r="DE144" s="173">
        <v>10</v>
      </c>
      <c r="DF144" s="173">
        <v>11</v>
      </c>
      <c r="DG144" s="173">
        <v>12</v>
      </c>
      <c r="DH144" s="26" t="s">
        <v>13</v>
      </c>
    </row>
    <row r="145" spans="1:112" s="637" customFormat="1" ht="28.5" customHeight="1" x14ac:dyDescent="0.2">
      <c r="A145" s="617"/>
      <c r="B145" s="735" t="s">
        <v>503</v>
      </c>
      <c r="C145" s="634"/>
      <c r="D145" s="705"/>
      <c r="E145" s="634"/>
      <c r="F145" s="634"/>
      <c r="G145" s="634"/>
      <c r="H145" s="634"/>
      <c r="I145" s="634"/>
      <c r="J145" s="634"/>
      <c r="K145" s="634"/>
      <c r="L145" s="634"/>
      <c r="M145" s="634"/>
      <c r="N145" s="1175"/>
      <c r="O145" s="634"/>
      <c r="P145" s="634"/>
      <c r="Q145" s="634"/>
      <c r="R145" s="634"/>
      <c r="S145" s="634"/>
      <c r="T145" s="634"/>
      <c r="U145" s="634"/>
      <c r="V145" s="634"/>
      <c r="W145" s="634"/>
      <c r="X145" s="634"/>
      <c r="Y145" s="634"/>
      <c r="Z145" s="634"/>
      <c r="AA145" s="634"/>
      <c r="AB145" s="634"/>
      <c r="AC145" s="634"/>
      <c r="AD145" s="634"/>
      <c r="AE145" s="634"/>
      <c r="AF145" s="634"/>
      <c r="AG145" s="634"/>
      <c r="AH145" s="634"/>
      <c r="AI145" s="1175"/>
      <c r="AJ145" s="1175"/>
      <c r="AK145" s="1175"/>
      <c r="AL145" s="1175"/>
      <c r="AM145" s="1175"/>
      <c r="AN145" s="1175"/>
      <c r="AO145" s="634"/>
      <c r="AP145" s="634"/>
      <c r="AQ145" s="634"/>
      <c r="AR145" s="634"/>
      <c r="AS145" s="634"/>
      <c r="AT145" s="634"/>
      <c r="AU145" s="634"/>
      <c r="AV145" s="634"/>
      <c r="AW145" s="634"/>
      <c r="AX145" s="634"/>
      <c r="AY145" s="634"/>
      <c r="AZ145" s="634"/>
      <c r="BA145" s="634"/>
      <c r="BB145" s="634"/>
      <c r="BC145" s="634"/>
      <c r="BD145" s="634"/>
      <c r="BE145" s="634"/>
      <c r="BF145" s="634"/>
      <c r="BG145" s="634"/>
      <c r="BH145" s="634"/>
      <c r="BI145" s="634"/>
      <c r="BJ145" s="634"/>
      <c r="BK145" s="634"/>
      <c r="BL145" s="634"/>
      <c r="BM145" s="634"/>
      <c r="BN145" s="634"/>
      <c r="BO145" s="634"/>
      <c r="BP145" s="634"/>
      <c r="BQ145" s="634"/>
      <c r="BR145" s="634"/>
      <c r="BS145" s="1175"/>
      <c r="BT145" s="1175"/>
      <c r="BU145" s="1175"/>
      <c r="BV145" s="1175"/>
      <c r="BW145" s="1175"/>
      <c r="BX145" s="1175"/>
      <c r="BY145" s="1175"/>
      <c r="BZ145" s="634"/>
      <c r="CA145" s="622"/>
      <c r="CB145" s="618"/>
      <c r="CC145" s="667"/>
      <c r="CD145" s="37"/>
      <c r="CE145" s="1081"/>
      <c r="CF145" s="1081"/>
      <c r="CG145" s="1083"/>
      <c r="CH145" s="1084"/>
      <c r="CI145" s="862"/>
      <c r="CJ145" s="862"/>
      <c r="CK145" s="862"/>
      <c r="CL145" s="862"/>
      <c r="CM145" s="862"/>
      <c r="CN145" s="862"/>
      <c r="CO145" s="862"/>
      <c r="CP145" s="862"/>
      <c r="CQ145" s="1081">
        <f t="shared" ref="CQ145:CQ160" si="407">SUM(AX145*12.5%)</f>
        <v>0</v>
      </c>
      <c r="CR145" s="862"/>
      <c r="CS145" s="862"/>
      <c r="CT145" s="862"/>
      <c r="CU145" s="73">
        <f t="shared" ref="CU145" si="408">SUM(CI145:CT145)</f>
        <v>0</v>
      </c>
      <c r="CV145" s="862"/>
      <c r="CW145" s="862"/>
      <c r="CX145" s="862"/>
      <c r="CY145" s="862"/>
      <c r="CZ145" s="862"/>
      <c r="DA145" s="862"/>
      <c r="DB145" s="862"/>
      <c r="DC145" s="862"/>
      <c r="DD145" s="1081"/>
      <c r="DE145" s="862"/>
      <c r="DF145" s="862"/>
      <c r="DG145" s="862"/>
      <c r="DH145" s="73">
        <f t="shared" ref="DH145:DH147" si="409">SUM(CV145:DG145)</f>
        <v>0</v>
      </c>
    </row>
    <row r="146" spans="1:112" s="37" customFormat="1" ht="24.75" customHeight="1" x14ac:dyDescent="0.2">
      <c r="A146" s="28"/>
      <c r="B146" s="736" t="s">
        <v>504</v>
      </c>
      <c r="C146" s="205" t="s">
        <v>25</v>
      </c>
      <c r="D146" s="737">
        <v>50</v>
      </c>
      <c r="E146" s="676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8">
        <f t="shared" ref="V146:V151" si="410">SUM(E146:U146)</f>
        <v>0</v>
      </c>
      <c r="W146" s="738" t="s">
        <v>0</v>
      </c>
      <c r="X146" s="739">
        <v>10300</v>
      </c>
      <c r="Y146" s="712"/>
      <c r="Z146" s="677"/>
      <c r="AA146" s="677"/>
      <c r="AB146" s="677"/>
      <c r="AC146" s="677"/>
      <c r="AD146" s="677"/>
      <c r="AE146" s="677"/>
      <c r="AF146" s="677"/>
      <c r="AG146" s="677"/>
      <c r="AH146" s="677"/>
      <c r="AI146" s="677"/>
      <c r="AJ146" s="677"/>
      <c r="AK146" s="677"/>
      <c r="AL146" s="677"/>
      <c r="AM146" s="677"/>
      <c r="AN146" s="677"/>
      <c r="AO146" s="677"/>
      <c r="AP146" s="1307">
        <f t="shared" ref="AP146:AP151" si="411">SUM(V146*X146)</f>
        <v>0</v>
      </c>
      <c r="AQ146" s="678">
        <f t="shared" ref="AQ146:BA151" si="412">Y146*E146</f>
        <v>0</v>
      </c>
      <c r="AR146" s="678">
        <f t="shared" si="412"/>
        <v>0</v>
      </c>
      <c r="AS146" s="678">
        <f t="shared" si="412"/>
        <v>0</v>
      </c>
      <c r="AT146" s="678">
        <f t="shared" si="412"/>
        <v>0</v>
      </c>
      <c r="AU146" s="678">
        <f t="shared" si="412"/>
        <v>0</v>
      </c>
      <c r="AV146" s="678">
        <f t="shared" si="412"/>
        <v>0</v>
      </c>
      <c r="AW146" s="678">
        <f t="shared" si="412"/>
        <v>0</v>
      </c>
      <c r="AX146" s="678">
        <f t="shared" si="412"/>
        <v>0</v>
      </c>
      <c r="AY146" s="678">
        <f t="shared" si="412"/>
        <v>0</v>
      </c>
      <c r="AZ146" s="678">
        <f t="shared" si="412"/>
        <v>0</v>
      </c>
      <c r="BA146" s="678">
        <f t="shared" si="412"/>
        <v>0</v>
      </c>
      <c r="BB146" s="678"/>
      <c r="BC146" s="678"/>
      <c r="BD146" s="678"/>
      <c r="BE146" s="678"/>
      <c r="BF146" s="678"/>
      <c r="BG146" s="678"/>
      <c r="BH146" s="679">
        <f t="shared" ref="BH146:BH151" si="413">SUM(AQ146:BG146)</f>
        <v>0</v>
      </c>
      <c r="BI146" s="678">
        <f>SUM(AQ146*14%)</f>
        <v>0</v>
      </c>
      <c r="BJ146" s="678">
        <f>SUM(AR146*3%)</f>
        <v>0</v>
      </c>
      <c r="BK146" s="678">
        <f t="shared" ref="BK146:BS151" si="414">SUM(AS146*14%)</f>
        <v>0</v>
      </c>
      <c r="BL146" s="678">
        <f t="shared" si="414"/>
        <v>0</v>
      </c>
      <c r="BM146" s="678">
        <f t="shared" si="414"/>
        <v>0</v>
      </c>
      <c r="BN146" s="678">
        <f t="shared" si="414"/>
        <v>0</v>
      </c>
      <c r="BO146" s="678">
        <f t="shared" si="414"/>
        <v>0</v>
      </c>
      <c r="BP146" s="678">
        <f t="shared" si="414"/>
        <v>0</v>
      </c>
      <c r="BQ146" s="678">
        <f t="shared" si="414"/>
        <v>0</v>
      </c>
      <c r="BR146" s="678">
        <f t="shared" si="414"/>
        <v>0</v>
      </c>
      <c r="BS146" s="678">
        <f t="shared" si="414"/>
        <v>0</v>
      </c>
      <c r="BT146" s="678"/>
      <c r="BU146" s="678"/>
      <c r="BV146" s="678"/>
      <c r="BW146" s="678"/>
      <c r="BX146" s="678"/>
      <c r="BY146" s="678"/>
      <c r="BZ146" s="680">
        <f t="shared" ref="BZ146:BZ151" si="415">SUM(BI146:BY146)</f>
        <v>0</v>
      </c>
      <c r="CA146" s="686">
        <f t="shared" ref="CA146:CA151" si="416">AP146-BH146-BZ146</f>
        <v>0</v>
      </c>
      <c r="CB146" s="687">
        <f t="shared" ref="CB146:CB151" si="417">X146*D146</f>
        <v>515000</v>
      </c>
      <c r="CC146" s="688">
        <f t="shared" ref="CC146:CC151" si="418">CB146-BH146-BZ146</f>
        <v>515000</v>
      </c>
      <c r="CD146" s="630">
        <f t="shared" ref="CD146:CD151" si="419">SUM(V146/D146)</f>
        <v>0</v>
      </c>
      <c r="CE146" s="1081"/>
      <c r="CF146" s="1081"/>
      <c r="CG146" s="1107"/>
      <c r="CH146" s="1084"/>
      <c r="CI146" s="862"/>
      <c r="CJ146" s="862"/>
      <c r="CK146" s="862"/>
      <c r="CL146" s="862"/>
      <c r="CM146" s="862"/>
      <c r="CN146" s="862"/>
      <c r="CO146" s="862"/>
      <c r="CP146" s="862"/>
      <c r="CQ146" s="1081">
        <f t="shared" si="407"/>
        <v>0</v>
      </c>
      <c r="CR146" s="862"/>
      <c r="CS146" s="862"/>
      <c r="CT146" s="862"/>
      <c r="CU146" s="73">
        <f t="shared" ref="CU146:CU147" si="420">SUM(CI146:CT146)</f>
        <v>0</v>
      </c>
      <c r="CV146" s="862"/>
      <c r="CW146" s="862"/>
      <c r="CX146" s="862"/>
      <c r="CY146" s="862"/>
      <c r="CZ146" s="862"/>
      <c r="DA146" s="862"/>
      <c r="DB146" s="862"/>
      <c r="DC146" s="862"/>
      <c r="DD146" s="1081"/>
      <c r="DE146" s="862"/>
      <c r="DF146" s="862"/>
      <c r="DG146" s="862"/>
      <c r="DH146" s="73">
        <f t="shared" si="409"/>
        <v>0</v>
      </c>
    </row>
    <row r="147" spans="1:112" s="37" customFormat="1" ht="24.75" customHeight="1" x14ac:dyDescent="0.2">
      <c r="A147" s="28"/>
      <c r="B147" s="736" t="s">
        <v>505</v>
      </c>
      <c r="C147" s="29" t="s">
        <v>25</v>
      </c>
      <c r="D147" s="711">
        <v>2</v>
      </c>
      <c r="E147" s="683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1">
        <f t="shared" si="410"/>
        <v>0</v>
      </c>
      <c r="W147" s="696" t="s">
        <v>119</v>
      </c>
      <c r="X147" s="740">
        <v>150000</v>
      </c>
      <c r="Y147" s="691"/>
      <c r="Z147" s="685"/>
      <c r="AA147" s="685"/>
      <c r="AB147" s="685"/>
      <c r="AC147" s="685"/>
      <c r="AD147" s="685"/>
      <c r="AE147" s="685"/>
      <c r="AF147" s="685"/>
      <c r="AG147" s="685"/>
      <c r="AH147" s="685"/>
      <c r="AI147" s="685"/>
      <c r="AJ147" s="685"/>
      <c r="AK147" s="685"/>
      <c r="AL147" s="685"/>
      <c r="AM147" s="685"/>
      <c r="AN147" s="685"/>
      <c r="AO147" s="685"/>
      <c r="AP147" s="1304">
        <f t="shared" si="411"/>
        <v>0</v>
      </c>
      <c r="AQ147" s="70">
        <f t="shared" si="412"/>
        <v>0</v>
      </c>
      <c r="AR147" s="70">
        <f t="shared" si="412"/>
        <v>0</v>
      </c>
      <c r="AS147" s="70">
        <f t="shared" si="412"/>
        <v>0</v>
      </c>
      <c r="AT147" s="70">
        <f t="shared" si="412"/>
        <v>0</v>
      </c>
      <c r="AU147" s="70">
        <f t="shared" si="412"/>
        <v>0</v>
      </c>
      <c r="AV147" s="70">
        <f t="shared" si="412"/>
        <v>0</v>
      </c>
      <c r="AW147" s="70">
        <f t="shared" si="412"/>
        <v>0</v>
      </c>
      <c r="AX147" s="70">
        <f t="shared" si="412"/>
        <v>0</v>
      </c>
      <c r="AY147" s="70">
        <f t="shared" si="412"/>
        <v>0</v>
      </c>
      <c r="AZ147" s="70">
        <f t="shared" si="412"/>
        <v>0</v>
      </c>
      <c r="BA147" s="70">
        <f t="shared" si="412"/>
        <v>0</v>
      </c>
      <c r="BB147" s="70"/>
      <c r="BC147" s="70"/>
      <c r="BD147" s="70"/>
      <c r="BE147" s="70"/>
      <c r="BF147" s="70"/>
      <c r="BG147" s="70"/>
      <c r="BH147" s="71">
        <f t="shared" si="413"/>
        <v>0</v>
      </c>
      <c r="BI147" s="70">
        <f>SUM(AQ147*14%)</f>
        <v>0</v>
      </c>
      <c r="BJ147" s="70">
        <f>SUM(AR147*3%)</f>
        <v>0</v>
      </c>
      <c r="BK147" s="70">
        <f t="shared" si="414"/>
        <v>0</v>
      </c>
      <c r="BL147" s="70">
        <f t="shared" si="414"/>
        <v>0</v>
      </c>
      <c r="BM147" s="70">
        <f t="shared" si="414"/>
        <v>0</v>
      </c>
      <c r="BN147" s="70">
        <f t="shared" si="414"/>
        <v>0</v>
      </c>
      <c r="BO147" s="70">
        <f t="shared" si="414"/>
        <v>0</v>
      </c>
      <c r="BP147" s="70">
        <f t="shared" si="414"/>
        <v>0</v>
      </c>
      <c r="BQ147" s="70">
        <f t="shared" si="414"/>
        <v>0</v>
      </c>
      <c r="BR147" s="70">
        <f t="shared" si="414"/>
        <v>0</v>
      </c>
      <c r="BS147" s="70">
        <f t="shared" si="414"/>
        <v>0</v>
      </c>
      <c r="BT147" s="70"/>
      <c r="BU147" s="70"/>
      <c r="BV147" s="70"/>
      <c r="BW147" s="70"/>
      <c r="BX147" s="70"/>
      <c r="BY147" s="70"/>
      <c r="BZ147" s="72">
        <f t="shared" si="415"/>
        <v>0</v>
      </c>
      <c r="CA147" s="686">
        <f t="shared" si="416"/>
        <v>0</v>
      </c>
      <c r="CB147" s="687">
        <f t="shared" si="417"/>
        <v>300000</v>
      </c>
      <c r="CC147" s="688">
        <f t="shared" si="418"/>
        <v>300000</v>
      </c>
      <c r="CD147" s="630">
        <f t="shared" si="419"/>
        <v>0</v>
      </c>
      <c r="CE147" s="1081"/>
      <c r="CF147" s="1081"/>
      <c r="CG147" s="1107"/>
      <c r="CH147" s="1084"/>
      <c r="CI147" s="862"/>
      <c r="CJ147" s="862"/>
      <c r="CK147" s="862"/>
      <c r="CL147" s="862"/>
      <c r="CM147" s="862"/>
      <c r="CN147" s="862"/>
      <c r="CO147" s="862"/>
      <c r="CP147" s="862"/>
      <c r="CQ147" s="1081">
        <f t="shared" si="407"/>
        <v>0</v>
      </c>
      <c r="CR147" s="862"/>
      <c r="CS147" s="862"/>
      <c r="CT147" s="862"/>
      <c r="CU147" s="73">
        <f t="shared" si="420"/>
        <v>0</v>
      </c>
      <c r="CV147" s="862"/>
      <c r="CW147" s="862"/>
      <c r="CX147" s="862"/>
      <c r="CY147" s="862"/>
      <c r="CZ147" s="862"/>
      <c r="DA147" s="862"/>
      <c r="DB147" s="862"/>
      <c r="DC147" s="862"/>
      <c r="DD147" s="1081"/>
      <c r="DE147" s="862"/>
      <c r="DF147" s="862"/>
      <c r="DG147" s="862"/>
      <c r="DH147" s="73">
        <f t="shared" si="409"/>
        <v>0</v>
      </c>
    </row>
    <row r="148" spans="1:112" s="37" customFormat="1" ht="24.75" customHeight="1" x14ac:dyDescent="0.2">
      <c r="A148" s="28"/>
      <c r="B148" s="736" t="s">
        <v>498</v>
      </c>
      <c r="C148" s="29" t="s">
        <v>25</v>
      </c>
      <c r="D148" s="711">
        <v>5</v>
      </c>
      <c r="E148" s="683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1">
        <f t="shared" si="410"/>
        <v>0</v>
      </c>
      <c r="W148" s="741" t="s">
        <v>0</v>
      </c>
      <c r="X148" s="742">
        <v>20000</v>
      </c>
      <c r="Y148" s="691"/>
      <c r="Z148" s="685"/>
      <c r="AA148" s="685"/>
      <c r="AB148" s="685"/>
      <c r="AC148" s="685"/>
      <c r="AD148" s="685"/>
      <c r="AE148" s="685"/>
      <c r="AF148" s="685"/>
      <c r="AG148" s="685"/>
      <c r="AH148" s="685"/>
      <c r="AI148" s="685"/>
      <c r="AJ148" s="685"/>
      <c r="AK148" s="685"/>
      <c r="AL148" s="685"/>
      <c r="AM148" s="685"/>
      <c r="AN148" s="685"/>
      <c r="AO148" s="685"/>
      <c r="AP148" s="1304">
        <f t="shared" si="411"/>
        <v>0</v>
      </c>
      <c r="AQ148" s="70">
        <f t="shared" si="412"/>
        <v>0</v>
      </c>
      <c r="AR148" s="70">
        <f t="shared" si="412"/>
        <v>0</v>
      </c>
      <c r="AS148" s="70">
        <f t="shared" si="412"/>
        <v>0</v>
      </c>
      <c r="AT148" s="70">
        <f t="shared" si="412"/>
        <v>0</v>
      </c>
      <c r="AU148" s="70">
        <f t="shared" si="412"/>
        <v>0</v>
      </c>
      <c r="AV148" s="70">
        <f t="shared" si="412"/>
        <v>0</v>
      </c>
      <c r="AW148" s="70">
        <f t="shared" si="412"/>
        <v>0</v>
      </c>
      <c r="AX148" s="70">
        <f t="shared" si="412"/>
        <v>0</v>
      </c>
      <c r="AY148" s="70">
        <f t="shared" si="412"/>
        <v>0</v>
      </c>
      <c r="AZ148" s="70">
        <f t="shared" si="412"/>
        <v>0</v>
      </c>
      <c r="BA148" s="70">
        <f t="shared" si="412"/>
        <v>0</v>
      </c>
      <c r="BB148" s="70"/>
      <c r="BC148" s="70"/>
      <c r="BD148" s="70"/>
      <c r="BE148" s="70"/>
      <c r="BF148" s="70"/>
      <c r="BG148" s="70"/>
      <c r="BH148" s="71">
        <f t="shared" si="413"/>
        <v>0</v>
      </c>
      <c r="BI148" s="70">
        <f>SUM(AQ148*14%)</f>
        <v>0</v>
      </c>
      <c r="BJ148" s="70">
        <f>SUM(AR148*3%)</f>
        <v>0</v>
      </c>
      <c r="BK148" s="70">
        <f t="shared" si="414"/>
        <v>0</v>
      </c>
      <c r="BL148" s="70">
        <f t="shared" si="414"/>
        <v>0</v>
      </c>
      <c r="BM148" s="70">
        <f t="shared" si="414"/>
        <v>0</v>
      </c>
      <c r="BN148" s="70">
        <f t="shared" si="414"/>
        <v>0</v>
      </c>
      <c r="BO148" s="70">
        <f t="shared" si="414"/>
        <v>0</v>
      </c>
      <c r="BP148" s="70">
        <f t="shared" si="414"/>
        <v>0</v>
      </c>
      <c r="BQ148" s="70">
        <f t="shared" si="414"/>
        <v>0</v>
      </c>
      <c r="BR148" s="70">
        <f t="shared" si="414"/>
        <v>0</v>
      </c>
      <c r="BS148" s="70">
        <f t="shared" si="414"/>
        <v>0</v>
      </c>
      <c r="BT148" s="70"/>
      <c r="BU148" s="70"/>
      <c r="BV148" s="70"/>
      <c r="BW148" s="70"/>
      <c r="BX148" s="70"/>
      <c r="BY148" s="70"/>
      <c r="BZ148" s="72">
        <f t="shared" si="415"/>
        <v>0</v>
      </c>
      <c r="CA148" s="686">
        <f t="shared" si="416"/>
        <v>0</v>
      </c>
      <c r="CB148" s="687">
        <f t="shared" si="417"/>
        <v>100000</v>
      </c>
      <c r="CC148" s="688">
        <f t="shared" si="418"/>
        <v>100000</v>
      </c>
      <c r="CD148" s="630">
        <f t="shared" si="419"/>
        <v>0</v>
      </c>
      <c r="CE148" s="1081"/>
      <c r="CF148" s="1081"/>
      <c r="CG148" s="1107"/>
      <c r="CH148" s="1084"/>
      <c r="CI148" s="862"/>
      <c r="CJ148" s="862"/>
      <c r="CK148" s="862"/>
      <c r="CL148" s="862"/>
      <c r="CM148" s="862"/>
      <c r="CN148" s="862"/>
      <c r="CO148" s="862"/>
      <c r="CP148" s="862"/>
      <c r="CQ148" s="1081">
        <f t="shared" si="407"/>
        <v>0</v>
      </c>
      <c r="CR148" s="862"/>
      <c r="CS148" s="862"/>
      <c r="CT148" s="862"/>
      <c r="CU148" s="73">
        <f t="shared" ref="CU148" si="421">SUM(CI148:CT148)</f>
        <v>0</v>
      </c>
      <c r="CV148" s="862"/>
      <c r="CW148" s="862"/>
      <c r="CX148" s="862"/>
      <c r="CY148" s="862"/>
      <c r="CZ148" s="862"/>
      <c r="DA148" s="862"/>
      <c r="DB148" s="862"/>
      <c r="DC148" s="862"/>
      <c r="DD148" s="1081"/>
      <c r="DE148" s="862"/>
      <c r="DF148" s="862"/>
      <c r="DG148" s="862"/>
      <c r="DH148" s="73">
        <f t="shared" ref="DH148" si="422">SUM(CV148:DG148)</f>
        <v>0</v>
      </c>
    </row>
    <row r="149" spans="1:112" s="37" customFormat="1" ht="24.75" customHeight="1" x14ac:dyDescent="0.2">
      <c r="A149" s="28"/>
      <c r="B149" s="730" t="s">
        <v>506</v>
      </c>
      <c r="C149" s="29" t="s">
        <v>25</v>
      </c>
      <c r="D149" s="725">
        <v>40</v>
      </c>
      <c r="E149" s="683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1">
        <f t="shared" si="410"/>
        <v>0</v>
      </c>
      <c r="W149" s="674" t="s">
        <v>3</v>
      </c>
      <c r="X149" s="675">
        <v>113500</v>
      </c>
      <c r="Y149" s="691"/>
      <c r="Z149" s="685"/>
      <c r="AA149" s="685"/>
      <c r="AB149" s="685"/>
      <c r="AC149" s="685"/>
      <c r="AD149" s="685"/>
      <c r="AE149" s="685"/>
      <c r="AF149" s="685"/>
      <c r="AG149" s="685"/>
      <c r="AH149" s="685"/>
      <c r="AI149" s="685"/>
      <c r="AJ149" s="685"/>
      <c r="AK149" s="685"/>
      <c r="AL149" s="685"/>
      <c r="AM149" s="685"/>
      <c r="AN149" s="685"/>
      <c r="AO149" s="685"/>
      <c r="AP149" s="1304">
        <f t="shared" si="411"/>
        <v>0</v>
      </c>
      <c r="AQ149" s="70">
        <f t="shared" si="412"/>
        <v>0</v>
      </c>
      <c r="AR149" s="70">
        <f t="shared" si="412"/>
        <v>0</v>
      </c>
      <c r="AS149" s="70">
        <f t="shared" si="412"/>
        <v>0</v>
      </c>
      <c r="AT149" s="70">
        <f t="shared" si="412"/>
        <v>0</v>
      </c>
      <c r="AU149" s="70">
        <f t="shared" si="412"/>
        <v>0</v>
      </c>
      <c r="AV149" s="70">
        <f t="shared" si="412"/>
        <v>0</v>
      </c>
      <c r="AW149" s="70">
        <f t="shared" si="412"/>
        <v>0</v>
      </c>
      <c r="AX149" s="70">
        <f t="shared" si="412"/>
        <v>0</v>
      </c>
      <c r="AY149" s="70">
        <f t="shared" si="412"/>
        <v>0</v>
      </c>
      <c r="AZ149" s="70">
        <f t="shared" si="412"/>
        <v>0</v>
      </c>
      <c r="BA149" s="70">
        <f t="shared" si="412"/>
        <v>0</v>
      </c>
      <c r="BB149" s="70"/>
      <c r="BC149" s="70"/>
      <c r="BD149" s="70"/>
      <c r="BE149" s="70"/>
      <c r="BF149" s="70"/>
      <c r="BG149" s="70"/>
      <c r="BH149" s="71">
        <f t="shared" si="413"/>
        <v>0</v>
      </c>
      <c r="BI149" s="70">
        <f>SUM(AQ149*4%)</f>
        <v>0</v>
      </c>
      <c r="BJ149" s="70">
        <f>SUM(AR149*3%)</f>
        <v>0</v>
      </c>
      <c r="BK149" s="70">
        <f t="shared" si="414"/>
        <v>0</v>
      </c>
      <c r="BL149" s="70">
        <f t="shared" si="414"/>
        <v>0</v>
      </c>
      <c r="BM149" s="70">
        <f t="shared" si="414"/>
        <v>0</v>
      </c>
      <c r="BN149" s="70">
        <f t="shared" si="414"/>
        <v>0</v>
      </c>
      <c r="BO149" s="70">
        <f t="shared" si="414"/>
        <v>0</v>
      </c>
      <c r="BP149" s="70">
        <f t="shared" si="414"/>
        <v>0</v>
      </c>
      <c r="BQ149" s="70">
        <f t="shared" si="414"/>
        <v>0</v>
      </c>
      <c r="BR149" s="70">
        <f t="shared" si="414"/>
        <v>0</v>
      </c>
      <c r="BS149" s="70">
        <f t="shared" si="414"/>
        <v>0</v>
      </c>
      <c r="BT149" s="70"/>
      <c r="BU149" s="70"/>
      <c r="BV149" s="70"/>
      <c r="BW149" s="70"/>
      <c r="BX149" s="70"/>
      <c r="BY149" s="70"/>
      <c r="BZ149" s="72">
        <f t="shared" si="415"/>
        <v>0</v>
      </c>
      <c r="CA149" s="686">
        <f t="shared" si="416"/>
        <v>0</v>
      </c>
      <c r="CB149" s="687">
        <f t="shared" si="417"/>
        <v>4540000</v>
      </c>
      <c r="CC149" s="688">
        <f t="shared" si="418"/>
        <v>4540000</v>
      </c>
      <c r="CD149" s="630">
        <f t="shared" si="419"/>
        <v>0</v>
      </c>
      <c r="CE149" s="1081"/>
      <c r="CF149" s="1081"/>
      <c r="CG149" s="1107"/>
      <c r="CH149" s="1084"/>
      <c r="CI149" s="862"/>
      <c r="CJ149" s="862"/>
      <c r="CK149" s="862"/>
      <c r="CL149" s="862"/>
      <c r="CM149" s="862"/>
      <c r="CN149" s="862"/>
      <c r="CO149" s="862"/>
      <c r="CP149" s="862"/>
      <c r="CQ149" s="1081">
        <f t="shared" si="407"/>
        <v>0</v>
      </c>
      <c r="CR149" s="862"/>
      <c r="CS149" s="862"/>
      <c r="CT149" s="862"/>
      <c r="CU149" s="73">
        <f t="shared" ref="CU149" si="423">SUM(CI149:CT149)</f>
        <v>0</v>
      </c>
      <c r="CV149" s="862"/>
      <c r="CW149" s="862"/>
      <c r="CX149" s="862"/>
      <c r="CY149" s="862"/>
      <c r="CZ149" s="862"/>
      <c r="DA149" s="862"/>
      <c r="DB149" s="862"/>
      <c r="DC149" s="862"/>
      <c r="DD149" s="1081"/>
      <c r="DE149" s="862"/>
      <c r="DF149" s="862"/>
      <c r="DG149" s="862"/>
      <c r="DH149" s="73">
        <f t="shared" ref="DH149" si="424">SUM(CV149:DG149)</f>
        <v>0</v>
      </c>
    </row>
    <row r="150" spans="1:112" s="37" customFormat="1" ht="24.75" customHeight="1" x14ac:dyDescent="0.2">
      <c r="A150" s="28"/>
      <c r="B150" s="731" t="s">
        <v>124</v>
      </c>
      <c r="C150" s="29" t="s">
        <v>25</v>
      </c>
      <c r="D150" s="669">
        <v>3</v>
      </c>
      <c r="E150" s="683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1">
        <f t="shared" si="410"/>
        <v>0</v>
      </c>
      <c r="W150" s="674" t="s">
        <v>297</v>
      </c>
      <c r="X150" s="675">
        <v>35000</v>
      </c>
      <c r="Y150" s="691"/>
      <c r="Z150" s="685"/>
      <c r="AA150" s="685"/>
      <c r="AB150" s="685"/>
      <c r="AC150" s="685"/>
      <c r="AD150" s="685"/>
      <c r="AE150" s="685"/>
      <c r="AF150" s="685"/>
      <c r="AG150" s="685"/>
      <c r="AH150" s="685"/>
      <c r="AI150" s="685"/>
      <c r="AJ150" s="685"/>
      <c r="AK150" s="685"/>
      <c r="AL150" s="685"/>
      <c r="AM150" s="685"/>
      <c r="AN150" s="685"/>
      <c r="AO150" s="685"/>
      <c r="AP150" s="1304">
        <f t="shared" si="411"/>
        <v>0</v>
      </c>
      <c r="AQ150" s="70">
        <f t="shared" si="412"/>
        <v>0</v>
      </c>
      <c r="AR150" s="70">
        <f t="shared" si="412"/>
        <v>0</v>
      </c>
      <c r="AS150" s="70">
        <f t="shared" si="412"/>
        <v>0</v>
      </c>
      <c r="AT150" s="70">
        <f t="shared" si="412"/>
        <v>0</v>
      </c>
      <c r="AU150" s="70">
        <f t="shared" si="412"/>
        <v>0</v>
      </c>
      <c r="AV150" s="70">
        <f t="shared" si="412"/>
        <v>0</v>
      </c>
      <c r="AW150" s="70">
        <f t="shared" si="412"/>
        <v>0</v>
      </c>
      <c r="AX150" s="70">
        <f t="shared" si="412"/>
        <v>0</v>
      </c>
      <c r="AY150" s="70">
        <f t="shared" si="412"/>
        <v>0</v>
      </c>
      <c r="AZ150" s="70">
        <f t="shared" si="412"/>
        <v>0</v>
      </c>
      <c r="BA150" s="70">
        <f t="shared" si="412"/>
        <v>0</v>
      </c>
      <c r="BB150" s="70"/>
      <c r="BC150" s="70"/>
      <c r="BD150" s="70"/>
      <c r="BE150" s="70"/>
      <c r="BF150" s="70"/>
      <c r="BG150" s="70"/>
      <c r="BH150" s="71">
        <f t="shared" si="413"/>
        <v>0</v>
      </c>
      <c r="BI150" s="70">
        <f>SUM(AQ150*14%)</f>
        <v>0</v>
      </c>
      <c r="BJ150" s="70"/>
      <c r="BK150" s="70">
        <f t="shared" si="414"/>
        <v>0</v>
      </c>
      <c r="BL150" s="70">
        <f t="shared" si="414"/>
        <v>0</v>
      </c>
      <c r="BM150" s="70">
        <f t="shared" si="414"/>
        <v>0</v>
      </c>
      <c r="BN150" s="70">
        <f t="shared" si="414"/>
        <v>0</v>
      </c>
      <c r="BO150" s="70">
        <f t="shared" si="414"/>
        <v>0</v>
      </c>
      <c r="BP150" s="70">
        <f t="shared" si="414"/>
        <v>0</v>
      </c>
      <c r="BQ150" s="70">
        <f t="shared" si="414"/>
        <v>0</v>
      </c>
      <c r="BR150" s="70">
        <f t="shared" si="414"/>
        <v>0</v>
      </c>
      <c r="BS150" s="70">
        <f t="shared" si="414"/>
        <v>0</v>
      </c>
      <c r="BT150" s="70"/>
      <c r="BU150" s="70"/>
      <c r="BV150" s="70"/>
      <c r="BW150" s="70"/>
      <c r="BX150" s="70"/>
      <c r="BY150" s="70"/>
      <c r="BZ150" s="72">
        <f t="shared" si="415"/>
        <v>0</v>
      </c>
      <c r="CA150" s="686">
        <f t="shared" si="416"/>
        <v>0</v>
      </c>
      <c r="CB150" s="687">
        <f t="shared" si="417"/>
        <v>105000</v>
      </c>
      <c r="CC150" s="688">
        <f t="shared" si="418"/>
        <v>105000</v>
      </c>
      <c r="CD150" s="630">
        <f t="shared" si="419"/>
        <v>0</v>
      </c>
      <c r="CE150" s="1081"/>
      <c r="CF150" s="1081"/>
      <c r="CG150" s="1107"/>
      <c r="CH150" s="1084"/>
      <c r="CI150" s="862"/>
      <c r="CJ150" s="862"/>
      <c r="CK150" s="862"/>
      <c r="CL150" s="862"/>
      <c r="CM150" s="862"/>
      <c r="CN150" s="862"/>
      <c r="CO150" s="862"/>
      <c r="CP150" s="862"/>
      <c r="CQ150" s="1081">
        <f t="shared" si="407"/>
        <v>0</v>
      </c>
      <c r="CR150" s="862"/>
      <c r="CS150" s="862"/>
      <c r="CT150" s="862"/>
      <c r="CU150" s="73">
        <f t="shared" ref="CU150" si="425">SUM(CI150:CT150)</f>
        <v>0</v>
      </c>
      <c r="CV150" s="862"/>
      <c r="CW150" s="862"/>
      <c r="CX150" s="862"/>
      <c r="CY150" s="862"/>
      <c r="CZ150" s="862"/>
      <c r="DA150" s="862"/>
      <c r="DB150" s="862"/>
      <c r="DC150" s="862"/>
      <c r="DD150" s="1081"/>
      <c r="DE150" s="862"/>
      <c r="DF150" s="862"/>
      <c r="DG150" s="862"/>
      <c r="DH150" s="73">
        <f t="shared" ref="DH150" si="426">SUM(CV150:DG150)</f>
        <v>0</v>
      </c>
    </row>
    <row r="151" spans="1:112" s="37" customFormat="1" ht="24.75" customHeight="1" x14ac:dyDescent="0.2">
      <c r="A151" s="28"/>
      <c r="B151" s="732" t="s">
        <v>126</v>
      </c>
      <c r="C151" s="29" t="s">
        <v>25</v>
      </c>
      <c r="D151" s="669">
        <v>3</v>
      </c>
      <c r="E151" s="683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1">
        <f t="shared" si="410"/>
        <v>0</v>
      </c>
      <c r="W151" s="674" t="s">
        <v>512</v>
      </c>
      <c r="X151" s="675">
        <v>200000</v>
      </c>
      <c r="Y151" s="691"/>
      <c r="Z151" s="685"/>
      <c r="AA151" s="685"/>
      <c r="AB151" s="685"/>
      <c r="AC151" s="685"/>
      <c r="AD151" s="685"/>
      <c r="AE151" s="685"/>
      <c r="AF151" s="685"/>
      <c r="AG151" s="685"/>
      <c r="AH151" s="685"/>
      <c r="AI151" s="685"/>
      <c r="AJ151" s="685"/>
      <c r="AK151" s="685"/>
      <c r="AL151" s="685"/>
      <c r="AM151" s="685"/>
      <c r="AN151" s="685"/>
      <c r="AO151" s="685"/>
      <c r="AP151" s="1304">
        <f t="shared" si="411"/>
        <v>0</v>
      </c>
      <c r="AQ151" s="70">
        <f t="shared" si="412"/>
        <v>0</v>
      </c>
      <c r="AR151" s="70">
        <f t="shared" si="412"/>
        <v>0</v>
      </c>
      <c r="AS151" s="70">
        <f t="shared" si="412"/>
        <v>0</v>
      </c>
      <c r="AT151" s="70">
        <f t="shared" si="412"/>
        <v>0</v>
      </c>
      <c r="AU151" s="70">
        <f t="shared" si="412"/>
        <v>0</v>
      </c>
      <c r="AV151" s="70">
        <f t="shared" si="412"/>
        <v>0</v>
      </c>
      <c r="AW151" s="70">
        <f t="shared" si="412"/>
        <v>0</v>
      </c>
      <c r="AX151" s="70">
        <f t="shared" si="412"/>
        <v>0</v>
      </c>
      <c r="AY151" s="70">
        <f t="shared" si="412"/>
        <v>0</v>
      </c>
      <c r="AZ151" s="70">
        <f t="shared" si="412"/>
        <v>0</v>
      </c>
      <c r="BA151" s="70">
        <f t="shared" si="412"/>
        <v>0</v>
      </c>
      <c r="BB151" s="70"/>
      <c r="BC151" s="70"/>
      <c r="BD151" s="70"/>
      <c r="BE151" s="70"/>
      <c r="BF151" s="70"/>
      <c r="BG151" s="70"/>
      <c r="BH151" s="71">
        <f t="shared" si="413"/>
        <v>0</v>
      </c>
      <c r="BI151" s="70">
        <f>SUM(AQ151*14%)</f>
        <v>0</v>
      </c>
      <c r="BJ151" s="70">
        <f>SUM(AR151*14%)</f>
        <v>0</v>
      </c>
      <c r="BK151" s="70">
        <f t="shared" si="414"/>
        <v>0</v>
      </c>
      <c r="BL151" s="70">
        <f t="shared" si="414"/>
        <v>0</v>
      </c>
      <c r="BM151" s="70">
        <f t="shared" si="414"/>
        <v>0</v>
      </c>
      <c r="BN151" s="70">
        <f t="shared" si="414"/>
        <v>0</v>
      </c>
      <c r="BO151" s="70">
        <f t="shared" si="414"/>
        <v>0</v>
      </c>
      <c r="BP151" s="70">
        <f t="shared" si="414"/>
        <v>0</v>
      </c>
      <c r="BQ151" s="70">
        <f t="shared" si="414"/>
        <v>0</v>
      </c>
      <c r="BR151" s="70">
        <f t="shared" si="414"/>
        <v>0</v>
      </c>
      <c r="BS151" s="70">
        <f t="shared" si="414"/>
        <v>0</v>
      </c>
      <c r="BT151" s="70"/>
      <c r="BU151" s="70"/>
      <c r="BV151" s="70"/>
      <c r="BW151" s="70"/>
      <c r="BX151" s="70"/>
      <c r="BY151" s="70"/>
      <c r="BZ151" s="72">
        <f t="shared" si="415"/>
        <v>0</v>
      </c>
      <c r="CA151" s="686">
        <f t="shared" si="416"/>
        <v>0</v>
      </c>
      <c r="CB151" s="687">
        <f t="shared" si="417"/>
        <v>600000</v>
      </c>
      <c r="CC151" s="688">
        <f t="shared" si="418"/>
        <v>600000</v>
      </c>
      <c r="CD151" s="630">
        <f t="shared" si="419"/>
        <v>0</v>
      </c>
      <c r="CE151" s="1081"/>
      <c r="CF151" s="1081"/>
      <c r="CG151" s="1107"/>
      <c r="CH151" s="1084">
        <f>SUM(CC146:CC151)</f>
        <v>6160000</v>
      </c>
      <c r="CI151" s="862"/>
      <c r="CJ151" s="862"/>
      <c r="CK151" s="862"/>
      <c r="CL151" s="862"/>
      <c r="CM151" s="862"/>
      <c r="CN151" s="862"/>
      <c r="CO151" s="862"/>
      <c r="CP151" s="862"/>
      <c r="CQ151" s="1081">
        <f t="shared" si="407"/>
        <v>0</v>
      </c>
      <c r="CR151" s="862"/>
      <c r="CS151" s="862"/>
      <c r="CT151" s="862"/>
      <c r="CU151" s="73">
        <f t="shared" ref="CU151:CU159" si="427">SUM(CI151:CT151)</f>
        <v>0</v>
      </c>
      <c r="CV151" s="862"/>
      <c r="CW151" s="862"/>
      <c r="CX151" s="862"/>
      <c r="CY151" s="862"/>
      <c r="CZ151" s="862"/>
      <c r="DA151" s="862"/>
      <c r="DB151" s="862"/>
      <c r="DC151" s="862"/>
      <c r="DD151" s="1081"/>
      <c r="DE151" s="862"/>
      <c r="DF151" s="862"/>
      <c r="DG151" s="862"/>
      <c r="DH151" s="73">
        <f t="shared" ref="DH151:DH159" si="428">SUM(CV151:DG151)</f>
        <v>0</v>
      </c>
    </row>
    <row r="152" spans="1:112" s="37" customFormat="1" ht="24.75" customHeight="1" x14ac:dyDescent="0.2">
      <c r="A152" s="28"/>
      <c r="B152" s="734" t="s">
        <v>507</v>
      </c>
      <c r="C152" s="29"/>
      <c r="D152" s="669"/>
      <c r="E152" s="683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1"/>
      <c r="W152" s="690"/>
      <c r="X152" s="684"/>
      <c r="Y152" s="691"/>
      <c r="Z152" s="685"/>
      <c r="AA152" s="685"/>
      <c r="AB152" s="685"/>
      <c r="AC152" s="685"/>
      <c r="AD152" s="685"/>
      <c r="AE152" s="685"/>
      <c r="AF152" s="685"/>
      <c r="AG152" s="685"/>
      <c r="AH152" s="685"/>
      <c r="AI152" s="685"/>
      <c r="AJ152" s="685"/>
      <c r="AK152" s="685"/>
      <c r="AL152" s="685"/>
      <c r="AM152" s="685"/>
      <c r="AN152" s="685"/>
      <c r="AO152" s="685"/>
      <c r="AP152" s="1304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1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2"/>
      <c r="CA152" s="686"/>
      <c r="CB152" s="687"/>
      <c r="CC152" s="688"/>
      <c r="CD152" s="630"/>
      <c r="CE152" s="1081"/>
      <c r="CF152" s="1081"/>
      <c r="CG152" s="1107"/>
      <c r="CH152" s="1084"/>
      <c r="CI152" s="862"/>
      <c r="CJ152" s="862"/>
      <c r="CK152" s="862"/>
      <c r="CL152" s="862"/>
      <c r="CM152" s="862"/>
      <c r="CN152" s="862"/>
      <c r="CO152" s="862"/>
      <c r="CP152" s="862"/>
      <c r="CQ152" s="1081">
        <f t="shared" si="407"/>
        <v>0</v>
      </c>
      <c r="CR152" s="862"/>
      <c r="CS152" s="862"/>
      <c r="CT152" s="862"/>
      <c r="CU152" s="73">
        <f t="shared" si="427"/>
        <v>0</v>
      </c>
      <c r="CV152" s="862"/>
      <c r="CW152" s="862"/>
      <c r="CX152" s="862"/>
      <c r="CY152" s="862"/>
      <c r="CZ152" s="862"/>
      <c r="DA152" s="862"/>
      <c r="DB152" s="862"/>
      <c r="DC152" s="862"/>
      <c r="DD152" s="1081"/>
      <c r="DE152" s="862"/>
      <c r="DF152" s="862"/>
      <c r="DG152" s="862"/>
      <c r="DH152" s="73">
        <f t="shared" si="428"/>
        <v>0</v>
      </c>
    </row>
    <row r="153" spans="1:112" s="37" customFormat="1" ht="24.75" customHeight="1" x14ac:dyDescent="0.2">
      <c r="A153" s="28"/>
      <c r="B153" s="733" t="s">
        <v>508</v>
      </c>
      <c r="C153" s="29" t="s">
        <v>25</v>
      </c>
      <c r="D153" s="725">
        <v>7</v>
      </c>
      <c r="E153" s="683">
        <v>2</v>
      </c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1">
        <f t="shared" ref="V153:V156" si="429">SUM(E153:U153)</f>
        <v>2</v>
      </c>
      <c r="W153" s="674" t="s">
        <v>3</v>
      </c>
      <c r="X153" s="675">
        <v>125000</v>
      </c>
      <c r="Y153" s="691">
        <v>100000</v>
      </c>
      <c r="Z153" s="685"/>
      <c r="AA153" s="685"/>
      <c r="AB153" s="685"/>
      <c r="AC153" s="685"/>
      <c r="AD153" s="685"/>
      <c r="AE153" s="685"/>
      <c r="AF153" s="685"/>
      <c r="AG153" s="685"/>
      <c r="AH153" s="685"/>
      <c r="AI153" s="685"/>
      <c r="AJ153" s="685"/>
      <c r="AK153" s="685"/>
      <c r="AL153" s="685"/>
      <c r="AM153" s="685"/>
      <c r="AN153" s="685"/>
      <c r="AO153" s="685"/>
      <c r="AP153" s="1304">
        <f t="shared" ref="AP153:AP156" si="430">SUM(V153*X153)</f>
        <v>250000</v>
      </c>
      <c r="AQ153" s="70">
        <f t="shared" ref="AQ153:AQ156" si="431">Y153*E153</f>
        <v>200000</v>
      </c>
      <c r="AR153" s="70">
        <f t="shared" ref="AR153:AR156" si="432">Z153*F153</f>
        <v>0</v>
      </c>
      <c r="AS153" s="70">
        <f t="shared" ref="AS153:AS156" si="433">AA153*G153</f>
        <v>0</v>
      </c>
      <c r="AT153" s="70">
        <f t="shared" ref="AT153:AT156" si="434">AB153*H153</f>
        <v>0</v>
      </c>
      <c r="AU153" s="70">
        <f t="shared" ref="AU153:AU156" si="435">AC153*I153</f>
        <v>0</v>
      </c>
      <c r="AV153" s="70">
        <f t="shared" ref="AV153:AV156" si="436">AD153*J153</f>
        <v>0</v>
      </c>
      <c r="AW153" s="70">
        <f t="shared" ref="AW153:AW156" si="437">AE153*K153</f>
        <v>0</v>
      </c>
      <c r="AX153" s="70">
        <f t="shared" ref="AX153:AX156" si="438">AF153*L153</f>
        <v>0</v>
      </c>
      <c r="AY153" s="70">
        <f t="shared" ref="AY153:AY156" si="439">AG153*M153</f>
        <v>0</v>
      </c>
      <c r="AZ153" s="70">
        <f t="shared" ref="AZ153:AZ156" si="440">AH153*N153</f>
        <v>0</v>
      </c>
      <c r="BA153" s="70">
        <f t="shared" ref="BA153:BA156" si="441">AI153*O153</f>
        <v>0</v>
      </c>
      <c r="BB153" s="70"/>
      <c r="BC153" s="70"/>
      <c r="BD153" s="70"/>
      <c r="BE153" s="70"/>
      <c r="BF153" s="70"/>
      <c r="BG153" s="70"/>
      <c r="BH153" s="71">
        <f>SUM(AQ153:BG153)</f>
        <v>200000</v>
      </c>
      <c r="BI153" s="70">
        <f>SUM(AQ153*4%)</f>
        <v>8000</v>
      </c>
      <c r="BJ153" s="70">
        <f t="shared" ref="BJ153:BS153" si="442">SUM(AR153*14%)</f>
        <v>0</v>
      </c>
      <c r="BK153" s="70">
        <f t="shared" si="442"/>
        <v>0</v>
      </c>
      <c r="BL153" s="70">
        <f t="shared" si="442"/>
        <v>0</v>
      </c>
      <c r="BM153" s="70">
        <f t="shared" si="442"/>
        <v>0</v>
      </c>
      <c r="BN153" s="70">
        <f t="shared" si="442"/>
        <v>0</v>
      </c>
      <c r="BO153" s="70">
        <f t="shared" si="442"/>
        <v>0</v>
      </c>
      <c r="BP153" s="70">
        <f t="shared" si="442"/>
        <v>0</v>
      </c>
      <c r="BQ153" s="70">
        <f t="shared" si="442"/>
        <v>0</v>
      </c>
      <c r="BR153" s="70">
        <f t="shared" si="442"/>
        <v>0</v>
      </c>
      <c r="BS153" s="70">
        <f t="shared" si="442"/>
        <v>0</v>
      </c>
      <c r="BT153" s="70"/>
      <c r="BU153" s="70"/>
      <c r="BV153" s="70"/>
      <c r="BW153" s="70"/>
      <c r="BX153" s="70"/>
      <c r="BY153" s="70"/>
      <c r="BZ153" s="72">
        <f>SUM(BI153:BY153)</f>
        <v>8000</v>
      </c>
      <c r="CA153" s="686">
        <f>AP153-BH153-BZ153</f>
        <v>42000</v>
      </c>
      <c r="CB153" s="687">
        <f>X153*D153</f>
        <v>875000</v>
      </c>
      <c r="CC153" s="688">
        <f>CB153-BH153-BZ153</f>
        <v>667000</v>
      </c>
      <c r="CD153" s="630">
        <f>SUM(V153/D153)</f>
        <v>0.2857142857142857</v>
      </c>
      <c r="CE153" s="1081"/>
      <c r="CF153" s="1081"/>
      <c r="CG153" s="1107"/>
      <c r="CH153" s="1084"/>
      <c r="CI153" s="862"/>
      <c r="CJ153" s="862"/>
      <c r="CK153" s="862"/>
      <c r="CL153" s="862"/>
      <c r="CM153" s="862"/>
      <c r="CN153" s="862"/>
      <c r="CO153" s="862"/>
      <c r="CP153" s="862"/>
      <c r="CQ153" s="1081">
        <f t="shared" si="407"/>
        <v>0</v>
      </c>
      <c r="CR153" s="862"/>
      <c r="CS153" s="862"/>
      <c r="CT153" s="862"/>
      <c r="CU153" s="73">
        <f t="shared" si="427"/>
        <v>0</v>
      </c>
      <c r="CV153" s="862"/>
      <c r="CW153" s="862"/>
      <c r="CX153" s="862"/>
      <c r="CY153" s="862"/>
      <c r="CZ153" s="862"/>
      <c r="DA153" s="862"/>
      <c r="DB153" s="862"/>
      <c r="DC153" s="862"/>
      <c r="DD153" s="1081"/>
      <c r="DE153" s="862"/>
      <c r="DF153" s="862"/>
      <c r="DG153" s="862"/>
      <c r="DH153" s="73">
        <f t="shared" si="428"/>
        <v>0</v>
      </c>
    </row>
    <row r="154" spans="1:112" s="37" customFormat="1" ht="24.75" customHeight="1" x14ac:dyDescent="0.2">
      <c r="A154" s="28"/>
      <c r="B154" s="734" t="s">
        <v>509</v>
      </c>
      <c r="C154" s="29"/>
      <c r="D154" s="669"/>
      <c r="E154" s="683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1"/>
      <c r="W154" s="690"/>
      <c r="X154" s="684"/>
      <c r="Y154" s="691"/>
      <c r="Z154" s="685"/>
      <c r="AA154" s="685"/>
      <c r="AB154" s="685"/>
      <c r="AC154" s="685"/>
      <c r="AD154" s="685"/>
      <c r="AE154" s="685"/>
      <c r="AF154" s="685"/>
      <c r="AG154" s="685"/>
      <c r="AH154" s="685"/>
      <c r="AI154" s="685"/>
      <c r="AJ154" s="685"/>
      <c r="AK154" s="685"/>
      <c r="AL154" s="685"/>
      <c r="AM154" s="685"/>
      <c r="AN154" s="685"/>
      <c r="AO154" s="685"/>
      <c r="AP154" s="1304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1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2"/>
      <c r="CA154" s="686"/>
      <c r="CB154" s="687"/>
      <c r="CC154" s="688"/>
      <c r="CD154" s="630"/>
      <c r="CE154" s="1081"/>
      <c r="CF154" s="1081"/>
      <c r="CG154" s="1107"/>
      <c r="CH154" s="1084"/>
      <c r="CI154" s="862"/>
      <c r="CJ154" s="862"/>
      <c r="CK154" s="862"/>
      <c r="CL154" s="862"/>
      <c r="CM154" s="862"/>
      <c r="CN154" s="862"/>
      <c r="CO154" s="862"/>
      <c r="CP154" s="862"/>
      <c r="CQ154" s="1081">
        <f t="shared" si="407"/>
        <v>0</v>
      </c>
      <c r="CR154" s="862"/>
      <c r="CS154" s="862"/>
      <c r="CT154" s="862"/>
      <c r="CU154" s="73">
        <f t="shared" si="427"/>
        <v>0</v>
      </c>
      <c r="CV154" s="862"/>
      <c r="CW154" s="862"/>
      <c r="CX154" s="862"/>
      <c r="CY154" s="862"/>
      <c r="CZ154" s="862"/>
      <c r="DA154" s="862"/>
      <c r="DB154" s="862"/>
      <c r="DC154" s="862"/>
      <c r="DD154" s="1081"/>
      <c r="DE154" s="862"/>
      <c r="DF154" s="862"/>
      <c r="DG154" s="862"/>
      <c r="DH154" s="73">
        <f t="shared" si="428"/>
        <v>0</v>
      </c>
    </row>
    <row r="155" spans="1:112" s="37" customFormat="1" ht="24.75" customHeight="1" x14ac:dyDescent="0.2">
      <c r="A155" s="28"/>
      <c r="B155" s="736" t="s">
        <v>510</v>
      </c>
      <c r="C155" s="29" t="s">
        <v>25</v>
      </c>
      <c r="D155" s="711">
        <v>40</v>
      </c>
      <c r="E155" s="683"/>
      <c r="F155" s="30"/>
      <c r="G155" s="30"/>
      <c r="H155" s="30"/>
      <c r="I155" s="30"/>
      <c r="J155" s="30"/>
      <c r="K155" s="30"/>
      <c r="L155" s="30">
        <v>40</v>
      </c>
      <c r="M155" s="30"/>
      <c r="N155" s="30"/>
      <c r="O155" s="30"/>
      <c r="P155" s="30"/>
      <c r="Q155" s="30"/>
      <c r="R155" s="30"/>
      <c r="S155" s="30"/>
      <c r="T155" s="30"/>
      <c r="U155" s="30"/>
      <c r="V155" s="31">
        <f t="shared" si="429"/>
        <v>40</v>
      </c>
      <c r="W155" s="710" t="s">
        <v>513</v>
      </c>
      <c r="X155" s="675">
        <v>10300</v>
      </c>
      <c r="Y155" s="32"/>
      <c r="Z155" s="884"/>
      <c r="AA155" s="884"/>
      <c r="AB155" s="884"/>
      <c r="AC155" s="884"/>
      <c r="AD155" s="884"/>
      <c r="AE155" s="884"/>
      <c r="AF155" s="884">
        <v>9000</v>
      </c>
      <c r="AG155" s="884"/>
      <c r="AH155" s="884"/>
      <c r="AI155" s="884"/>
      <c r="AJ155" s="884"/>
      <c r="AK155" s="884"/>
      <c r="AL155" s="884"/>
      <c r="AM155" s="884"/>
      <c r="AN155" s="884"/>
      <c r="AO155" s="884"/>
      <c r="AP155" s="1304">
        <f t="shared" si="430"/>
        <v>412000</v>
      </c>
      <c r="AQ155" s="862">
        <f t="shared" si="431"/>
        <v>0</v>
      </c>
      <c r="AR155" s="862">
        <f t="shared" si="432"/>
        <v>0</v>
      </c>
      <c r="AS155" s="862">
        <f t="shared" si="433"/>
        <v>0</v>
      </c>
      <c r="AT155" s="862">
        <f t="shared" si="434"/>
        <v>0</v>
      </c>
      <c r="AU155" s="862">
        <f t="shared" si="435"/>
        <v>0</v>
      </c>
      <c r="AV155" s="862">
        <f t="shared" si="436"/>
        <v>0</v>
      </c>
      <c r="AW155" s="862">
        <f t="shared" si="437"/>
        <v>0</v>
      </c>
      <c r="AX155" s="862">
        <f t="shared" si="438"/>
        <v>360000</v>
      </c>
      <c r="AY155" s="862">
        <f t="shared" si="439"/>
        <v>0</v>
      </c>
      <c r="AZ155" s="862">
        <f t="shared" si="440"/>
        <v>0</v>
      </c>
      <c r="BA155" s="862">
        <f t="shared" si="441"/>
        <v>0</v>
      </c>
      <c r="BB155" s="862"/>
      <c r="BC155" s="862"/>
      <c r="BD155" s="862"/>
      <c r="BE155" s="862"/>
      <c r="BF155" s="862"/>
      <c r="BG155" s="862"/>
      <c r="BH155" s="863">
        <f>SUM(AQ155:BG155)</f>
        <v>360000</v>
      </c>
      <c r="BI155" s="862">
        <f>SUM(AQ155*14%)</f>
        <v>0</v>
      </c>
      <c r="BJ155" s="862">
        <f>SUM(AR155*4%)</f>
        <v>0</v>
      </c>
      <c r="BK155" s="862">
        <f t="shared" ref="BK155:BS159" si="443">SUM(AS155*14%)</f>
        <v>0</v>
      </c>
      <c r="BL155" s="862">
        <f t="shared" si="443"/>
        <v>0</v>
      </c>
      <c r="BM155" s="862">
        <f t="shared" si="443"/>
        <v>0</v>
      </c>
      <c r="BN155" s="862">
        <f t="shared" si="443"/>
        <v>0</v>
      </c>
      <c r="BO155" s="862">
        <f t="shared" si="443"/>
        <v>0</v>
      </c>
      <c r="BP155" s="862">
        <f t="shared" si="443"/>
        <v>50400.000000000007</v>
      </c>
      <c r="BQ155" s="862">
        <f t="shared" si="443"/>
        <v>0</v>
      </c>
      <c r="BR155" s="862">
        <f t="shared" si="443"/>
        <v>0</v>
      </c>
      <c r="BS155" s="862">
        <f t="shared" si="443"/>
        <v>0</v>
      </c>
      <c r="BT155" s="862"/>
      <c r="BU155" s="862"/>
      <c r="BV155" s="862"/>
      <c r="BW155" s="862"/>
      <c r="BX155" s="862"/>
      <c r="BY155" s="862"/>
      <c r="BZ155" s="73">
        <f>SUM(BI155:BY155)</f>
        <v>50400.000000000007</v>
      </c>
      <c r="CA155" s="686">
        <f t="shared" ref="CA155:CA160" si="444">AP155-BH155-BZ155</f>
        <v>1599.9999999999927</v>
      </c>
      <c r="CB155" s="687">
        <f>X155*D155</f>
        <v>412000</v>
      </c>
      <c r="CC155" s="688">
        <f>CB155-BH155-BZ155</f>
        <v>1599.9999999999927</v>
      </c>
      <c r="CD155" s="630">
        <f>SUM(V155/D155)</f>
        <v>1</v>
      </c>
      <c r="CE155" s="1081"/>
      <c r="CF155" s="1081"/>
      <c r="CG155" s="1107"/>
      <c r="CH155" s="1084"/>
      <c r="CI155" s="862"/>
      <c r="CJ155" s="862"/>
      <c r="CK155" s="862"/>
      <c r="CL155" s="862"/>
      <c r="CM155" s="862"/>
      <c r="CN155" s="862"/>
      <c r="CO155" s="862"/>
      <c r="CP155" s="862"/>
      <c r="CQ155" s="1081">
        <f t="shared" si="407"/>
        <v>45000</v>
      </c>
      <c r="CR155" s="862"/>
      <c r="CS155" s="862"/>
      <c r="CT155" s="862"/>
      <c r="CU155" s="73">
        <f t="shared" si="427"/>
        <v>45000</v>
      </c>
      <c r="CV155" s="862"/>
      <c r="CW155" s="862"/>
      <c r="CX155" s="862"/>
      <c r="CY155" s="862"/>
      <c r="CZ155" s="862"/>
      <c r="DA155" s="862"/>
      <c r="DB155" s="862"/>
      <c r="DC155" s="862"/>
      <c r="DD155" s="1081"/>
      <c r="DE155" s="862"/>
      <c r="DF155" s="862"/>
      <c r="DG155" s="862"/>
      <c r="DH155" s="73">
        <f t="shared" si="428"/>
        <v>0</v>
      </c>
    </row>
    <row r="156" spans="1:112" s="37" customFormat="1" ht="24.75" customHeight="1" x14ac:dyDescent="0.2">
      <c r="A156" s="28"/>
      <c r="B156" s="736" t="s">
        <v>505</v>
      </c>
      <c r="C156" s="29" t="s">
        <v>25</v>
      </c>
      <c r="D156" s="711">
        <v>2</v>
      </c>
      <c r="E156" s="683"/>
      <c r="F156" s="30"/>
      <c r="G156" s="30"/>
      <c r="H156" s="30"/>
      <c r="I156" s="30"/>
      <c r="J156" s="30"/>
      <c r="K156" s="30"/>
      <c r="L156" s="30">
        <v>2</v>
      </c>
      <c r="M156" s="30"/>
      <c r="N156" s="30"/>
      <c r="O156" s="30"/>
      <c r="P156" s="30"/>
      <c r="Q156" s="30"/>
      <c r="R156" s="30"/>
      <c r="S156" s="30"/>
      <c r="T156" s="30"/>
      <c r="U156" s="30"/>
      <c r="V156" s="31">
        <f t="shared" si="429"/>
        <v>2</v>
      </c>
      <c r="W156" s="710" t="s">
        <v>2</v>
      </c>
      <c r="X156" s="675">
        <v>150000</v>
      </c>
      <c r="Y156" s="32"/>
      <c r="Z156" s="884"/>
      <c r="AA156" s="884"/>
      <c r="AB156" s="884"/>
      <c r="AC156" s="884"/>
      <c r="AD156" s="884"/>
      <c r="AE156" s="884"/>
      <c r="AF156" s="884">
        <v>100000</v>
      </c>
      <c r="AG156" s="884"/>
      <c r="AH156" s="884"/>
      <c r="AI156" s="884"/>
      <c r="AJ156" s="884"/>
      <c r="AK156" s="884"/>
      <c r="AL156" s="884"/>
      <c r="AM156" s="884"/>
      <c r="AN156" s="884"/>
      <c r="AO156" s="884"/>
      <c r="AP156" s="1304">
        <f t="shared" si="430"/>
        <v>300000</v>
      </c>
      <c r="AQ156" s="862">
        <f t="shared" si="431"/>
        <v>0</v>
      </c>
      <c r="AR156" s="862">
        <f t="shared" si="432"/>
        <v>0</v>
      </c>
      <c r="AS156" s="862">
        <f t="shared" si="433"/>
        <v>0</v>
      </c>
      <c r="AT156" s="862">
        <f t="shared" si="434"/>
        <v>0</v>
      </c>
      <c r="AU156" s="862">
        <f t="shared" si="435"/>
        <v>0</v>
      </c>
      <c r="AV156" s="862">
        <f t="shared" si="436"/>
        <v>0</v>
      </c>
      <c r="AW156" s="862">
        <f t="shared" si="437"/>
        <v>0</v>
      </c>
      <c r="AX156" s="862">
        <f t="shared" si="438"/>
        <v>200000</v>
      </c>
      <c r="AY156" s="862">
        <f t="shared" si="439"/>
        <v>0</v>
      </c>
      <c r="AZ156" s="862">
        <f t="shared" si="440"/>
        <v>0</v>
      </c>
      <c r="BA156" s="862">
        <f t="shared" si="441"/>
        <v>0</v>
      </c>
      <c r="BB156" s="862"/>
      <c r="BC156" s="862"/>
      <c r="BD156" s="862"/>
      <c r="BE156" s="862"/>
      <c r="BF156" s="862"/>
      <c r="BG156" s="862"/>
      <c r="BH156" s="863">
        <f>SUM(AQ156:BG156)</f>
        <v>200000</v>
      </c>
      <c r="BI156" s="862">
        <f>SUM(AQ156*14%)</f>
        <v>0</v>
      </c>
      <c r="BJ156" s="862">
        <f>SUM(AR156*4%)</f>
        <v>0</v>
      </c>
      <c r="BK156" s="862">
        <f t="shared" si="443"/>
        <v>0</v>
      </c>
      <c r="BL156" s="862">
        <f t="shared" si="443"/>
        <v>0</v>
      </c>
      <c r="BM156" s="862">
        <f t="shared" si="443"/>
        <v>0</v>
      </c>
      <c r="BN156" s="862">
        <f t="shared" si="443"/>
        <v>0</v>
      </c>
      <c r="BO156" s="862">
        <f t="shared" si="443"/>
        <v>0</v>
      </c>
      <c r="BP156" s="862">
        <f t="shared" si="443"/>
        <v>28000.000000000004</v>
      </c>
      <c r="BQ156" s="862">
        <f t="shared" si="443"/>
        <v>0</v>
      </c>
      <c r="BR156" s="862">
        <f t="shared" si="443"/>
        <v>0</v>
      </c>
      <c r="BS156" s="862">
        <f t="shared" si="443"/>
        <v>0</v>
      </c>
      <c r="BT156" s="862"/>
      <c r="BU156" s="862"/>
      <c r="BV156" s="862"/>
      <c r="BW156" s="862"/>
      <c r="BX156" s="862"/>
      <c r="BY156" s="862"/>
      <c r="BZ156" s="73">
        <f>SUM(BI156:BY156)</f>
        <v>28000.000000000004</v>
      </c>
      <c r="CA156" s="686">
        <f t="shared" si="444"/>
        <v>72000</v>
      </c>
      <c r="CB156" s="687">
        <f>X156*D156</f>
        <v>300000</v>
      </c>
      <c r="CC156" s="688">
        <f>CB156-BH156-BZ156</f>
        <v>72000</v>
      </c>
      <c r="CD156" s="630">
        <f>SUM(V156/D156)</f>
        <v>1</v>
      </c>
      <c r="CE156" s="1081"/>
      <c r="CF156" s="1081"/>
      <c r="CG156" s="1107"/>
      <c r="CH156" s="1084"/>
      <c r="CI156" s="862"/>
      <c r="CJ156" s="862"/>
      <c r="CK156" s="862"/>
      <c r="CL156" s="862"/>
      <c r="CM156" s="862"/>
      <c r="CN156" s="862"/>
      <c r="CO156" s="862"/>
      <c r="CP156" s="862"/>
      <c r="CQ156" s="1081">
        <f t="shared" si="407"/>
        <v>25000</v>
      </c>
      <c r="CR156" s="862"/>
      <c r="CS156" s="862"/>
      <c r="CT156" s="862"/>
      <c r="CU156" s="73">
        <f t="shared" si="427"/>
        <v>25000</v>
      </c>
      <c r="CV156" s="862"/>
      <c r="CW156" s="862"/>
      <c r="CX156" s="862"/>
      <c r="CY156" s="862"/>
      <c r="CZ156" s="862"/>
      <c r="DA156" s="862"/>
      <c r="DB156" s="862"/>
      <c r="DC156" s="862"/>
      <c r="DD156" s="1081"/>
      <c r="DE156" s="862"/>
      <c r="DF156" s="862"/>
      <c r="DG156" s="862"/>
      <c r="DH156" s="73">
        <f t="shared" si="428"/>
        <v>0</v>
      </c>
    </row>
    <row r="157" spans="1:112" s="37" customFormat="1" ht="24.75" customHeight="1" x14ac:dyDescent="0.2">
      <c r="A157" s="28"/>
      <c r="B157" s="736" t="s">
        <v>498</v>
      </c>
      <c r="C157" s="29" t="s">
        <v>25</v>
      </c>
      <c r="D157" s="711">
        <v>5</v>
      </c>
      <c r="E157" s="683"/>
      <c r="F157" s="30"/>
      <c r="G157" s="30"/>
      <c r="H157" s="30"/>
      <c r="I157" s="30"/>
      <c r="J157" s="30"/>
      <c r="K157" s="30"/>
      <c r="L157" s="30">
        <v>5</v>
      </c>
      <c r="M157" s="30"/>
      <c r="N157" s="30"/>
      <c r="O157" s="30"/>
      <c r="P157" s="30"/>
      <c r="Q157" s="30"/>
      <c r="R157" s="30"/>
      <c r="S157" s="30"/>
      <c r="T157" s="30"/>
      <c r="U157" s="30"/>
      <c r="V157" s="31">
        <f t="shared" ref="V157:V159" si="445">SUM(E157:U157)</f>
        <v>5</v>
      </c>
      <c r="W157" s="710" t="s">
        <v>0</v>
      </c>
      <c r="X157" s="675">
        <v>20000</v>
      </c>
      <c r="Y157" s="32"/>
      <c r="Z157" s="884"/>
      <c r="AA157" s="884"/>
      <c r="AB157" s="884"/>
      <c r="AC157" s="884"/>
      <c r="AD157" s="884"/>
      <c r="AE157" s="884"/>
      <c r="AF157" s="884">
        <v>17000</v>
      </c>
      <c r="AG157" s="884"/>
      <c r="AH157" s="884"/>
      <c r="AI157" s="884"/>
      <c r="AJ157" s="884"/>
      <c r="AK157" s="884"/>
      <c r="AL157" s="884"/>
      <c r="AM157" s="884"/>
      <c r="AN157" s="884"/>
      <c r="AO157" s="884"/>
      <c r="AP157" s="1304">
        <f t="shared" ref="AP157:AP159" si="446">SUM(V157*X157)</f>
        <v>100000</v>
      </c>
      <c r="AQ157" s="862">
        <f t="shared" ref="AQ157:AQ159" si="447">Y157*E157</f>
        <v>0</v>
      </c>
      <c r="AR157" s="862">
        <f t="shared" ref="AR157:AR159" si="448">Z157*F157</f>
        <v>0</v>
      </c>
      <c r="AS157" s="862">
        <f t="shared" ref="AS157:AS159" si="449">AA157*G157</f>
        <v>0</v>
      </c>
      <c r="AT157" s="862">
        <f t="shared" ref="AT157:AT159" si="450">AB157*H157</f>
        <v>0</v>
      </c>
      <c r="AU157" s="862">
        <f t="shared" ref="AU157:AU159" si="451">AC157*I157</f>
        <v>0</v>
      </c>
      <c r="AV157" s="862">
        <f t="shared" ref="AV157:AV159" si="452">AD157*J157</f>
        <v>0</v>
      </c>
      <c r="AW157" s="862">
        <f t="shared" ref="AW157:AW159" si="453">AE157*K157</f>
        <v>0</v>
      </c>
      <c r="AX157" s="862">
        <f t="shared" ref="AX157:AX159" si="454">AF157*L157</f>
        <v>85000</v>
      </c>
      <c r="AY157" s="862">
        <f t="shared" ref="AY157:AY159" si="455">AG157*M157</f>
        <v>0</v>
      </c>
      <c r="AZ157" s="862">
        <f t="shared" ref="AZ157:AZ159" si="456">AH157*N157</f>
        <v>0</v>
      </c>
      <c r="BA157" s="862">
        <f t="shared" ref="BA157:BA159" si="457">AI157*O157</f>
        <v>0</v>
      </c>
      <c r="BB157" s="862"/>
      <c r="BC157" s="862"/>
      <c r="BD157" s="862"/>
      <c r="BE157" s="862"/>
      <c r="BF157" s="862"/>
      <c r="BG157" s="862"/>
      <c r="BH157" s="863">
        <f>SUM(AQ157:BG157)</f>
        <v>85000</v>
      </c>
      <c r="BI157" s="862">
        <f>SUM(AQ157*14%)</f>
        <v>0</v>
      </c>
      <c r="BJ157" s="862">
        <f>SUM(AR157*4%)</f>
        <v>0</v>
      </c>
      <c r="BK157" s="862">
        <f t="shared" si="443"/>
        <v>0</v>
      </c>
      <c r="BL157" s="862">
        <f t="shared" si="443"/>
        <v>0</v>
      </c>
      <c r="BM157" s="862">
        <f t="shared" si="443"/>
        <v>0</v>
      </c>
      <c r="BN157" s="862">
        <f t="shared" si="443"/>
        <v>0</v>
      </c>
      <c r="BO157" s="862">
        <f t="shared" si="443"/>
        <v>0</v>
      </c>
      <c r="BP157" s="862">
        <f t="shared" si="443"/>
        <v>11900.000000000002</v>
      </c>
      <c r="BQ157" s="862">
        <f t="shared" si="443"/>
        <v>0</v>
      </c>
      <c r="BR157" s="862">
        <f t="shared" si="443"/>
        <v>0</v>
      </c>
      <c r="BS157" s="862">
        <f t="shared" si="443"/>
        <v>0</v>
      </c>
      <c r="BT157" s="862"/>
      <c r="BU157" s="862"/>
      <c r="BV157" s="862"/>
      <c r="BW157" s="862"/>
      <c r="BX157" s="862"/>
      <c r="BY157" s="862"/>
      <c r="BZ157" s="73">
        <f>SUM(BI157:BY157)</f>
        <v>11900.000000000002</v>
      </c>
      <c r="CA157" s="686">
        <f t="shared" si="444"/>
        <v>3099.9999999999982</v>
      </c>
      <c r="CB157" s="687">
        <f>X157*D157</f>
        <v>100000</v>
      </c>
      <c r="CC157" s="688">
        <f>CB157-BH157-BZ157</f>
        <v>3099.9999999999982</v>
      </c>
      <c r="CD157" s="630">
        <f>SUM(V157/D157)</f>
        <v>1</v>
      </c>
      <c r="CE157" s="1081"/>
      <c r="CF157" s="1081"/>
      <c r="CG157" s="1107"/>
      <c r="CH157" s="1084"/>
      <c r="CI157" s="862"/>
      <c r="CJ157" s="862"/>
      <c r="CK157" s="862"/>
      <c r="CL157" s="862"/>
      <c r="CM157" s="862"/>
      <c r="CN157" s="862"/>
      <c r="CO157" s="862"/>
      <c r="CP157" s="862"/>
      <c r="CQ157" s="1081">
        <f t="shared" si="407"/>
        <v>10625</v>
      </c>
      <c r="CR157" s="862"/>
      <c r="CS157" s="862"/>
      <c r="CT157" s="862"/>
      <c r="CU157" s="73">
        <f t="shared" si="427"/>
        <v>10625</v>
      </c>
      <c r="CV157" s="862"/>
      <c r="CW157" s="862"/>
      <c r="CX157" s="862"/>
      <c r="CY157" s="862"/>
      <c r="CZ157" s="862"/>
      <c r="DA157" s="862"/>
      <c r="DB157" s="862"/>
      <c r="DC157" s="862"/>
      <c r="DD157" s="1081"/>
      <c r="DE157" s="862"/>
      <c r="DF157" s="862"/>
      <c r="DG157" s="862"/>
      <c r="DH157" s="73">
        <f t="shared" si="428"/>
        <v>0</v>
      </c>
    </row>
    <row r="158" spans="1:112" s="37" customFormat="1" ht="24.75" customHeight="1" x14ac:dyDescent="0.2">
      <c r="A158" s="28"/>
      <c r="B158" s="733" t="s">
        <v>511</v>
      </c>
      <c r="C158" s="29" t="s">
        <v>25</v>
      </c>
      <c r="D158" s="725">
        <v>40</v>
      </c>
      <c r="E158" s="683"/>
      <c r="F158" s="30"/>
      <c r="G158" s="30"/>
      <c r="H158" s="30"/>
      <c r="I158" s="30"/>
      <c r="J158" s="30"/>
      <c r="K158" s="30"/>
      <c r="L158" s="30">
        <v>40</v>
      </c>
      <c r="M158" s="30"/>
      <c r="N158" s="30"/>
      <c r="O158" s="30"/>
      <c r="P158" s="30"/>
      <c r="Q158" s="30"/>
      <c r="R158" s="30"/>
      <c r="S158" s="30"/>
      <c r="T158" s="30"/>
      <c r="U158" s="30"/>
      <c r="V158" s="31">
        <f t="shared" si="445"/>
        <v>40</v>
      </c>
      <c r="W158" s="674" t="s">
        <v>3</v>
      </c>
      <c r="X158" s="675">
        <v>113500</v>
      </c>
      <c r="Y158" s="32"/>
      <c r="Z158" s="884"/>
      <c r="AA158" s="884"/>
      <c r="AB158" s="884"/>
      <c r="AC158" s="884"/>
      <c r="AD158" s="884"/>
      <c r="AE158" s="884"/>
      <c r="AF158" s="884">
        <v>90000</v>
      </c>
      <c r="AG158" s="884"/>
      <c r="AH158" s="884"/>
      <c r="AI158" s="884"/>
      <c r="AJ158" s="884"/>
      <c r="AK158" s="884"/>
      <c r="AL158" s="884"/>
      <c r="AM158" s="884"/>
      <c r="AN158" s="884"/>
      <c r="AO158" s="884"/>
      <c r="AP158" s="1304">
        <f t="shared" si="446"/>
        <v>4540000</v>
      </c>
      <c r="AQ158" s="862">
        <f t="shared" si="447"/>
        <v>0</v>
      </c>
      <c r="AR158" s="862">
        <f t="shared" si="448"/>
        <v>0</v>
      </c>
      <c r="AS158" s="862">
        <f t="shared" si="449"/>
        <v>0</v>
      </c>
      <c r="AT158" s="862">
        <f t="shared" si="450"/>
        <v>0</v>
      </c>
      <c r="AU158" s="862">
        <f t="shared" si="451"/>
        <v>0</v>
      </c>
      <c r="AV158" s="862">
        <f t="shared" si="452"/>
        <v>0</v>
      </c>
      <c r="AW158" s="862">
        <f t="shared" si="453"/>
        <v>0</v>
      </c>
      <c r="AX158" s="862">
        <f t="shared" si="454"/>
        <v>3600000</v>
      </c>
      <c r="AY158" s="862">
        <f t="shared" si="455"/>
        <v>0</v>
      </c>
      <c r="AZ158" s="862">
        <f t="shared" si="456"/>
        <v>0</v>
      </c>
      <c r="BA158" s="862">
        <f t="shared" si="457"/>
        <v>0</v>
      </c>
      <c r="BB158" s="862"/>
      <c r="BC158" s="862"/>
      <c r="BD158" s="862"/>
      <c r="BE158" s="862"/>
      <c r="BF158" s="862"/>
      <c r="BG158" s="862"/>
      <c r="BH158" s="863">
        <f>SUM(AQ158:BG158)</f>
        <v>3600000</v>
      </c>
      <c r="BI158" s="862">
        <f>SUM(AQ158*14%)</f>
        <v>0</v>
      </c>
      <c r="BJ158" s="862">
        <f>SUM(AR158*14%)</f>
        <v>0</v>
      </c>
      <c r="BK158" s="862">
        <f t="shared" si="443"/>
        <v>0</v>
      </c>
      <c r="BL158" s="862">
        <f t="shared" si="443"/>
        <v>0</v>
      </c>
      <c r="BM158" s="862">
        <f t="shared" si="443"/>
        <v>0</v>
      </c>
      <c r="BN158" s="862">
        <f t="shared" si="443"/>
        <v>0</v>
      </c>
      <c r="BO158" s="862">
        <f t="shared" si="443"/>
        <v>0</v>
      </c>
      <c r="BP158" s="862">
        <f t="shared" si="443"/>
        <v>504000.00000000006</v>
      </c>
      <c r="BQ158" s="862">
        <f t="shared" si="443"/>
        <v>0</v>
      </c>
      <c r="BR158" s="862">
        <f t="shared" si="443"/>
        <v>0</v>
      </c>
      <c r="BS158" s="862">
        <f t="shared" si="443"/>
        <v>0</v>
      </c>
      <c r="BT158" s="862"/>
      <c r="BU158" s="862"/>
      <c r="BV158" s="862"/>
      <c r="BW158" s="862"/>
      <c r="BX158" s="862"/>
      <c r="BY158" s="862"/>
      <c r="BZ158" s="73">
        <f>SUM(BI158:BY158)</f>
        <v>504000.00000000006</v>
      </c>
      <c r="CA158" s="686">
        <f t="shared" si="444"/>
        <v>435999.99999999994</v>
      </c>
      <c r="CB158" s="687">
        <f>X158*D158</f>
        <v>4540000</v>
      </c>
      <c r="CC158" s="688">
        <f>CB158-BH158-BZ158</f>
        <v>435999.99999999994</v>
      </c>
      <c r="CD158" s="630">
        <f>SUM(V158/D158)</f>
        <v>1</v>
      </c>
      <c r="CE158" s="1081"/>
      <c r="CF158" s="1081"/>
      <c r="CG158" s="1107"/>
      <c r="CH158" s="1084"/>
      <c r="CI158" s="862"/>
      <c r="CJ158" s="862"/>
      <c r="CK158" s="862"/>
      <c r="CL158" s="862"/>
      <c r="CM158" s="862"/>
      <c r="CN158" s="862"/>
      <c r="CO158" s="862"/>
      <c r="CP158" s="862"/>
      <c r="CQ158" s="1081">
        <f t="shared" si="407"/>
        <v>450000</v>
      </c>
      <c r="CR158" s="862"/>
      <c r="CS158" s="862"/>
      <c r="CT158" s="862"/>
      <c r="CU158" s="73">
        <f t="shared" si="427"/>
        <v>450000</v>
      </c>
      <c r="CV158" s="862"/>
      <c r="CW158" s="862"/>
      <c r="CX158" s="862"/>
      <c r="CY158" s="862"/>
      <c r="CZ158" s="862"/>
      <c r="DA158" s="862"/>
      <c r="DB158" s="862"/>
      <c r="DC158" s="862"/>
      <c r="DD158" s="1081"/>
      <c r="DE158" s="862"/>
      <c r="DF158" s="862"/>
      <c r="DG158" s="862"/>
      <c r="DH158" s="73">
        <f t="shared" si="428"/>
        <v>0</v>
      </c>
    </row>
    <row r="159" spans="1:112" s="37" customFormat="1" ht="24.75" customHeight="1" thickBot="1" x14ac:dyDescent="0.25">
      <c r="A159" s="28"/>
      <c r="B159" s="733" t="s">
        <v>126</v>
      </c>
      <c r="C159" s="29" t="s">
        <v>25</v>
      </c>
      <c r="D159" s="1053">
        <v>3</v>
      </c>
      <c r="E159" s="683"/>
      <c r="F159" s="30"/>
      <c r="G159" s="30"/>
      <c r="H159" s="30"/>
      <c r="I159" s="30"/>
      <c r="J159" s="30"/>
      <c r="K159" s="30"/>
      <c r="L159" s="30">
        <v>3</v>
      </c>
      <c r="M159" s="30"/>
      <c r="N159" s="30"/>
      <c r="O159" s="30"/>
      <c r="P159" s="30"/>
      <c r="Q159" s="30"/>
      <c r="R159" s="30"/>
      <c r="S159" s="30"/>
      <c r="T159" s="30"/>
      <c r="U159" s="30"/>
      <c r="V159" s="31">
        <f t="shared" si="445"/>
        <v>3</v>
      </c>
      <c r="W159" s="1054" t="s">
        <v>512</v>
      </c>
      <c r="X159" s="717">
        <v>200000</v>
      </c>
      <c r="Y159" s="32"/>
      <c r="Z159" s="884"/>
      <c r="AA159" s="884"/>
      <c r="AB159" s="884"/>
      <c r="AC159" s="884"/>
      <c r="AD159" s="884"/>
      <c r="AE159" s="884"/>
      <c r="AF159" s="884">
        <v>150000</v>
      </c>
      <c r="AG159" s="884"/>
      <c r="AH159" s="884"/>
      <c r="AI159" s="884"/>
      <c r="AJ159" s="884"/>
      <c r="AK159" s="884"/>
      <c r="AL159" s="884"/>
      <c r="AM159" s="884"/>
      <c r="AN159" s="884"/>
      <c r="AO159" s="884"/>
      <c r="AP159" s="1304">
        <f t="shared" si="446"/>
        <v>600000</v>
      </c>
      <c r="AQ159" s="862">
        <f t="shared" si="447"/>
        <v>0</v>
      </c>
      <c r="AR159" s="862">
        <f t="shared" si="448"/>
        <v>0</v>
      </c>
      <c r="AS159" s="862">
        <f t="shared" si="449"/>
        <v>0</v>
      </c>
      <c r="AT159" s="862">
        <f t="shared" si="450"/>
        <v>0</v>
      </c>
      <c r="AU159" s="862">
        <f t="shared" si="451"/>
        <v>0</v>
      </c>
      <c r="AV159" s="862">
        <f t="shared" si="452"/>
        <v>0</v>
      </c>
      <c r="AW159" s="862">
        <f t="shared" si="453"/>
        <v>0</v>
      </c>
      <c r="AX159" s="862">
        <f t="shared" si="454"/>
        <v>450000</v>
      </c>
      <c r="AY159" s="862">
        <f t="shared" si="455"/>
        <v>0</v>
      </c>
      <c r="AZ159" s="862">
        <f t="shared" si="456"/>
        <v>0</v>
      </c>
      <c r="BA159" s="862">
        <f t="shared" si="457"/>
        <v>0</v>
      </c>
      <c r="BB159" s="862"/>
      <c r="BC159" s="862"/>
      <c r="BD159" s="862"/>
      <c r="BE159" s="862"/>
      <c r="BF159" s="862"/>
      <c r="BG159" s="862"/>
      <c r="BH159" s="863">
        <f>SUM(AQ159:BG159)</f>
        <v>450000</v>
      </c>
      <c r="BI159" s="862">
        <f>SUM(AQ159*14%)</f>
        <v>0</v>
      </c>
      <c r="BJ159" s="862">
        <f>SUM(AR159*4%)</f>
        <v>0</v>
      </c>
      <c r="BK159" s="862">
        <f t="shared" si="443"/>
        <v>0</v>
      </c>
      <c r="BL159" s="862">
        <f t="shared" si="443"/>
        <v>0</v>
      </c>
      <c r="BM159" s="862">
        <f t="shared" si="443"/>
        <v>0</v>
      </c>
      <c r="BN159" s="862">
        <f t="shared" si="443"/>
        <v>0</v>
      </c>
      <c r="BO159" s="862">
        <f t="shared" si="443"/>
        <v>0</v>
      </c>
      <c r="BP159" s="862">
        <f t="shared" si="443"/>
        <v>63000.000000000007</v>
      </c>
      <c r="BQ159" s="862">
        <f t="shared" si="443"/>
        <v>0</v>
      </c>
      <c r="BR159" s="862">
        <f t="shared" si="443"/>
        <v>0</v>
      </c>
      <c r="BS159" s="862">
        <f t="shared" si="443"/>
        <v>0</v>
      </c>
      <c r="BT159" s="862"/>
      <c r="BU159" s="862"/>
      <c r="BV159" s="862"/>
      <c r="BW159" s="862"/>
      <c r="BX159" s="862"/>
      <c r="BY159" s="862"/>
      <c r="BZ159" s="73">
        <f>SUM(BI159:BY159)</f>
        <v>63000.000000000007</v>
      </c>
      <c r="CA159" s="686">
        <f t="shared" si="444"/>
        <v>87000</v>
      </c>
      <c r="CB159" s="687">
        <f>X159*D159</f>
        <v>600000</v>
      </c>
      <c r="CC159" s="688">
        <f>CB159-BH159-BZ159</f>
        <v>87000</v>
      </c>
      <c r="CD159" s="630">
        <f>SUM(V159/D159)</f>
        <v>1</v>
      </c>
      <c r="CE159" s="1081"/>
      <c r="CF159" s="1081"/>
      <c r="CG159" s="1107"/>
      <c r="CH159" s="1084"/>
      <c r="CI159" s="862"/>
      <c r="CJ159" s="862"/>
      <c r="CK159" s="862"/>
      <c r="CL159" s="862"/>
      <c r="CM159" s="862"/>
      <c r="CN159" s="862"/>
      <c r="CO159" s="862"/>
      <c r="CP159" s="862"/>
      <c r="CQ159" s="1081">
        <f t="shared" si="407"/>
        <v>56250</v>
      </c>
      <c r="CR159" s="862"/>
      <c r="CS159" s="862"/>
      <c r="CT159" s="862"/>
      <c r="CU159" s="73">
        <f t="shared" si="427"/>
        <v>56250</v>
      </c>
      <c r="CV159" s="862"/>
      <c r="CW159" s="862"/>
      <c r="CX159" s="862"/>
      <c r="CY159" s="862"/>
      <c r="CZ159" s="862"/>
      <c r="DA159" s="862"/>
      <c r="DB159" s="862"/>
      <c r="DC159" s="862"/>
      <c r="DD159" s="1081"/>
      <c r="DE159" s="862"/>
      <c r="DF159" s="862"/>
      <c r="DG159" s="862"/>
      <c r="DH159" s="73">
        <f t="shared" si="428"/>
        <v>0</v>
      </c>
    </row>
    <row r="160" spans="1:112" s="38" customFormat="1" ht="24.75" customHeight="1" thickBot="1" x14ac:dyDescent="0.25">
      <c r="A160" s="577">
        <v>8</v>
      </c>
      <c r="B160" s="44" t="s">
        <v>4</v>
      </c>
      <c r="C160" s="44"/>
      <c r="D160" s="222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7"/>
      <c r="W160" s="77"/>
      <c r="X160" s="101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3">
        <f t="shared" ref="AP160:BZ160" si="458">SUM(AP146:AP159)</f>
        <v>6202000</v>
      </c>
      <c r="AQ160" s="1588">
        <f t="shared" si="458"/>
        <v>200000</v>
      </c>
      <c r="AR160" s="103">
        <f t="shared" si="458"/>
        <v>0</v>
      </c>
      <c r="AS160" s="103">
        <f t="shared" si="458"/>
        <v>0</v>
      </c>
      <c r="AT160" s="103">
        <f t="shared" si="458"/>
        <v>0</v>
      </c>
      <c r="AU160" s="103">
        <f t="shared" si="458"/>
        <v>0</v>
      </c>
      <c r="AV160" s="103">
        <f t="shared" si="458"/>
        <v>0</v>
      </c>
      <c r="AW160" s="103">
        <f t="shared" si="458"/>
        <v>0</v>
      </c>
      <c r="AX160" s="1588">
        <f t="shared" si="458"/>
        <v>4695000</v>
      </c>
      <c r="AY160" s="103">
        <f t="shared" si="458"/>
        <v>0</v>
      </c>
      <c r="AZ160" s="103">
        <f t="shared" si="458"/>
        <v>0</v>
      </c>
      <c r="BA160" s="103">
        <f t="shared" si="458"/>
        <v>0</v>
      </c>
      <c r="BB160" s="103"/>
      <c r="BC160" s="103"/>
      <c r="BD160" s="103"/>
      <c r="BE160" s="103"/>
      <c r="BF160" s="103"/>
      <c r="BG160" s="103"/>
      <c r="BH160" s="103">
        <f t="shared" si="458"/>
        <v>4895000</v>
      </c>
      <c r="BI160" s="103">
        <f t="shared" si="458"/>
        <v>8000</v>
      </c>
      <c r="BJ160" s="103">
        <f t="shared" si="458"/>
        <v>0</v>
      </c>
      <c r="BK160" s="103">
        <f t="shared" si="458"/>
        <v>0</v>
      </c>
      <c r="BL160" s="103">
        <f t="shared" si="458"/>
        <v>0</v>
      </c>
      <c r="BM160" s="103">
        <f t="shared" si="458"/>
        <v>0</v>
      </c>
      <c r="BN160" s="103">
        <f t="shared" si="458"/>
        <v>0</v>
      </c>
      <c r="BO160" s="103">
        <f t="shared" si="458"/>
        <v>0</v>
      </c>
      <c r="BP160" s="103">
        <f t="shared" si="458"/>
        <v>657300.00000000012</v>
      </c>
      <c r="BQ160" s="103">
        <f t="shared" si="458"/>
        <v>0</v>
      </c>
      <c r="BR160" s="103">
        <f t="shared" si="458"/>
        <v>0</v>
      </c>
      <c r="BS160" s="103">
        <f t="shared" si="458"/>
        <v>0</v>
      </c>
      <c r="BT160" s="103"/>
      <c r="BU160" s="103"/>
      <c r="BV160" s="103"/>
      <c r="BW160" s="103"/>
      <c r="BX160" s="103"/>
      <c r="BY160" s="103"/>
      <c r="BZ160" s="103">
        <f t="shared" si="458"/>
        <v>665300.00000000012</v>
      </c>
      <c r="CA160" s="104">
        <f t="shared" si="444"/>
        <v>641699.99999999988</v>
      </c>
      <c r="CB160" s="103">
        <f>SUM(CB146:CB159)</f>
        <v>12987000</v>
      </c>
      <c r="CC160" s="103">
        <f>SUM(CC146:CC159)</f>
        <v>7426700</v>
      </c>
      <c r="CD160" s="164">
        <v>1</v>
      </c>
      <c r="CE160" s="1083"/>
      <c r="CF160" s="1083"/>
      <c r="CG160" s="1083"/>
      <c r="CH160" s="1084"/>
      <c r="CI160" s="862"/>
      <c r="CJ160" s="862"/>
      <c r="CK160" s="862"/>
      <c r="CL160" s="862"/>
      <c r="CM160" s="862"/>
      <c r="CN160" s="862"/>
      <c r="CO160" s="862"/>
      <c r="CP160" s="862"/>
      <c r="CQ160" s="1081">
        <f t="shared" si="407"/>
        <v>586875</v>
      </c>
      <c r="CR160" s="862"/>
      <c r="CS160" s="862"/>
      <c r="CT160" s="862"/>
      <c r="CU160" s="73">
        <f t="shared" ref="CU160" si="459">SUM(CI160:CT160)</f>
        <v>586875</v>
      </c>
      <c r="CV160" s="862"/>
      <c r="CW160" s="862"/>
      <c r="CX160" s="862"/>
      <c r="CY160" s="862"/>
      <c r="CZ160" s="862"/>
      <c r="DA160" s="862"/>
      <c r="DB160" s="862"/>
      <c r="DC160" s="862"/>
      <c r="DD160" s="1081"/>
      <c r="DE160" s="862"/>
      <c r="DF160" s="862"/>
      <c r="DG160" s="862"/>
      <c r="DH160" s="73">
        <f t="shared" ref="DH160" si="460">SUM(CV160:DG160)</f>
        <v>0</v>
      </c>
    </row>
    <row r="161" spans="1:118" s="20" customFormat="1" ht="24.75" customHeight="1" x14ac:dyDescent="0.2">
      <c r="A161" s="50"/>
      <c r="D161" s="223"/>
      <c r="E161" s="50"/>
      <c r="F161" s="50"/>
      <c r="G161" s="50"/>
      <c r="H161" s="50"/>
      <c r="I161" s="50"/>
      <c r="J161" s="50"/>
      <c r="K161" s="50"/>
      <c r="L161" s="50"/>
      <c r="M161" s="50"/>
      <c r="N161" s="165"/>
      <c r="O161" s="50"/>
      <c r="P161" s="50"/>
      <c r="Q161" s="50"/>
      <c r="R161" s="50"/>
      <c r="S161" s="50"/>
      <c r="T161" s="50"/>
      <c r="U161" s="50"/>
      <c r="V161" s="50"/>
      <c r="W161" s="50"/>
      <c r="AI161" s="40"/>
      <c r="AJ161" s="40"/>
      <c r="AK161" s="40"/>
      <c r="AL161" s="40"/>
      <c r="AM161" s="40"/>
      <c r="AN161" s="40"/>
      <c r="AO161" s="40"/>
      <c r="BH161" s="51"/>
      <c r="BS161" s="40"/>
      <c r="BT161" s="40"/>
      <c r="BU161" s="40"/>
      <c r="BV161" s="40"/>
      <c r="BW161" s="40"/>
      <c r="BX161" s="40"/>
      <c r="BY161" s="40"/>
      <c r="BZ161" s="52">
        <f>SUM(BH160+BZ160)</f>
        <v>5560300</v>
      </c>
      <c r="CA161" s="53">
        <f>AP160-BH160-BZ160</f>
        <v>641699.99999999988</v>
      </c>
      <c r="CB161" s="54">
        <f>SUM(CC160+BH160+BZ160)</f>
        <v>12987000</v>
      </c>
      <c r="CC161" s="55">
        <f>SUM(CA160)</f>
        <v>641699.99999999988</v>
      </c>
      <c r="CD161" s="40" t="s">
        <v>38</v>
      </c>
      <c r="CE161" s="171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</row>
    <row r="162" spans="1:118" s="20" customFormat="1" ht="24.75" customHeight="1" x14ac:dyDescent="0.2">
      <c r="A162" s="50"/>
      <c r="D162" s="223"/>
      <c r="E162" s="50"/>
      <c r="F162" s="50"/>
      <c r="G162" s="50"/>
      <c r="H162" s="50"/>
      <c r="I162" s="50"/>
      <c r="J162" s="50"/>
      <c r="K162" s="50"/>
      <c r="L162" s="50"/>
      <c r="M162" s="50"/>
      <c r="N162" s="165"/>
      <c r="O162" s="50"/>
      <c r="P162" s="50"/>
      <c r="Q162" s="50"/>
      <c r="R162" s="50"/>
      <c r="S162" s="50"/>
      <c r="T162" s="50"/>
      <c r="U162" s="50"/>
      <c r="V162" s="50"/>
      <c r="W162" s="50"/>
      <c r="AI162" s="40"/>
      <c r="AJ162" s="40"/>
      <c r="AK162" s="40"/>
      <c r="AL162" s="40"/>
      <c r="AM162" s="40"/>
      <c r="AN162" s="40"/>
      <c r="AO162" s="40"/>
      <c r="BH162" s="40"/>
      <c r="BI162" s="123">
        <f t="shared" ref="BI162:BS162" si="461">SUM(AQ160+BI160)</f>
        <v>208000</v>
      </c>
      <c r="BJ162" s="123">
        <f t="shared" si="461"/>
        <v>0</v>
      </c>
      <c r="BK162" s="123">
        <f t="shared" si="461"/>
        <v>0</v>
      </c>
      <c r="BL162" s="123">
        <f t="shared" si="461"/>
        <v>0</v>
      </c>
      <c r="BM162" s="123">
        <f t="shared" si="461"/>
        <v>0</v>
      </c>
      <c r="BN162" s="123">
        <f t="shared" si="461"/>
        <v>0</v>
      </c>
      <c r="BO162" s="123">
        <f t="shared" si="461"/>
        <v>0</v>
      </c>
      <c r="BP162" s="972">
        <f t="shared" si="461"/>
        <v>5352300</v>
      </c>
      <c r="BQ162" s="123">
        <f t="shared" si="461"/>
        <v>0</v>
      </c>
      <c r="BR162" s="123">
        <f t="shared" si="461"/>
        <v>0</v>
      </c>
      <c r="BS162" s="123">
        <f t="shared" si="461"/>
        <v>0</v>
      </c>
      <c r="BT162" s="123"/>
      <c r="BU162" s="123"/>
      <c r="BV162" s="123"/>
      <c r="BW162" s="123"/>
      <c r="BX162" s="123"/>
      <c r="BY162" s="123"/>
      <c r="BZ162" s="123">
        <f>SUM(BI162:BY162)</f>
        <v>5560300</v>
      </c>
      <c r="CA162" s="40"/>
      <c r="CB162" s="56"/>
      <c r="CC162" s="57">
        <f>SUM(CC160-CC161)</f>
        <v>6785000</v>
      </c>
      <c r="CD162" s="40" t="s">
        <v>37</v>
      </c>
      <c r="CE162" s="171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</row>
    <row r="163" spans="1:118" s="20" customFormat="1" ht="24.75" customHeight="1" x14ac:dyDescent="0.2">
      <c r="A163" s="1730" t="s">
        <v>8</v>
      </c>
      <c r="B163" s="1731"/>
      <c r="C163" s="124" t="s">
        <v>120</v>
      </c>
      <c r="D163" s="136"/>
      <c r="E163" s="23"/>
      <c r="F163" s="23"/>
      <c r="G163" s="23"/>
      <c r="H163" s="23"/>
      <c r="I163" s="23"/>
      <c r="J163" s="23"/>
      <c r="K163" s="23"/>
      <c r="L163" s="23"/>
      <c r="M163" s="23"/>
      <c r="N163" s="1090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7"/>
      <c r="AJ163" s="137"/>
      <c r="AK163" s="137"/>
      <c r="AL163" s="137"/>
      <c r="AM163" s="137"/>
      <c r="AN163" s="137"/>
      <c r="AO163" s="137"/>
      <c r="AP163" s="23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8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7"/>
      <c r="BT163" s="137"/>
      <c r="BU163" s="137"/>
      <c r="BV163" s="137"/>
      <c r="BW163" s="137"/>
      <c r="BX163" s="137"/>
      <c r="BY163" s="137"/>
      <c r="BZ163" s="138"/>
      <c r="CA163" s="138"/>
      <c r="CB163" s="135"/>
      <c r="CC163" s="139"/>
      <c r="CD163" s="23"/>
      <c r="CE163" s="169"/>
      <c r="CF163" s="136"/>
      <c r="CG163" s="136"/>
      <c r="CH163" s="136"/>
      <c r="CI163" s="136"/>
      <c r="CJ163" s="137"/>
      <c r="CK163" s="136"/>
      <c r="CL163" s="136"/>
      <c r="CM163" s="136"/>
      <c r="CN163" s="136"/>
      <c r="CO163" s="136"/>
      <c r="CP163" s="138"/>
      <c r="CQ163" s="138"/>
      <c r="CR163" s="138"/>
      <c r="CS163" s="135"/>
      <c r="CT163" s="139"/>
      <c r="CU163" s="138"/>
      <c r="CV163" s="138"/>
      <c r="CW163" s="24"/>
      <c r="CX163" s="24"/>
      <c r="CY163" s="24"/>
      <c r="CZ163" s="24"/>
      <c r="DA163" s="24"/>
      <c r="DB163" s="140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</row>
    <row r="164" spans="1:118" s="8" customFormat="1" ht="48.75" customHeight="1" x14ac:dyDescent="0.2">
      <c r="A164" s="1703" t="s">
        <v>10</v>
      </c>
      <c r="B164" s="1706" t="s">
        <v>11</v>
      </c>
      <c r="C164" s="1706" t="s">
        <v>22</v>
      </c>
      <c r="D164" s="1721" t="s">
        <v>12</v>
      </c>
      <c r="E164" s="1721"/>
      <c r="F164" s="1721"/>
      <c r="G164" s="1721"/>
      <c r="H164" s="1721"/>
      <c r="I164" s="1721"/>
      <c r="J164" s="1721"/>
      <c r="K164" s="1721"/>
      <c r="L164" s="1721"/>
      <c r="M164" s="1721"/>
      <c r="N164" s="1721"/>
      <c r="O164" s="1721"/>
      <c r="P164" s="1721"/>
      <c r="Q164" s="1721"/>
      <c r="R164" s="1721"/>
      <c r="S164" s="1721"/>
      <c r="T164" s="1721"/>
      <c r="U164" s="1721"/>
      <c r="V164" s="1721"/>
      <c r="W164" s="1706" t="s">
        <v>20</v>
      </c>
      <c r="X164" s="1717" t="s">
        <v>17</v>
      </c>
      <c r="Y164" s="1718"/>
      <c r="Z164" s="1718"/>
      <c r="AA164" s="1718"/>
      <c r="AB164" s="1718"/>
      <c r="AC164" s="1718"/>
      <c r="AD164" s="1718"/>
      <c r="AE164" s="1718"/>
      <c r="AF164" s="1718"/>
      <c r="AG164" s="1718"/>
      <c r="AH164" s="1718"/>
      <c r="AI164" s="1718"/>
      <c r="AJ164" s="1718"/>
      <c r="AK164" s="1718"/>
      <c r="AL164" s="1718"/>
      <c r="AM164" s="1718"/>
      <c r="AN164" s="1718"/>
      <c r="AO164" s="1719"/>
      <c r="AP164" s="1720" t="s">
        <v>6</v>
      </c>
      <c r="AQ164" s="1720"/>
      <c r="AR164" s="1720"/>
      <c r="AS164" s="1720"/>
      <c r="AT164" s="1720"/>
      <c r="AU164" s="1720"/>
      <c r="AV164" s="1720"/>
      <c r="AW164" s="1720"/>
      <c r="AX164" s="1720"/>
      <c r="AY164" s="1720"/>
      <c r="AZ164" s="1720"/>
      <c r="BA164" s="1720"/>
      <c r="BB164" s="1720"/>
      <c r="BC164" s="1720"/>
      <c r="BD164" s="1720"/>
      <c r="BE164" s="1720"/>
      <c r="BF164" s="1720"/>
      <c r="BG164" s="1720"/>
      <c r="BH164" s="1720"/>
      <c r="BI164" s="1722" t="s">
        <v>41</v>
      </c>
      <c r="BJ164" s="1723"/>
      <c r="BK164" s="1723"/>
      <c r="BL164" s="1723"/>
      <c r="BM164" s="1723"/>
      <c r="BN164" s="1723"/>
      <c r="BO164" s="1723"/>
      <c r="BP164" s="1723"/>
      <c r="BQ164" s="1723"/>
      <c r="BR164" s="1723"/>
      <c r="BS164" s="1723"/>
      <c r="BT164" s="1723"/>
      <c r="BU164" s="1723"/>
      <c r="BV164" s="1723"/>
      <c r="BW164" s="1723"/>
      <c r="BX164" s="1723"/>
      <c r="BY164" s="1723"/>
      <c r="BZ164" s="1724"/>
      <c r="CA164" s="1706" t="s">
        <v>38</v>
      </c>
      <c r="CB164" s="1706" t="s">
        <v>256</v>
      </c>
      <c r="CC164" s="1794" t="s">
        <v>39</v>
      </c>
      <c r="CD164" s="135"/>
      <c r="CE164" s="135"/>
      <c r="CF164" s="135"/>
      <c r="CG164" s="135"/>
      <c r="CH164" s="135"/>
      <c r="CI164" s="1733" t="s">
        <v>41</v>
      </c>
      <c r="CJ164" s="1734"/>
      <c r="CK164" s="1734"/>
      <c r="CL164" s="1734"/>
      <c r="CM164" s="1734"/>
      <c r="CN164" s="1734"/>
      <c r="CO164" s="1734"/>
      <c r="CP164" s="1734"/>
      <c r="CQ164" s="1734"/>
      <c r="CR164" s="1734"/>
      <c r="CS164" s="1734"/>
      <c r="CT164" s="1734"/>
      <c r="CU164" s="1734"/>
      <c r="CV164" s="1734"/>
      <c r="CW164" s="1734"/>
      <c r="CX164" s="1734"/>
      <c r="CY164" s="1734"/>
      <c r="CZ164" s="1734"/>
      <c r="DA164" s="1734"/>
      <c r="DB164" s="1734"/>
      <c r="DC164" s="1734"/>
      <c r="DD164" s="1734"/>
      <c r="DE164" s="1734"/>
      <c r="DF164" s="1734"/>
      <c r="DG164" s="1734"/>
      <c r="DH164" s="1735"/>
    </row>
    <row r="165" spans="1:118" s="8" customFormat="1" ht="48.75" customHeight="1" x14ac:dyDescent="0.2">
      <c r="A165" s="1704"/>
      <c r="B165" s="1707"/>
      <c r="C165" s="1707"/>
      <c r="D165" s="1712" t="s">
        <v>18</v>
      </c>
      <c r="E165" s="1714" t="s">
        <v>19</v>
      </c>
      <c r="F165" s="1715"/>
      <c r="G165" s="1715"/>
      <c r="H165" s="1715"/>
      <c r="I165" s="1715"/>
      <c r="J165" s="1715"/>
      <c r="K165" s="1715"/>
      <c r="L165" s="1715"/>
      <c r="M165" s="1715"/>
      <c r="N165" s="1715"/>
      <c r="O165" s="1715"/>
      <c r="P165" s="1715"/>
      <c r="Q165" s="1715"/>
      <c r="R165" s="1715"/>
      <c r="S165" s="1715"/>
      <c r="T165" s="1715"/>
      <c r="U165" s="1715"/>
      <c r="V165" s="1715"/>
      <c r="W165" s="1707"/>
      <c r="X165" s="1712" t="s">
        <v>18</v>
      </c>
      <c r="Y165" s="1714" t="s">
        <v>19</v>
      </c>
      <c r="Z165" s="1715"/>
      <c r="AA165" s="1715"/>
      <c r="AB165" s="1715"/>
      <c r="AC165" s="1715"/>
      <c r="AD165" s="1715"/>
      <c r="AE165" s="1715"/>
      <c r="AF165" s="1715"/>
      <c r="AG165" s="1715"/>
      <c r="AH165" s="1715"/>
      <c r="AI165" s="1715"/>
      <c r="AJ165" s="1715"/>
      <c r="AK165" s="1715"/>
      <c r="AL165" s="1715"/>
      <c r="AM165" s="1715"/>
      <c r="AN165" s="1715"/>
      <c r="AO165" s="1716"/>
      <c r="AP165" s="1712" t="s">
        <v>18</v>
      </c>
      <c r="AQ165" s="1714" t="s">
        <v>19</v>
      </c>
      <c r="AR165" s="1715"/>
      <c r="AS165" s="1715"/>
      <c r="AT165" s="1715"/>
      <c r="AU165" s="1715"/>
      <c r="AV165" s="1715"/>
      <c r="AW165" s="1715"/>
      <c r="AX165" s="1715"/>
      <c r="AY165" s="1715"/>
      <c r="AZ165" s="1715"/>
      <c r="BA165" s="1715"/>
      <c r="BB165" s="1715"/>
      <c r="BC165" s="1715"/>
      <c r="BD165" s="1715"/>
      <c r="BE165" s="1715"/>
      <c r="BF165" s="1715"/>
      <c r="BG165" s="1715"/>
      <c r="BH165" s="1716"/>
      <c r="BI165" s="1725"/>
      <c r="BJ165" s="1726"/>
      <c r="BK165" s="1726"/>
      <c r="BL165" s="1726"/>
      <c r="BM165" s="1726"/>
      <c r="BN165" s="1726"/>
      <c r="BO165" s="1726"/>
      <c r="BP165" s="1726"/>
      <c r="BQ165" s="1726"/>
      <c r="BR165" s="1726"/>
      <c r="BS165" s="1726"/>
      <c r="BT165" s="1726"/>
      <c r="BU165" s="1726"/>
      <c r="BV165" s="1726"/>
      <c r="BW165" s="1726"/>
      <c r="BX165" s="1726"/>
      <c r="BY165" s="1726"/>
      <c r="BZ165" s="1727"/>
      <c r="CA165" s="1707"/>
      <c r="CB165" s="1707"/>
      <c r="CC165" s="1795"/>
      <c r="CD165" s="135"/>
      <c r="CE165" s="1736">
        <f>SUM(CE167/60)</f>
        <v>0</v>
      </c>
      <c r="CF165" s="1736"/>
      <c r="CG165" s="1736"/>
      <c r="CH165" s="23"/>
      <c r="CI165" s="1737" t="s">
        <v>686</v>
      </c>
      <c r="CJ165" s="1738"/>
      <c r="CK165" s="1738"/>
      <c r="CL165" s="1738"/>
      <c r="CM165" s="1738"/>
      <c r="CN165" s="1738"/>
      <c r="CO165" s="1738"/>
      <c r="CP165" s="1738"/>
      <c r="CQ165" s="1738"/>
      <c r="CR165" s="1738"/>
      <c r="CS165" s="1738"/>
      <c r="CT165" s="1738"/>
      <c r="CU165" s="1739"/>
      <c r="CV165" s="1740" t="s">
        <v>687</v>
      </c>
      <c r="CW165" s="1741"/>
      <c r="CX165" s="1741"/>
      <c r="CY165" s="1741"/>
      <c r="CZ165" s="1741"/>
      <c r="DA165" s="1741"/>
      <c r="DB165" s="1741"/>
      <c r="DC165" s="1741"/>
      <c r="DD165" s="1741"/>
      <c r="DE165" s="1741"/>
      <c r="DF165" s="1741"/>
      <c r="DG165" s="1741"/>
      <c r="DH165" s="1742"/>
    </row>
    <row r="166" spans="1:118" s="6" customFormat="1" ht="28.5" customHeight="1" x14ac:dyDescent="0.2">
      <c r="A166" s="1704"/>
      <c r="B166" s="1707"/>
      <c r="C166" s="1707"/>
      <c r="D166" s="1784"/>
      <c r="E166" s="26">
        <v>1</v>
      </c>
      <c r="F166" s="26">
        <v>2</v>
      </c>
      <c r="G166" s="26">
        <v>3</v>
      </c>
      <c r="H166" s="26">
        <v>4</v>
      </c>
      <c r="I166" s="26">
        <v>5</v>
      </c>
      <c r="J166" s="26">
        <v>6</v>
      </c>
      <c r="K166" s="26">
        <v>7</v>
      </c>
      <c r="L166" s="26">
        <v>8</v>
      </c>
      <c r="M166" s="26">
        <v>9</v>
      </c>
      <c r="N166" s="26">
        <v>10</v>
      </c>
      <c r="O166" s="26">
        <v>11</v>
      </c>
      <c r="P166" s="26">
        <v>12</v>
      </c>
      <c r="Q166" s="26">
        <v>13</v>
      </c>
      <c r="R166" s="26">
        <v>14</v>
      </c>
      <c r="S166" s="26">
        <v>15</v>
      </c>
      <c r="T166" s="26">
        <v>16</v>
      </c>
      <c r="U166" s="26">
        <v>17</v>
      </c>
      <c r="V166" s="26" t="s">
        <v>21</v>
      </c>
      <c r="W166" s="1707"/>
      <c r="X166" s="1784"/>
      <c r="Y166" s="26">
        <v>1</v>
      </c>
      <c r="Z166" s="26">
        <v>2</v>
      </c>
      <c r="AA166" s="26">
        <v>3</v>
      </c>
      <c r="AB166" s="26">
        <v>4</v>
      </c>
      <c r="AC166" s="26">
        <v>5</v>
      </c>
      <c r="AD166" s="26">
        <v>6</v>
      </c>
      <c r="AE166" s="26">
        <v>7</v>
      </c>
      <c r="AF166" s="26">
        <v>8</v>
      </c>
      <c r="AG166" s="26">
        <v>9</v>
      </c>
      <c r="AH166" s="26">
        <v>10</v>
      </c>
      <c r="AI166" s="26">
        <v>11</v>
      </c>
      <c r="AJ166" s="26">
        <v>12</v>
      </c>
      <c r="AK166" s="26">
        <v>13</v>
      </c>
      <c r="AL166" s="26">
        <v>14</v>
      </c>
      <c r="AM166" s="26">
        <v>15</v>
      </c>
      <c r="AN166" s="26">
        <v>16</v>
      </c>
      <c r="AO166" s="26">
        <v>17</v>
      </c>
      <c r="AP166" s="1784"/>
      <c r="AQ166" s="26">
        <v>1</v>
      </c>
      <c r="AR166" s="26">
        <v>2</v>
      </c>
      <c r="AS166" s="26">
        <v>3</v>
      </c>
      <c r="AT166" s="26">
        <v>4</v>
      </c>
      <c r="AU166" s="26">
        <v>5</v>
      </c>
      <c r="AV166" s="26">
        <v>6</v>
      </c>
      <c r="AW166" s="26">
        <v>7</v>
      </c>
      <c r="AX166" s="26">
        <v>8</v>
      </c>
      <c r="AY166" s="26">
        <v>9</v>
      </c>
      <c r="AZ166" s="26">
        <v>10</v>
      </c>
      <c r="BA166" s="26">
        <v>11</v>
      </c>
      <c r="BB166" s="26">
        <v>12</v>
      </c>
      <c r="BC166" s="26">
        <v>13</v>
      </c>
      <c r="BD166" s="26">
        <v>14</v>
      </c>
      <c r="BE166" s="26">
        <v>15</v>
      </c>
      <c r="BF166" s="26">
        <v>16</v>
      </c>
      <c r="BG166" s="26">
        <v>17</v>
      </c>
      <c r="BH166" s="26" t="s">
        <v>13</v>
      </c>
      <c r="BI166" s="173">
        <v>1</v>
      </c>
      <c r="BJ166" s="173">
        <v>2</v>
      </c>
      <c r="BK166" s="173">
        <v>3</v>
      </c>
      <c r="BL166" s="173">
        <v>4</v>
      </c>
      <c r="BM166" s="173">
        <v>5</v>
      </c>
      <c r="BN166" s="173">
        <v>6</v>
      </c>
      <c r="BO166" s="173">
        <v>7</v>
      </c>
      <c r="BP166" s="173">
        <v>8</v>
      </c>
      <c r="BQ166" s="173">
        <v>9</v>
      </c>
      <c r="BR166" s="173">
        <v>10</v>
      </c>
      <c r="BS166" s="173">
        <v>11</v>
      </c>
      <c r="BT166" s="173">
        <v>12</v>
      </c>
      <c r="BU166" s="173">
        <v>13</v>
      </c>
      <c r="BV166" s="173">
        <v>14</v>
      </c>
      <c r="BW166" s="173">
        <v>15</v>
      </c>
      <c r="BX166" s="173">
        <v>16</v>
      </c>
      <c r="BY166" s="173">
        <v>17</v>
      </c>
      <c r="BZ166" s="26" t="s">
        <v>13</v>
      </c>
      <c r="CA166" s="1707"/>
      <c r="CB166" s="1707"/>
      <c r="CC166" s="1795"/>
      <c r="CD166" s="7"/>
      <c r="CE166" s="1743" t="s">
        <v>19</v>
      </c>
      <c r="CF166" s="1744"/>
      <c r="CG166" s="1745"/>
      <c r="CH166" s="621"/>
      <c r="CI166" s="173">
        <v>1</v>
      </c>
      <c r="CJ166" s="173">
        <v>2</v>
      </c>
      <c r="CK166" s="173">
        <v>3</v>
      </c>
      <c r="CL166" s="173">
        <v>4</v>
      </c>
      <c r="CM166" s="173">
        <v>5</v>
      </c>
      <c r="CN166" s="173">
        <v>6</v>
      </c>
      <c r="CO166" s="173">
        <v>7</v>
      </c>
      <c r="CP166" s="173">
        <v>8</v>
      </c>
      <c r="CQ166" s="173">
        <v>9</v>
      </c>
      <c r="CR166" s="173">
        <v>10</v>
      </c>
      <c r="CS166" s="173">
        <v>11</v>
      </c>
      <c r="CT166" s="173">
        <v>12</v>
      </c>
      <c r="CU166" s="26" t="s">
        <v>13</v>
      </c>
      <c r="CV166" s="173">
        <v>1</v>
      </c>
      <c r="CW166" s="173">
        <v>2</v>
      </c>
      <c r="CX166" s="173">
        <v>3</v>
      </c>
      <c r="CY166" s="173">
        <v>4</v>
      </c>
      <c r="CZ166" s="173">
        <v>5</v>
      </c>
      <c r="DA166" s="173">
        <v>6</v>
      </c>
      <c r="DB166" s="173">
        <v>7</v>
      </c>
      <c r="DC166" s="173">
        <v>8</v>
      </c>
      <c r="DD166" s="173">
        <v>9</v>
      </c>
      <c r="DE166" s="173">
        <v>10</v>
      </c>
      <c r="DF166" s="173">
        <v>11</v>
      </c>
      <c r="DG166" s="173">
        <v>12</v>
      </c>
      <c r="DH166" s="26" t="s">
        <v>13</v>
      </c>
    </row>
    <row r="167" spans="1:118" s="92" customFormat="1" ht="24.75" customHeight="1" x14ac:dyDescent="0.2">
      <c r="A167" s="85"/>
      <c r="B167" s="743" t="s">
        <v>514</v>
      </c>
      <c r="C167" s="86"/>
      <c r="D167" s="150"/>
      <c r="E167" s="87"/>
      <c r="F167" s="88"/>
      <c r="G167" s="88"/>
      <c r="H167" s="1324"/>
      <c r="I167" s="1324"/>
      <c r="J167" s="88"/>
      <c r="K167" s="88"/>
      <c r="L167" s="88"/>
      <c r="M167" s="88"/>
      <c r="N167" s="1127"/>
      <c r="O167" s="88"/>
      <c r="P167" s="88"/>
      <c r="Q167" s="88"/>
      <c r="R167" s="88"/>
      <c r="S167" s="88"/>
      <c r="T167" s="88"/>
      <c r="U167" s="88"/>
      <c r="V167" s="89"/>
      <c r="W167" s="183"/>
      <c r="X167" s="186"/>
      <c r="Y167" s="184"/>
      <c r="Z167" s="94"/>
      <c r="AA167" s="94"/>
      <c r="AB167" s="1325"/>
      <c r="AC167" s="94"/>
      <c r="AD167" s="94"/>
      <c r="AE167" s="94"/>
      <c r="AF167" s="94"/>
      <c r="AG167" s="94"/>
      <c r="AH167" s="94"/>
      <c r="AI167" s="1164"/>
      <c r="AJ167" s="1164"/>
      <c r="AK167" s="1164"/>
      <c r="AL167" s="1164"/>
      <c r="AM167" s="1164"/>
      <c r="AN167" s="1164"/>
      <c r="AO167" s="94"/>
      <c r="AP167" s="1308"/>
      <c r="AQ167" s="70"/>
      <c r="AR167" s="70"/>
      <c r="AS167" s="1128"/>
      <c r="AT167" s="1128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1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1130"/>
      <c r="BT167" s="1130"/>
      <c r="BU167" s="1130"/>
      <c r="BV167" s="1130"/>
      <c r="BW167" s="1130"/>
      <c r="BX167" s="1130"/>
      <c r="BY167" s="1130"/>
      <c r="BZ167" s="72"/>
      <c r="CA167" s="98"/>
      <c r="CB167" s="99"/>
      <c r="CC167" s="100"/>
      <c r="CD167" s="163"/>
      <c r="CE167" s="1081"/>
      <c r="CF167" s="1081"/>
      <c r="CG167" s="1083"/>
      <c r="CH167" s="1084"/>
      <c r="CI167" s="862"/>
      <c r="CJ167" s="862"/>
      <c r="CK167" s="862"/>
      <c r="CL167" s="862"/>
      <c r="CM167" s="862"/>
      <c r="CN167" s="862"/>
      <c r="CO167" s="862"/>
      <c r="CP167" s="862"/>
      <c r="CQ167" s="1081">
        <f t="shared" ref="CQ167:CQ197" si="462">SUM(AX167*12.5%)</f>
        <v>0</v>
      </c>
      <c r="CR167" s="862"/>
      <c r="CS167" s="862"/>
      <c r="CT167" s="862"/>
      <c r="CU167" s="73">
        <f t="shared" ref="CU167" si="463">SUM(CI167:CT167)</f>
        <v>0</v>
      </c>
      <c r="CV167" s="862"/>
      <c r="CW167" s="862"/>
      <c r="CX167" s="862"/>
      <c r="CY167" s="862"/>
      <c r="CZ167" s="862"/>
      <c r="DA167" s="862"/>
      <c r="DB167" s="862"/>
      <c r="DC167" s="862"/>
      <c r="DD167" s="1081"/>
      <c r="DE167" s="862"/>
      <c r="DF167" s="862"/>
      <c r="DG167" s="862"/>
      <c r="DH167" s="73">
        <f t="shared" ref="DH167:DH171" si="464">SUM(CV167:DG167)</f>
        <v>0</v>
      </c>
    </row>
    <row r="168" spans="1:118" s="37" customFormat="1" ht="24.75" customHeight="1" x14ac:dyDescent="0.2">
      <c r="A168" s="28"/>
      <c r="B168" s="732" t="s">
        <v>46</v>
      </c>
      <c r="C168" s="29" t="s">
        <v>54</v>
      </c>
      <c r="D168" s="568">
        <v>4</v>
      </c>
      <c r="E168" s="683"/>
      <c r="F168" s="30"/>
      <c r="G168" s="30"/>
      <c r="H168" s="1136"/>
      <c r="I168" s="1136"/>
      <c r="J168" s="30"/>
      <c r="K168" s="30"/>
      <c r="L168" s="30"/>
      <c r="M168" s="30"/>
      <c r="N168" s="1127"/>
      <c r="O168" s="30"/>
      <c r="P168" s="30"/>
      <c r="Q168" s="30"/>
      <c r="R168" s="30"/>
      <c r="S168" s="30"/>
      <c r="T168" s="30"/>
      <c r="U168" s="30"/>
      <c r="V168" s="31">
        <f t="shared" ref="V168" si="465">SUM(E168:U168)</f>
        <v>0</v>
      </c>
      <c r="W168" s="744" t="s">
        <v>119</v>
      </c>
      <c r="X168" s="142">
        <v>37100</v>
      </c>
      <c r="Y168" s="691"/>
      <c r="Z168" s="685"/>
      <c r="AA168" s="685"/>
      <c r="AB168" s="1220"/>
      <c r="AC168" s="685"/>
      <c r="AD168" s="685"/>
      <c r="AE168" s="685"/>
      <c r="AF168" s="685"/>
      <c r="AG168" s="685"/>
      <c r="AH168" s="685"/>
      <c r="AI168" s="1164"/>
      <c r="AJ168" s="1164"/>
      <c r="AK168" s="1164"/>
      <c r="AL168" s="1164"/>
      <c r="AM168" s="1164"/>
      <c r="AN168" s="1164"/>
      <c r="AO168" s="685"/>
      <c r="AP168" s="1304">
        <f t="shared" ref="AP168" si="466">SUM(V168*X168)</f>
        <v>0</v>
      </c>
      <c r="AQ168" s="70">
        <f t="shared" ref="AQ168" si="467">Y168*E168</f>
        <v>0</v>
      </c>
      <c r="AR168" s="70">
        <f t="shared" ref="AR168" si="468">Z168*F168</f>
        <v>0</v>
      </c>
      <c r="AS168" s="1128">
        <f t="shared" ref="AS168" si="469">AA168*G168</f>
        <v>0</v>
      </c>
      <c r="AT168" s="1128">
        <f t="shared" ref="AT168" si="470">AB168*H168</f>
        <v>0</v>
      </c>
      <c r="AU168" s="70">
        <f t="shared" ref="AU168" si="471">AC168*I168</f>
        <v>0</v>
      </c>
      <c r="AV168" s="70">
        <f t="shared" ref="AV168" si="472">AD168*J168</f>
        <v>0</v>
      </c>
      <c r="AW168" s="70">
        <f t="shared" ref="AW168" si="473">AE168*K168</f>
        <v>0</v>
      </c>
      <c r="AX168" s="70">
        <f t="shared" ref="AX168" si="474">AF168*L168</f>
        <v>0</v>
      </c>
      <c r="AY168" s="70">
        <f t="shared" ref="AY168" si="475">AG168*M168</f>
        <v>0</v>
      </c>
      <c r="AZ168" s="70">
        <f t="shared" ref="AZ168" si="476">AH168*N168</f>
        <v>0</v>
      </c>
      <c r="BA168" s="70">
        <f t="shared" ref="BA168" si="477">AI168*O168</f>
        <v>0</v>
      </c>
      <c r="BB168" s="70"/>
      <c r="BC168" s="70"/>
      <c r="BD168" s="70"/>
      <c r="BE168" s="70"/>
      <c r="BF168" s="70"/>
      <c r="BG168" s="70"/>
      <c r="BH168" s="71">
        <f>SUM(AQ168:BG168)</f>
        <v>0</v>
      </c>
      <c r="BI168" s="70">
        <f>SUM(AQ168*14%)</f>
        <v>0</v>
      </c>
      <c r="BJ168" s="70"/>
      <c r="BK168" s="70">
        <f t="shared" ref="BK168:BS171" si="478">SUM(AS168*14%)</f>
        <v>0</v>
      </c>
      <c r="BL168" s="70">
        <f t="shared" si="478"/>
        <v>0</v>
      </c>
      <c r="BM168" s="70">
        <f t="shared" si="478"/>
        <v>0</v>
      </c>
      <c r="BN168" s="70">
        <f t="shared" si="478"/>
        <v>0</v>
      </c>
      <c r="BO168" s="70">
        <f t="shared" si="478"/>
        <v>0</v>
      </c>
      <c r="BP168" s="70">
        <f t="shared" si="478"/>
        <v>0</v>
      </c>
      <c r="BQ168" s="70">
        <f t="shared" si="478"/>
        <v>0</v>
      </c>
      <c r="BR168" s="70">
        <f t="shared" si="478"/>
        <v>0</v>
      </c>
      <c r="BS168" s="1130">
        <f t="shared" si="478"/>
        <v>0</v>
      </c>
      <c r="BT168" s="1130"/>
      <c r="BU168" s="1130"/>
      <c r="BV168" s="1130"/>
      <c r="BW168" s="1130"/>
      <c r="BX168" s="1130"/>
      <c r="BY168" s="1130"/>
      <c r="BZ168" s="72">
        <f>SUM(BI168:BY168)</f>
        <v>0</v>
      </c>
      <c r="CA168" s="686">
        <f t="shared" ref="CA168:CA173" si="479">AP168-BH168-BZ168</f>
        <v>0</v>
      </c>
      <c r="CB168" s="687">
        <f t="shared" ref="CB168:CB173" si="480">X168*D168</f>
        <v>148400</v>
      </c>
      <c r="CC168" s="688">
        <f t="shared" ref="CC168:CC173" si="481">CB168-BH168-BZ168</f>
        <v>148400</v>
      </c>
      <c r="CD168" s="630">
        <f>SUM(V168/D168)</f>
        <v>0</v>
      </c>
      <c r="CE168" s="1081"/>
      <c r="CF168" s="1081"/>
      <c r="CG168" s="1083"/>
      <c r="CH168" s="1084"/>
      <c r="CI168" s="862"/>
      <c r="CJ168" s="862"/>
      <c r="CK168" s="862"/>
      <c r="CL168" s="862"/>
      <c r="CM168" s="862"/>
      <c r="CN168" s="862"/>
      <c r="CO168" s="862"/>
      <c r="CP168" s="862"/>
      <c r="CQ168" s="1081">
        <f t="shared" si="462"/>
        <v>0</v>
      </c>
      <c r="CR168" s="862"/>
      <c r="CS168" s="862"/>
      <c r="CT168" s="862"/>
      <c r="CU168" s="73">
        <f t="shared" ref="CU168:CU171" si="482">SUM(CI168:CT168)</f>
        <v>0</v>
      </c>
      <c r="CV168" s="862"/>
      <c r="CW168" s="862"/>
      <c r="CX168" s="862"/>
      <c r="CY168" s="862"/>
      <c r="CZ168" s="862"/>
      <c r="DA168" s="862"/>
      <c r="DB168" s="862"/>
      <c r="DC168" s="862"/>
      <c r="DD168" s="1081"/>
      <c r="DE168" s="862"/>
      <c r="DF168" s="862"/>
      <c r="DG168" s="862"/>
      <c r="DH168" s="73">
        <f t="shared" si="464"/>
        <v>0</v>
      </c>
    </row>
    <row r="169" spans="1:118" s="37" customFormat="1" ht="24.75" customHeight="1" x14ac:dyDescent="0.2">
      <c r="A169" s="28"/>
      <c r="B169" s="730" t="s">
        <v>29</v>
      </c>
      <c r="C169" s="29" t="s">
        <v>54</v>
      </c>
      <c r="D169" s="568">
        <v>2</v>
      </c>
      <c r="E169" s="683"/>
      <c r="F169" s="30"/>
      <c r="G169" s="30"/>
      <c r="H169" s="1136"/>
      <c r="I169" s="1136"/>
      <c r="J169" s="30"/>
      <c r="K169" s="30"/>
      <c r="L169" s="30"/>
      <c r="M169" s="30"/>
      <c r="N169" s="1127"/>
      <c r="O169" s="30"/>
      <c r="P169" s="30"/>
      <c r="Q169" s="30"/>
      <c r="R169" s="30"/>
      <c r="S169" s="30"/>
      <c r="T169" s="30"/>
      <c r="U169" s="30"/>
      <c r="V169" s="31">
        <f t="shared" ref="V169:V176" si="483">SUM(E169:U169)</f>
        <v>0</v>
      </c>
      <c r="W169" s="744" t="s">
        <v>118</v>
      </c>
      <c r="X169" s="142">
        <v>49500</v>
      </c>
      <c r="Y169" s="691"/>
      <c r="Z169" s="685"/>
      <c r="AA169" s="685"/>
      <c r="AB169" s="1220"/>
      <c r="AC169" s="685"/>
      <c r="AD169" s="685"/>
      <c r="AE169" s="685"/>
      <c r="AF169" s="685"/>
      <c r="AG169" s="685"/>
      <c r="AH169" s="685"/>
      <c r="AI169" s="1164"/>
      <c r="AJ169" s="1164"/>
      <c r="AK169" s="1164"/>
      <c r="AL169" s="1164"/>
      <c r="AM169" s="1164"/>
      <c r="AN169" s="1164"/>
      <c r="AO169" s="685"/>
      <c r="AP169" s="1304">
        <f t="shared" ref="AP169:AP176" si="484">SUM(V169*X169)</f>
        <v>0</v>
      </c>
      <c r="AQ169" s="70">
        <f t="shared" ref="AQ169:AQ185" si="485">Y169*E169</f>
        <v>0</v>
      </c>
      <c r="AR169" s="70">
        <f t="shared" ref="AR169:AR185" si="486">Z169*F169</f>
        <v>0</v>
      </c>
      <c r="AS169" s="1128">
        <f t="shared" ref="AS169:AS185" si="487">AA169*G169</f>
        <v>0</v>
      </c>
      <c r="AT169" s="1128">
        <f t="shared" ref="AT169:BA173" si="488">AB169*H169</f>
        <v>0</v>
      </c>
      <c r="AU169" s="70">
        <f t="shared" si="488"/>
        <v>0</v>
      </c>
      <c r="AV169" s="70">
        <f t="shared" si="488"/>
        <v>0</v>
      </c>
      <c r="AW169" s="70">
        <f t="shared" si="488"/>
        <v>0</v>
      </c>
      <c r="AX169" s="70">
        <f t="shared" si="488"/>
        <v>0</v>
      </c>
      <c r="AY169" s="70">
        <f t="shared" si="488"/>
        <v>0</v>
      </c>
      <c r="AZ169" s="70">
        <f t="shared" si="488"/>
        <v>0</v>
      </c>
      <c r="BA169" s="70">
        <f t="shared" si="488"/>
        <v>0</v>
      </c>
      <c r="BB169" s="70"/>
      <c r="BC169" s="70"/>
      <c r="BD169" s="70"/>
      <c r="BE169" s="70"/>
      <c r="BF169" s="70"/>
      <c r="BG169" s="70"/>
      <c r="BH169" s="71">
        <f>SUM(AQ169:BG169)</f>
        <v>0</v>
      </c>
      <c r="BI169" s="70">
        <f>SUM(AQ169*14%)</f>
        <v>0</v>
      </c>
      <c r="BJ169" s="70"/>
      <c r="BK169" s="70">
        <f t="shared" si="478"/>
        <v>0</v>
      </c>
      <c r="BL169" s="70">
        <f t="shared" si="478"/>
        <v>0</v>
      </c>
      <c r="BM169" s="70">
        <f t="shared" si="478"/>
        <v>0</v>
      </c>
      <c r="BN169" s="70">
        <f t="shared" si="478"/>
        <v>0</v>
      </c>
      <c r="BO169" s="70">
        <f t="shared" si="478"/>
        <v>0</v>
      </c>
      <c r="BP169" s="70">
        <f t="shared" si="478"/>
        <v>0</v>
      </c>
      <c r="BQ169" s="70">
        <f t="shared" si="478"/>
        <v>0</v>
      </c>
      <c r="BR169" s="70">
        <f t="shared" si="478"/>
        <v>0</v>
      </c>
      <c r="BS169" s="1130">
        <f t="shared" si="478"/>
        <v>0</v>
      </c>
      <c r="BT169" s="1130"/>
      <c r="BU169" s="1130"/>
      <c r="BV169" s="1130"/>
      <c r="BW169" s="1130"/>
      <c r="BX169" s="1130"/>
      <c r="BY169" s="1130"/>
      <c r="BZ169" s="72">
        <f>SUM(BI169:BY169)</f>
        <v>0</v>
      </c>
      <c r="CA169" s="686">
        <f t="shared" si="479"/>
        <v>0</v>
      </c>
      <c r="CB169" s="687">
        <f t="shared" si="480"/>
        <v>99000</v>
      </c>
      <c r="CC169" s="688">
        <f t="shared" si="481"/>
        <v>99000</v>
      </c>
      <c r="CD169" s="630">
        <f>SUM(V169/D169)</f>
        <v>0</v>
      </c>
      <c r="CE169" s="1081"/>
      <c r="CF169" s="1081"/>
      <c r="CG169" s="1083"/>
      <c r="CH169" s="1084"/>
      <c r="CI169" s="862"/>
      <c r="CJ169" s="862"/>
      <c r="CK169" s="862"/>
      <c r="CL169" s="862"/>
      <c r="CM169" s="862"/>
      <c r="CN169" s="862"/>
      <c r="CO169" s="862"/>
      <c r="CP169" s="862"/>
      <c r="CQ169" s="1081">
        <f t="shared" si="462"/>
        <v>0</v>
      </c>
      <c r="CR169" s="862"/>
      <c r="CS169" s="862"/>
      <c r="CT169" s="862"/>
      <c r="CU169" s="73">
        <f t="shared" si="482"/>
        <v>0</v>
      </c>
      <c r="CV169" s="862"/>
      <c r="CW169" s="862"/>
      <c r="CX169" s="862"/>
      <c r="CY169" s="862"/>
      <c r="CZ169" s="862"/>
      <c r="DA169" s="862"/>
      <c r="DB169" s="862"/>
      <c r="DC169" s="862"/>
      <c r="DD169" s="1081"/>
      <c r="DE169" s="862"/>
      <c r="DF169" s="862"/>
      <c r="DG169" s="862"/>
      <c r="DH169" s="73">
        <f t="shared" si="464"/>
        <v>0</v>
      </c>
    </row>
    <row r="170" spans="1:118" s="37" customFormat="1" ht="24.75" customHeight="1" x14ac:dyDescent="0.2">
      <c r="A170" s="28"/>
      <c r="B170" s="730" t="s">
        <v>735</v>
      </c>
      <c r="C170" s="29"/>
      <c r="D170" s="568">
        <v>1</v>
      </c>
      <c r="E170" s="683"/>
      <c r="F170" s="30"/>
      <c r="G170" s="30"/>
      <c r="H170" s="1136"/>
      <c r="I170" s="1136"/>
      <c r="J170" s="30"/>
      <c r="K170" s="30"/>
      <c r="L170" s="30"/>
      <c r="M170" s="30"/>
      <c r="N170" s="1127"/>
      <c r="O170" s="30"/>
      <c r="P170" s="30"/>
      <c r="Q170" s="30"/>
      <c r="R170" s="30"/>
      <c r="S170" s="30"/>
      <c r="T170" s="30"/>
      <c r="U170" s="30"/>
      <c r="V170" s="31">
        <f t="shared" si="483"/>
        <v>0</v>
      </c>
      <c r="W170" s="744" t="s">
        <v>30</v>
      </c>
      <c r="X170" s="142">
        <v>10600</v>
      </c>
      <c r="Y170" s="691"/>
      <c r="Z170" s="685"/>
      <c r="AA170" s="685"/>
      <c r="AB170" s="1220"/>
      <c r="AC170" s="685"/>
      <c r="AD170" s="685"/>
      <c r="AE170" s="685"/>
      <c r="AF170" s="685"/>
      <c r="AG170" s="685"/>
      <c r="AH170" s="685"/>
      <c r="AI170" s="1164"/>
      <c r="AJ170" s="1164"/>
      <c r="AK170" s="1164"/>
      <c r="AL170" s="1164"/>
      <c r="AM170" s="1164"/>
      <c r="AN170" s="1164"/>
      <c r="AO170" s="685"/>
      <c r="AP170" s="1304">
        <f t="shared" si="484"/>
        <v>0</v>
      </c>
      <c r="AQ170" s="70"/>
      <c r="AR170" s="70"/>
      <c r="AS170" s="1128"/>
      <c r="AT170" s="1128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1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1130"/>
      <c r="BT170" s="1130"/>
      <c r="BU170" s="1130"/>
      <c r="BV170" s="1130"/>
      <c r="BW170" s="1130"/>
      <c r="BX170" s="1130"/>
      <c r="BY170" s="1130"/>
      <c r="BZ170" s="72"/>
      <c r="CA170" s="686">
        <f t="shared" si="479"/>
        <v>0</v>
      </c>
      <c r="CB170" s="687">
        <f t="shared" si="480"/>
        <v>10600</v>
      </c>
      <c r="CC170" s="688">
        <f t="shared" si="481"/>
        <v>10600</v>
      </c>
      <c r="CD170" s="630"/>
      <c r="CE170" s="1081"/>
      <c r="CF170" s="1081"/>
      <c r="CG170" s="1083"/>
      <c r="CH170" s="1084"/>
      <c r="CI170" s="862"/>
      <c r="CJ170" s="862"/>
      <c r="CK170" s="862"/>
      <c r="CL170" s="862"/>
      <c r="CM170" s="862"/>
      <c r="CN170" s="862"/>
      <c r="CO170" s="862"/>
      <c r="CP170" s="862"/>
      <c r="CQ170" s="1081"/>
      <c r="CR170" s="862"/>
      <c r="CS170" s="862"/>
      <c r="CT170" s="862"/>
      <c r="CU170" s="73"/>
      <c r="CV170" s="862"/>
      <c r="CW170" s="862"/>
      <c r="CX170" s="862"/>
      <c r="CY170" s="862"/>
      <c r="CZ170" s="862"/>
      <c r="DA170" s="862"/>
      <c r="DB170" s="862"/>
      <c r="DC170" s="862"/>
      <c r="DD170" s="1081"/>
      <c r="DE170" s="862"/>
      <c r="DF170" s="862"/>
      <c r="DG170" s="862"/>
      <c r="DH170" s="73"/>
    </row>
    <row r="171" spans="1:118" s="37" customFormat="1" ht="24.75" customHeight="1" x14ac:dyDescent="0.2">
      <c r="A171" s="28"/>
      <c r="B171" s="745" t="s">
        <v>515</v>
      </c>
      <c r="C171" s="29" t="s">
        <v>54</v>
      </c>
      <c r="D171" s="568">
        <v>50</v>
      </c>
      <c r="E171" s="683">
        <v>50</v>
      </c>
      <c r="F171" s="30"/>
      <c r="G171" s="30"/>
      <c r="H171" s="1136"/>
      <c r="I171" s="1136"/>
      <c r="J171" s="30"/>
      <c r="K171" s="30"/>
      <c r="L171" s="30"/>
      <c r="M171" s="30"/>
      <c r="N171" s="1127"/>
      <c r="O171" s="30"/>
      <c r="P171" s="30"/>
      <c r="Q171" s="30"/>
      <c r="R171" s="30"/>
      <c r="S171" s="30"/>
      <c r="T171" s="30"/>
      <c r="U171" s="30"/>
      <c r="V171" s="31">
        <f t="shared" si="483"/>
        <v>50</v>
      </c>
      <c r="W171" s="744" t="s">
        <v>45</v>
      </c>
      <c r="X171" s="142">
        <v>10300</v>
      </c>
      <c r="Y171" s="691">
        <v>9000</v>
      </c>
      <c r="Z171" s="685"/>
      <c r="AA171" s="685"/>
      <c r="AB171" s="1220"/>
      <c r="AC171" s="685"/>
      <c r="AD171" s="685"/>
      <c r="AE171" s="685"/>
      <c r="AF171" s="685"/>
      <c r="AG171" s="685"/>
      <c r="AH171" s="685"/>
      <c r="AI171" s="1164"/>
      <c r="AJ171" s="1164"/>
      <c r="AK171" s="1164"/>
      <c r="AL171" s="1164"/>
      <c r="AM171" s="1164"/>
      <c r="AN171" s="1164"/>
      <c r="AO171" s="685"/>
      <c r="AP171" s="1304">
        <f t="shared" si="484"/>
        <v>515000</v>
      </c>
      <c r="AQ171" s="70">
        <f t="shared" si="485"/>
        <v>450000</v>
      </c>
      <c r="AR171" s="70">
        <f t="shared" si="486"/>
        <v>0</v>
      </c>
      <c r="AS171" s="1128">
        <f t="shared" si="487"/>
        <v>0</v>
      </c>
      <c r="AT171" s="1128">
        <f t="shared" si="488"/>
        <v>0</v>
      </c>
      <c r="AU171" s="70">
        <f t="shared" si="488"/>
        <v>0</v>
      </c>
      <c r="AV171" s="70">
        <f t="shared" si="488"/>
        <v>0</v>
      </c>
      <c r="AW171" s="70">
        <f t="shared" si="488"/>
        <v>0</v>
      </c>
      <c r="AX171" s="70">
        <f t="shared" si="488"/>
        <v>0</v>
      </c>
      <c r="AY171" s="70">
        <f t="shared" si="488"/>
        <v>0</v>
      </c>
      <c r="AZ171" s="70">
        <f t="shared" si="488"/>
        <v>0</v>
      </c>
      <c r="BA171" s="70">
        <f t="shared" si="488"/>
        <v>0</v>
      </c>
      <c r="BB171" s="70"/>
      <c r="BC171" s="70"/>
      <c r="BD171" s="70"/>
      <c r="BE171" s="70"/>
      <c r="BF171" s="70"/>
      <c r="BG171" s="70"/>
      <c r="BH171" s="71">
        <f>SUM(AQ171:BG171)</f>
        <v>450000</v>
      </c>
      <c r="BI171" s="70">
        <f>SUM(AQ171*4%)</f>
        <v>18000</v>
      </c>
      <c r="BJ171" s="70">
        <f>SUM(AR171*14%)</f>
        <v>0</v>
      </c>
      <c r="BK171" s="70">
        <f t="shared" si="478"/>
        <v>0</v>
      </c>
      <c r="BL171" s="70">
        <f t="shared" si="478"/>
        <v>0</v>
      </c>
      <c r="BM171" s="70">
        <f t="shared" si="478"/>
        <v>0</v>
      </c>
      <c r="BN171" s="70">
        <f t="shared" si="478"/>
        <v>0</v>
      </c>
      <c r="BO171" s="70">
        <f t="shared" si="478"/>
        <v>0</v>
      </c>
      <c r="BP171" s="70">
        <f t="shared" si="478"/>
        <v>0</v>
      </c>
      <c r="BQ171" s="70">
        <f t="shared" si="478"/>
        <v>0</v>
      </c>
      <c r="BR171" s="70">
        <f t="shared" si="478"/>
        <v>0</v>
      </c>
      <c r="BS171" s="1130">
        <f t="shared" si="478"/>
        <v>0</v>
      </c>
      <c r="BT171" s="1130"/>
      <c r="BU171" s="1130"/>
      <c r="BV171" s="1130"/>
      <c r="BW171" s="1130"/>
      <c r="BX171" s="1130"/>
      <c r="BY171" s="1130"/>
      <c r="BZ171" s="72">
        <f>SUM(BI171:BY171)</f>
        <v>18000</v>
      </c>
      <c r="CA171" s="686">
        <f t="shared" si="479"/>
        <v>47000</v>
      </c>
      <c r="CB171" s="687">
        <f t="shared" si="480"/>
        <v>515000</v>
      </c>
      <c r="CC171" s="688">
        <f t="shared" si="481"/>
        <v>47000</v>
      </c>
      <c r="CD171" s="630">
        <f>SUM(V171/D171)</f>
        <v>1</v>
      </c>
      <c r="CE171" s="1081"/>
      <c r="CF171" s="1081"/>
      <c r="CG171" s="1083"/>
      <c r="CH171" s="1084"/>
      <c r="CI171" s="862"/>
      <c r="CJ171" s="862"/>
      <c r="CK171" s="862"/>
      <c r="CL171" s="862"/>
      <c r="CM171" s="862"/>
      <c r="CN171" s="862"/>
      <c r="CO171" s="862"/>
      <c r="CP171" s="862"/>
      <c r="CQ171" s="1081">
        <f t="shared" si="462"/>
        <v>0</v>
      </c>
      <c r="CR171" s="862"/>
      <c r="CS171" s="862"/>
      <c r="CT171" s="862"/>
      <c r="CU171" s="73">
        <f t="shared" si="482"/>
        <v>0</v>
      </c>
      <c r="CV171" s="862"/>
      <c r="CW171" s="862"/>
      <c r="CX171" s="862"/>
      <c r="CY171" s="862"/>
      <c r="CZ171" s="862"/>
      <c r="DA171" s="862"/>
      <c r="DB171" s="862"/>
      <c r="DC171" s="862"/>
      <c r="DD171" s="1081"/>
      <c r="DE171" s="862"/>
      <c r="DF171" s="862"/>
      <c r="DG171" s="862"/>
      <c r="DH171" s="73">
        <f t="shared" si="464"/>
        <v>0</v>
      </c>
    </row>
    <row r="172" spans="1:118" s="37" customFormat="1" ht="24.75" customHeight="1" x14ac:dyDescent="0.2">
      <c r="A172" s="28"/>
      <c r="B172" s="745" t="s">
        <v>516</v>
      </c>
      <c r="C172" s="29" t="s">
        <v>54</v>
      </c>
      <c r="D172" s="568">
        <v>50</v>
      </c>
      <c r="E172" s="683"/>
      <c r="F172" s="30"/>
      <c r="G172" s="30"/>
      <c r="H172" s="1136"/>
      <c r="I172" s="1136"/>
      <c r="J172" s="30"/>
      <c r="K172" s="30"/>
      <c r="L172" s="30"/>
      <c r="M172" s="30"/>
      <c r="N172" s="1127"/>
      <c r="O172" s="30"/>
      <c r="P172" s="30"/>
      <c r="Q172" s="30"/>
      <c r="R172" s="30"/>
      <c r="S172" s="30"/>
      <c r="T172" s="30"/>
      <c r="U172" s="30"/>
      <c r="V172" s="31">
        <f t="shared" si="483"/>
        <v>0</v>
      </c>
      <c r="W172" s="744" t="s">
        <v>31</v>
      </c>
      <c r="X172" s="142">
        <v>28500</v>
      </c>
      <c r="Y172" s="691"/>
      <c r="Z172" s="685"/>
      <c r="AA172" s="685"/>
      <c r="AB172" s="1220"/>
      <c r="AC172" s="685"/>
      <c r="AD172" s="685"/>
      <c r="AE172" s="685"/>
      <c r="AF172" s="685"/>
      <c r="AG172" s="685"/>
      <c r="AH172" s="685"/>
      <c r="AI172" s="1164"/>
      <c r="AJ172" s="1164"/>
      <c r="AK172" s="1164"/>
      <c r="AL172" s="1164"/>
      <c r="AM172" s="1164"/>
      <c r="AN172" s="1164"/>
      <c r="AO172" s="685"/>
      <c r="AP172" s="1304">
        <f>SUM(V172*X172)</f>
        <v>0</v>
      </c>
      <c r="AQ172" s="70">
        <f t="shared" si="485"/>
        <v>0</v>
      </c>
      <c r="AR172" s="70">
        <f t="shared" si="486"/>
        <v>0</v>
      </c>
      <c r="AS172" s="1128">
        <f t="shared" si="487"/>
        <v>0</v>
      </c>
      <c r="AT172" s="1128">
        <f t="shared" si="488"/>
        <v>0</v>
      </c>
      <c r="AU172" s="70">
        <f t="shared" si="488"/>
        <v>0</v>
      </c>
      <c r="AV172" s="70">
        <f t="shared" si="488"/>
        <v>0</v>
      </c>
      <c r="AW172" s="70">
        <f t="shared" si="488"/>
        <v>0</v>
      </c>
      <c r="AX172" s="70">
        <f t="shared" si="488"/>
        <v>0</v>
      </c>
      <c r="AY172" s="70">
        <f t="shared" si="488"/>
        <v>0</v>
      </c>
      <c r="AZ172" s="70">
        <f t="shared" si="488"/>
        <v>0</v>
      </c>
      <c r="BA172" s="70">
        <f t="shared" si="488"/>
        <v>0</v>
      </c>
      <c r="BB172" s="70"/>
      <c r="BC172" s="70"/>
      <c r="BD172" s="70"/>
      <c r="BE172" s="70"/>
      <c r="BF172" s="70"/>
      <c r="BG172" s="70"/>
      <c r="BH172" s="71">
        <f>SUM(AQ172:BG172)</f>
        <v>0</v>
      </c>
      <c r="BI172" s="70"/>
      <c r="BJ172" s="70">
        <f>SUM(AR172*14%)</f>
        <v>0</v>
      </c>
      <c r="BK172" s="70">
        <f>SUM(AS172*14%)</f>
        <v>0</v>
      </c>
      <c r="BL172" s="70"/>
      <c r="BM172" s="70">
        <f t="shared" ref="BM172:BS173" si="489">SUM(AU172*14%)</f>
        <v>0</v>
      </c>
      <c r="BN172" s="70">
        <f t="shared" si="489"/>
        <v>0</v>
      </c>
      <c r="BO172" s="70">
        <f t="shared" si="489"/>
        <v>0</v>
      </c>
      <c r="BP172" s="70">
        <f t="shared" si="489"/>
        <v>0</v>
      </c>
      <c r="BQ172" s="70">
        <f t="shared" si="489"/>
        <v>0</v>
      </c>
      <c r="BR172" s="70">
        <f t="shared" si="489"/>
        <v>0</v>
      </c>
      <c r="BS172" s="1130">
        <f t="shared" si="489"/>
        <v>0</v>
      </c>
      <c r="BT172" s="1130"/>
      <c r="BU172" s="1130"/>
      <c r="BV172" s="1130"/>
      <c r="BW172" s="1130"/>
      <c r="BX172" s="1130"/>
      <c r="BY172" s="1130"/>
      <c r="BZ172" s="72">
        <f>SUM(BI172:BY172)</f>
        <v>0</v>
      </c>
      <c r="CA172" s="686">
        <f t="shared" si="479"/>
        <v>0</v>
      </c>
      <c r="CB172" s="687">
        <f t="shared" si="480"/>
        <v>1425000</v>
      </c>
      <c r="CC172" s="688">
        <f t="shared" si="481"/>
        <v>1425000</v>
      </c>
      <c r="CD172" s="630">
        <f>SUM(V172/D172)</f>
        <v>0</v>
      </c>
      <c r="CE172" s="1081"/>
      <c r="CF172" s="1081"/>
      <c r="CG172" s="1083"/>
      <c r="CH172" s="1084"/>
      <c r="CI172" s="862"/>
      <c r="CJ172" s="862"/>
      <c r="CK172" s="862"/>
      <c r="CL172" s="862"/>
      <c r="CM172" s="862"/>
      <c r="CN172" s="862"/>
      <c r="CO172" s="862"/>
      <c r="CP172" s="862"/>
      <c r="CQ172" s="1081">
        <f t="shared" si="462"/>
        <v>0</v>
      </c>
      <c r="CR172" s="862"/>
      <c r="CS172" s="862"/>
      <c r="CT172" s="862"/>
      <c r="CU172" s="73">
        <f t="shared" ref="CU172:CU197" si="490">SUM(CI172:CT172)</f>
        <v>0</v>
      </c>
      <c r="CV172" s="862"/>
      <c r="CW172" s="862"/>
      <c r="CX172" s="862"/>
      <c r="CY172" s="862"/>
      <c r="CZ172" s="862"/>
      <c r="DA172" s="862"/>
      <c r="DB172" s="862"/>
      <c r="DC172" s="862"/>
      <c r="DD172" s="1081"/>
      <c r="DE172" s="862"/>
      <c r="DF172" s="862"/>
      <c r="DG172" s="862"/>
      <c r="DH172" s="73">
        <f t="shared" ref="DH172:DH197" si="491">SUM(CV172:DG172)</f>
        <v>0</v>
      </c>
    </row>
    <row r="173" spans="1:118" s="37" customFormat="1" ht="24.75" customHeight="1" x14ac:dyDescent="0.2">
      <c r="A173" s="28"/>
      <c r="B173" s="745" t="s">
        <v>430</v>
      </c>
      <c r="C173" s="29" t="s">
        <v>54</v>
      </c>
      <c r="D173" s="568">
        <v>3</v>
      </c>
      <c r="E173" s="683"/>
      <c r="F173" s="30"/>
      <c r="G173" s="30"/>
      <c r="H173" s="1136"/>
      <c r="I173" s="1136"/>
      <c r="J173" s="30"/>
      <c r="K173" s="30"/>
      <c r="L173" s="30"/>
      <c r="M173" s="30"/>
      <c r="N173" s="1127"/>
      <c r="O173" s="30"/>
      <c r="P173" s="30"/>
      <c r="Q173" s="30"/>
      <c r="R173" s="30"/>
      <c r="S173" s="30"/>
      <c r="T173" s="30"/>
      <c r="U173" s="30"/>
      <c r="V173" s="31">
        <f t="shared" si="483"/>
        <v>0</v>
      </c>
      <c r="W173" s="744" t="s">
        <v>2</v>
      </c>
      <c r="X173" s="142">
        <v>9000</v>
      </c>
      <c r="Y173" s="691"/>
      <c r="Z173" s="685"/>
      <c r="AA173" s="685"/>
      <c r="AB173" s="1220"/>
      <c r="AC173" s="685"/>
      <c r="AD173" s="685"/>
      <c r="AE173" s="685"/>
      <c r="AF173" s="685"/>
      <c r="AG173" s="685"/>
      <c r="AH173" s="685"/>
      <c r="AI173" s="1164"/>
      <c r="AJ173" s="1164"/>
      <c r="AK173" s="1164"/>
      <c r="AL173" s="1164"/>
      <c r="AM173" s="1164"/>
      <c r="AN173" s="1164"/>
      <c r="AO173" s="685"/>
      <c r="AP173" s="1304">
        <f t="shared" si="484"/>
        <v>0</v>
      </c>
      <c r="AQ173" s="70">
        <f t="shared" si="485"/>
        <v>0</v>
      </c>
      <c r="AR173" s="70">
        <f t="shared" si="486"/>
        <v>0</v>
      </c>
      <c r="AS173" s="1128">
        <f t="shared" si="487"/>
        <v>0</v>
      </c>
      <c r="AT173" s="1128">
        <f t="shared" si="488"/>
        <v>0</v>
      </c>
      <c r="AU173" s="70">
        <f t="shared" si="488"/>
        <v>0</v>
      </c>
      <c r="AV173" s="70">
        <f t="shared" si="488"/>
        <v>0</v>
      </c>
      <c r="AW173" s="70">
        <f t="shared" si="488"/>
        <v>0</v>
      </c>
      <c r="AX173" s="70">
        <f t="shared" si="488"/>
        <v>0</v>
      </c>
      <c r="AY173" s="70">
        <f t="shared" si="488"/>
        <v>0</v>
      </c>
      <c r="AZ173" s="70">
        <f t="shared" si="488"/>
        <v>0</v>
      </c>
      <c r="BA173" s="70">
        <f t="shared" si="488"/>
        <v>0</v>
      </c>
      <c r="BB173" s="70"/>
      <c r="BC173" s="70"/>
      <c r="BD173" s="70"/>
      <c r="BE173" s="70"/>
      <c r="BF173" s="70"/>
      <c r="BG173" s="70"/>
      <c r="BH173" s="71">
        <f>SUM(AQ173:BG173)</f>
        <v>0</v>
      </c>
      <c r="BI173" s="70">
        <f>SUM(AQ173*14%)</f>
        <v>0</v>
      </c>
      <c r="BJ173" s="70"/>
      <c r="BK173" s="70">
        <f>SUM(AS173*14%)</f>
        <v>0</v>
      </c>
      <c r="BL173" s="70">
        <f>SUM(AT173*14%)</f>
        <v>0</v>
      </c>
      <c r="BM173" s="70">
        <f t="shared" si="489"/>
        <v>0</v>
      </c>
      <c r="BN173" s="70">
        <f t="shared" si="489"/>
        <v>0</v>
      </c>
      <c r="BO173" s="70">
        <f t="shared" si="489"/>
        <v>0</v>
      </c>
      <c r="BP173" s="70">
        <f t="shared" si="489"/>
        <v>0</v>
      </c>
      <c r="BQ173" s="70">
        <f t="shared" si="489"/>
        <v>0</v>
      </c>
      <c r="BR173" s="70">
        <f t="shared" si="489"/>
        <v>0</v>
      </c>
      <c r="BS173" s="1130">
        <f t="shared" si="489"/>
        <v>0</v>
      </c>
      <c r="BT173" s="1130"/>
      <c r="BU173" s="1130"/>
      <c r="BV173" s="1130"/>
      <c r="BW173" s="1130"/>
      <c r="BX173" s="1130"/>
      <c r="BY173" s="1130"/>
      <c r="BZ173" s="72">
        <f>SUM(BI173:BY173)</f>
        <v>0</v>
      </c>
      <c r="CA173" s="686">
        <f t="shared" si="479"/>
        <v>0</v>
      </c>
      <c r="CB173" s="687">
        <f t="shared" si="480"/>
        <v>27000</v>
      </c>
      <c r="CC173" s="688">
        <f t="shared" si="481"/>
        <v>27000</v>
      </c>
      <c r="CD173" s="630">
        <f>SUM(V173/D173)</f>
        <v>0</v>
      </c>
      <c r="CE173" s="1081"/>
      <c r="CF173" s="1081"/>
      <c r="CG173" s="1083"/>
      <c r="CH173" s="1084"/>
      <c r="CI173" s="862"/>
      <c r="CJ173" s="862"/>
      <c r="CK173" s="862"/>
      <c r="CL173" s="862"/>
      <c r="CM173" s="862"/>
      <c r="CN173" s="862"/>
      <c r="CO173" s="862"/>
      <c r="CP173" s="862"/>
      <c r="CQ173" s="1081">
        <f t="shared" si="462"/>
        <v>0</v>
      </c>
      <c r="CR173" s="862"/>
      <c r="CS173" s="862"/>
      <c r="CT173" s="862"/>
      <c r="CU173" s="73">
        <f t="shared" si="490"/>
        <v>0</v>
      </c>
      <c r="CV173" s="862"/>
      <c r="CW173" s="862"/>
      <c r="CX173" s="862"/>
      <c r="CY173" s="862"/>
      <c r="CZ173" s="862"/>
      <c r="DA173" s="862"/>
      <c r="DB173" s="862"/>
      <c r="DC173" s="862"/>
      <c r="DD173" s="1081"/>
      <c r="DE173" s="862"/>
      <c r="DF173" s="862"/>
      <c r="DG173" s="862"/>
      <c r="DH173" s="73">
        <f t="shared" si="491"/>
        <v>0</v>
      </c>
    </row>
    <row r="174" spans="1:118" s="37" customFormat="1" ht="24.75" customHeight="1" x14ac:dyDescent="0.2">
      <c r="A174" s="28"/>
      <c r="B174" s="746" t="s">
        <v>517</v>
      </c>
      <c r="C174" s="29"/>
      <c r="D174" s="669"/>
      <c r="E174" s="683"/>
      <c r="F174" s="30"/>
      <c r="G174" s="30"/>
      <c r="H174" s="1136"/>
      <c r="I174" s="1136"/>
      <c r="J174" s="30"/>
      <c r="K174" s="30"/>
      <c r="L174" s="30"/>
      <c r="M174" s="30"/>
      <c r="N174" s="1127"/>
      <c r="O174" s="30"/>
      <c r="P174" s="30"/>
      <c r="Q174" s="30"/>
      <c r="R174" s="30"/>
      <c r="S174" s="30"/>
      <c r="T174" s="30"/>
      <c r="U174" s="30"/>
      <c r="V174" s="31"/>
      <c r="W174" s="690"/>
      <c r="X174" s="747"/>
      <c r="Y174" s="691"/>
      <c r="Z174" s="685"/>
      <c r="AA174" s="685"/>
      <c r="AB174" s="1220"/>
      <c r="AC174" s="685"/>
      <c r="AD174" s="685"/>
      <c r="AE174" s="685"/>
      <c r="AF174" s="685"/>
      <c r="AG174" s="685"/>
      <c r="AH174" s="685"/>
      <c r="AI174" s="1164"/>
      <c r="AJ174" s="1164"/>
      <c r="AK174" s="1164"/>
      <c r="AL174" s="1164"/>
      <c r="AM174" s="1164"/>
      <c r="AN174" s="1164"/>
      <c r="AO174" s="685"/>
      <c r="AP174" s="1304"/>
      <c r="AQ174" s="70"/>
      <c r="AR174" s="70"/>
      <c r="AS174" s="1128"/>
      <c r="AT174" s="1128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1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1130"/>
      <c r="BT174" s="1130"/>
      <c r="BU174" s="1130"/>
      <c r="BV174" s="1130"/>
      <c r="BW174" s="1130"/>
      <c r="BX174" s="1130"/>
      <c r="BY174" s="1130"/>
      <c r="BZ174" s="72"/>
      <c r="CA174" s="686"/>
      <c r="CB174" s="687"/>
      <c r="CC174" s="688"/>
      <c r="CD174" s="630"/>
      <c r="CE174" s="1081"/>
      <c r="CF174" s="1081"/>
      <c r="CG174" s="1083"/>
      <c r="CH174" s="1084"/>
      <c r="CI174" s="862"/>
      <c r="CJ174" s="862"/>
      <c r="CK174" s="862"/>
      <c r="CL174" s="862"/>
      <c r="CM174" s="862"/>
      <c r="CN174" s="862"/>
      <c r="CO174" s="862"/>
      <c r="CP174" s="862"/>
      <c r="CQ174" s="1081">
        <f t="shared" si="462"/>
        <v>0</v>
      </c>
      <c r="CR174" s="862"/>
      <c r="CS174" s="862"/>
      <c r="CT174" s="862"/>
      <c r="CU174" s="73">
        <f t="shared" si="490"/>
        <v>0</v>
      </c>
      <c r="CV174" s="862"/>
      <c r="CW174" s="862"/>
      <c r="CX174" s="862"/>
      <c r="CY174" s="862"/>
      <c r="CZ174" s="862"/>
      <c r="DA174" s="862"/>
      <c r="DB174" s="862"/>
      <c r="DC174" s="862"/>
      <c r="DD174" s="1081"/>
      <c r="DE174" s="862"/>
      <c r="DF174" s="862"/>
      <c r="DG174" s="862"/>
      <c r="DH174" s="73">
        <f t="shared" si="491"/>
        <v>0</v>
      </c>
    </row>
    <row r="175" spans="1:118" s="37" customFormat="1" ht="24.75" customHeight="1" x14ac:dyDescent="0.2">
      <c r="A175" s="28"/>
      <c r="B175" s="141" t="s">
        <v>49</v>
      </c>
      <c r="C175" s="29" t="s">
        <v>54</v>
      </c>
      <c r="D175" s="568">
        <v>25</v>
      </c>
      <c r="E175" s="683">
        <v>4</v>
      </c>
      <c r="F175" s="30">
        <v>1</v>
      </c>
      <c r="G175" s="1200">
        <v>3</v>
      </c>
      <c r="H175" s="1136">
        <v>1</v>
      </c>
      <c r="I175" s="1136">
        <v>4</v>
      </c>
      <c r="J175" s="30"/>
      <c r="K175" s="30"/>
      <c r="L175" s="30"/>
      <c r="M175" s="30"/>
      <c r="N175" s="1127"/>
      <c r="O175" s="30"/>
      <c r="P175" s="30"/>
      <c r="Q175" s="30"/>
      <c r="R175" s="30"/>
      <c r="S175" s="30"/>
      <c r="T175" s="30"/>
      <c r="U175" s="30"/>
      <c r="V175" s="31">
        <f t="shared" si="483"/>
        <v>13</v>
      </c>
      <c r="W175" s="744" t="s">
        <v>464</v>
      </c>
      <c r="X175" s="556">
        <v>100000</v>
      </c>
      <c r="Y175" s="691">
        <v>100000</v>
      </c>
      <c r="Z175" s="691">
        <v>100000</v>
      </c>
      <c r="AA175" s="1215">
        <v>100000</v>
      </c>
      <c r="AB175" s="1220">
        <v>100000</v>
      </c>
      <c r="AC175" s="1381">
        <v>100000</v>
      </c>
      <c r="AD175" s="685"/>
      <c r="AE175" s="685"/>
      <c r="AF175" s="685"/>
      <c r="AG175" s="685"/>
      <c r="AH175" s="685"/>
      <c r="AI175" s="1164"/>
      <c r="AJ175" s="1164"/>
      <c r="AK175" s="1164"/>
      <c r="AL175" s="1164"/>
      <c r="AM175" s="1164"/>
      <c r="AN175" s="1164"/>
      <c r="AO175" s="685"/>
      <c r="AP175" s="1304">
        <f t="shared" si="484"/>
        <v>1300000</v>
      </c>
      <c r="AQ175" s="70">
        <f t="shared" si="485"/>
        <v>400000</v>
      </c>
      <c r="AR175" s="70">
        <f t="shared" si="486"/>
        <v>100000</v>
      </c>
      <c r="AS175" s="1128">
        <f t="shared" si="487"/>
        <v>300000</v>
      </c>
      <c r="AT175" s="1128">
        <f t="shared" ref="AT175:BA179" si="492">AB175*H175</f>
        <v>100000</v>
      </c>
      <c r="AU175" s="70">
        <f t="shared" si="492"/>
        <v>400000</v>
      </c>
      <c r="AV175" s="70">
        <f t="shared" si="492"/>
        <v>0</v>
      </c>
      <c r="AW175" s="70">
        <f t="shared" si="492"/>
        <v>0</v>
      </c>
      <c r="AX175" s="70">
        <f t="shared" si="492"/>
        <v>0</v>
      </c>
      <c r="AY175" s="70">
        <f t="shared" si="492"/>
        <v>0</v>
      </c>
      <c r="AZ175" s="70">
        <f t="shared" si="492"/>
        <v>0</v>
      </c>
      <c r="BA175" s="70">
        <f t="shared" si="492"/>
        <v>0</v>
      </c>
      <c r="BB175" s="70"/>
      <c r="BC175" s="70"/>
      <c r="BD175" s="70"/>
      <c r="BE175" s="70"/>
      <c r="BF175" s="70"/>
      <c r="BG175" s="70"/>
      <c r="BH175" s="71">
        <f t="shared" ref="BH175:BH196" si="493">SUM(AQ175:BG175)</f>
        <v>1300000</v>
      </c>
      <c r="BI175" s="70"/>
      <c r="BJ175" s="70"/>
      <c r="BK175" s="70"/>
      <c r="BL175" s="70">
        <f t="shared" ref="BL175:BS176" si="494">SUM(AT175*14%)</f>
        <v>14000.000000000002</v>
      </c>
      <c r="BM175" s="70">
        <f t="shared" si="494"/>
        <v>56000.000000000007</v>
      </c>
      <c r="BN175" s="70">
        <f t="shared" si="494"/>
        <v>0</v>
      </c>
      <c r="BO175" s="70">
        <f t="shared" si="494"/>
        <v>0</v>
      </c>
      <c r="BP175" s="70">
        <f t="shared" si="494"/>
        <v>0</v>
      </c>
      <c r="BQ175" s="70">
        <f t="shared" si="494"/>
        <v>0</v>
      </c>
      <c r="BR175" s="70">
        <f t="shared" si="494"/>
        <v>0</v>
      </c>
      <c r="BS175" s="1130">
        <f t="shared" si="494"/>
        <v>0</v>
      </c>
      <c r="BT175" s="1130"/>
      <c r="BU175" s="1130"/>
      <c r="BV175" s="1130"/>
      <c r="BW175" s="1130"/>
      <c r="BX175" s="1130"/>
      <c r="BY175" s="1130"/>
      <c r="BZ175" s="72">
        <f>SUM(BI175:BY175)</f>
        <v>70000.000000000015</v>
      </c>
      <c r="CA175" s="686">
        <f>AP175-BH175</f>
        <v>0</v>
      </c>
      <c r="CB175" s="687">
        <f t="shared" ref="CB175:CB196" si="495">X175*D175</f>
        <v>2500000</v>
      </c>
      <c r="CC175" s="688">
        <f>CB175-BH175</f>
        <v>1200000</v>
      </c>
      <c r="CD175" s="630">
        <f>SUM(V175/D175)</f>
        <v>0.52</v>
      </c>
      <c r="CE175" s="1081"/>
      <c r="CF175" s="1081"/>
      <c r="CG175" s="1083"/>
      <c r="CH175" s="1084"/>
      <c r="CI175" s="862"/>
      <c r="CJ175" s="862"/>
      <c r="CK175" s="862"/>
      <c r="CL175" s="862"/>
      <c r="CM175" s="862"/>
      <c r="CN175" s="862"/>
      <c r="CO175" s="862"/>
      <c r="CP175" s="862"/>
      <c r="CQ175" s="1081">
        <f t="shared" si="462"/>
        <v>0</v>
      </c>
      <c r="CR175" s="862"/>
      <c r="CS175" s="862"/>
      <c r="CT175" s="862"/>
      <c r="CU175" s="73">
        <f t="shared" si="490"/>
        <v>0</v>
      </c>
      <c r="CV175" s="862"/>
      <c r="CW175" s="862"/>
      <c r="CX175" s="862"/>
      <c r="CY175" s="862"/>
      <c r="CZ175" s="862"/>
      <c r="DA175" s="862"/>
      <c r="DB175" s="862"/>
      <c r="DC175" s="862"/>
      <c r="DD175" s="1081"/>
      <c r="DE175" s="862"/>
      <c r="DF175" s="862"/>
      <c r="DG175" s="862"/>
      <c r="DH175" s="73">
        <f t="shared" si="491"/>
        <v>0</v>
      </c>
    </row>
    <row r="176" spans="1:118" s="37" customFormat="1" ht="24.75" customHeight="1" x14ac:dyDescent="0.2">
      <c r="A176" s="28"/>
      <c r="B176" s="730" t="s">
        <v>518</v>
      </c>
      <c r="C176" s="29" t="s">
        <v>54</v>
      </c>
      <c r="D176" s="568">
        <v>35</v>
      </c>
      <c r="E176" s="683"/>
      <c r="F176" s="30">
        <v>35</v>
      </c>
      <c r="G176" s="30"/>
      <c r="H176" s="1136"/>
      <c r="I176" s="1136"/>
      <c r="J176" s="30"/>
      <c r="K176" s="30"/>
      <c r="L176" s="30"/>
      <c r="M176" s="30"/>
      <c r="N176" s="1127"/>
      <c r="O176" s="30"/>
      <c r="P176" s="30"/>
      <c r="Q176" s="30"/>
      <c r="R176" s="30"/>
      <c r="S176" s="30"/>
      <c r="T176" s="30"/>
      <c r="U176" s="30"/>
      <c r="V176" s="31">
        <f t="shared" si="483"/>
        <v>35</v>
      </c>
      <c r="W176" s="744" t="s">
        <v>530</v>
      </c>
      <c r="X176" s="556">
        <v>250000</v>
      </c>
      <c r="Y176" s="691"/>
      <c r="Z176" s="685">
        <v>200000</v>
      </c>
      <c r="AA176" s="1215">
        <v>0</v>
      </c>
      <c r="AB176" s="1220"/>
      <c r="AC176" s="685"/>
      <c r="AD176" s="685"/>
      <c r="AE176" s="685"/>
      <c r="AF176" s="685"/>
      <c r="AG176" s="685"/>
      <c r="AH176" s="685"/>
      <c r="AI176" s="1164"/>
      <c r="AJ176" s="1164"/>
      <c r="AK176" s="1164"/>
      <c r="AL176" s="1164"/>
      <c r="AM176" s="1164"/>
      <c r="AN176" s="1164"/>
      <c r="AO176" s="685"/>
      <c r="AP176" s="1304">
        <f t="shared" si="484"/>
        <v>8750000</v>
      </c>
      <c r="AQ176" s="70">
        <f t="shared" si="485"/>
        <v>0</v>
      </c>
      <c r="AR176" s="70">
        <f t="shared" si="486"/>
        <v>7000000</v>
      </c>
      <c r="AS176" s="1128">
        <f t="shared" si="487"/>
        <v>0</v>
      </c>
      <c r="AT176" s="1128">
        <f t="shared" si="492"/>
        <v>0</v>
      </c>
      <c r="AU176" s="70">
        <f t="shared" si="492"/>
        <v>0</v>
      </c>
      <c r="AV176" s="70">
        <f t="shared" si="492"/>
        <v>0</v>
      </c>
      <c r="AW176" s="70">
        <f t="shared" si="492"/>
        <v>0</v>
      </c>
      <c r="AX176" s="70">
        <f t="shared" si="492"/>
        <v>0</v>
      </c>
      <c r="AY176" s="70">
        <f t="shared" si="492"/>
        <v>0</v>
      </c>
      <c r="AZ176" s="70">
        <f t="shared" si="492"/>
        <v>0</v>
      </c>
      <c r="BA176" s="70">
        <f t="shared" si="492"/>
        <v>0</v>
      </c>
      <c r="BB176" s="70"/>
      <c r="BC176" s="70"/>
      <c r="BD176" s="70"/>
      <c r="BE176" s="70"/>
      <c r="BF176" s="70"/>
      <c r="BG176" s="70"/>
      <c r="BH176" s="71">
        <f t="shared" si="493"/>
        <v>7000000</v>
      </c>
      <c r="BI176" s="70">
        <f>SUM(AQ176*14%)</f>
        <v>0</v>
      </c>
      <c r="BJ176" s="70">
        <f>BH176*14%</f>
        <v>980000.00000000012</v>
      </c>
      <c r="BK176" s="70">
        <f>SUM(AS176*14%)</f>
        <v>0</v>
      </c>
      <c r="BL176" s="70">
        <f t="shared" si="494"/>
        <v>0</v>
      </c>
      <c r="BM176" s="70">
        <f t="shared" si="494"/>
        <v>0</v>
      </c>
      <c r="BN176" s="70">
        <f t="shared" si="494"/>
        <v>0</v>
      </c>
      <c r="BO176" s="70">
        <f t="shared" si="494"/>
        <v>0</v>
      </c>
      <c r="BP176" s="70">
        <f t="shared" si="494"/>
        <v>0</v>
      </c>
      <c r="BQ176" s="70">
        <f t="shared" si="494"/>
        <v>0</v>
      </c>
      <c r="BR176" s="70">
        <f t="shared" si="494"/>
        <v>0</v>
      </c>
      <c r="BS176" s="1130">
        <f t="shared" si="494"/>
        <v>0</v>
      </c>
      <c r="BT176" s="1130"/>
      <c r="BU176" s="1130"/>
      <c r="BV176" s="1130"/>
      <c r="BW176" s="1130"/>
      <c r="BX176" s="1130"/>
      <c r="BY176" s="1130"/>
      <c r="BZ176" s="72">
        <f>SUM(BI176:BY176)</f>
        <v>980000.00000000012</v>
      </c>
      <c r="CA176" s="686">
        <f t="shared" ref="CA176:CA197" si="496">AP176-BH176-BZ176</f>
        <v>769999.99999999988</v>
      </c>
      <c r="CB176" s="687">
        <f t="shared" si="495"/>
        <v>8750000</v>
      </c>
      <c r="CC176" s="688">
        <f t="shared" ref="CC176:CC196" si="497">CB176-BH176-BZ176</f>
        <v>769999.99999999988</v>
      </c>
      <c r="CD176" s="630">
        <f>SUM(V176/D176)</f>
        <v>1</v>
      </c>
      <c r="CE176" s="1081"/>
      <c r="CF176" s="1081"/>
      <c r="CG176" s="1083"/>
      <c r="CH176" s="1084"/>
      <c r="CI176" s="862"/>
      <c r="CJ176" s="862"/>
      <c r="CK176" s="862"/>
      <c r="CL176" s="862"/>
      <c r="CM176" s="862"/>
      <c r="CN176" s="862"/>
      <c r="CO176" s="862"/>
      <c r="CP176" s="862"/>
      <c r="CQ176" s="1081">
        <f t="shared" si="462"/>
        <v>0</v>
      </c>
      <c r="CR176" s="862"/>
      <c r="CS176" s="862"/>
      <c r="CT176" s="862"/>
      <c r="CU176" s="73">
        <f t="shared" si="490"/>
        <v>0</v>
      </c>
      <c r="CV176" s="862"/>
      <c r="CW176" s="862"/>
      <c r="CX176" s="862"/>
      <c r="CY176" s="862"/>
      <c r="CZ176" s="862"/>
      <c r="DA176" s="862"/>
      <c r="DB176" s="862"/>
      <c r="DC176" s="862"/>
      <c r="DD176" s="1081"/>
      <c r="DE176" s="862"/>
      <c r="DF176" s="862"/>
      <c r="DG176" s="862"/>
      <c r="DH176" s="73">
        <f t="shared" si="491"/>
        <v>0</v>
      </c>
    </row>
    <row r="177" spans="1:112" s="37" customFormat="1" ht="24.75" customHeight="1" x14ac:dyDescent="0.2">
      <c r="A177" s="28"/>
      <c r="B177" s="748" t="s">
        <v>519</v>
      </c>
      <c r="C177" s="29"/>
      <c r="D177" s="749"/>
      <c r="E177" s="683"/>
      <c r="F177" s="30"/>
      <c r="G177" s="30"/>
      <c r="H177" s="1136"/>
      <c r="I177" s="1136"/>
      <c r="J177" s="30"/>
      <c r="K177" s="30"/>
      <c r="L177" s="30"/>
      <c r="M177" s="30"/>
      <c r="N177" s="1127"/>
      <c r="O177" s="30"/>
      <c r="P177" s="30"/>
      <c r="Q177" s="30"/>
      <c r="R177" s="30"/>
      <c r="S177" s="30"/>
      <c r="T177" s="30"/>
      <c r="U177" s="30"/>
      <c r="V177" s="31"/>
      <c r="W177" s="690"/>
      <c r="X177" s="750"/>
      <c r="Y177" s="718"/>
      <c r="Z177" s="685"/>
      <c r="AA177" s="1215"/>
      <c r="AB177" s="1220"/>
      <c r="AC177" s="685"/>
      <c r="AD177" s="685"/>
      <c r="AE177" s="685"/>
      <c r="AF177" s="685"/>
      <c r="AG177" s="685"/>
      <c r="AH177" s="685"/>
      <c r="AI177" s="1164"/>
      <c r="AJ177" s="1164"/>
      <c r="AK177" s="1164"/>
      <c r="AL177" s="1164"/>
      <c r="AM177" s="1164"/>
      <c r="AN177" s="1164"/>
      <c r="AO177" s="685"/>
      <c r="AP177" s="1306">
        <f>SUM(X177*E177)</f>
        <v>0</v>
      </c>
      <c r="AQ177" s="692">
        <f t="shared" si="485"/>
        <v>0</v>
      </c>
      <c r="AR177" s="692">
        <f t="shared" si="486"/>
        <v>0</v>
      </c>
      <c r="AS177" s="1230">
        <f t="shared" si="487"/>
        <v>0</v>
      </c>
      <c r="AT177" s="1230">
        <f t="shared" si="492"/>
        <v>0</v>
      </c>
      <c r="AU177" s="692">
        <f t="shared" si="492"/>
        <v>0</v>
      </c>
      <c r="AV177" s="692">
        <f t="shared" si="492"/>
        <v>0</v>
      </c>
      <c r="AW177" s="692">
        <f t="shared" si="492"/>
        <v>0</v>
      </c>
      <c r="AX177" s="692">
        <f t="shared" si="492"/>
        <v>0</v>
      </c>
      <c r="AY177" s="692">
        <f t="shared" si="492"/>
        <v>0</v>
      </c>
      <c r="AZ177" s="692">
        <f t="shared" si="492"/>
        <v>0</v>
      </c>
      <c r="BA177" s="692">
        <f t="shared" si="492"/>
        <v>0</v>
      </c>
      <c r="BB177" s="692"/>
      <c r="BC177" s="692"/>
      <c r="BD177" s="692"/>
      <c r="BE177" s="692"/>
      <c r="BF177" s="692"/>
      <c r="BG177" s="692"/>
      <c r="BH177" s="693">
        <f t="shared" si="493"/>
        <v>0</v>
      </c>
      <c r="BI177" s="692">
        <f t="shared" ref="BI177:BS177" si="498">AQ177*W177</f>
        <v>0</v>
      </c>
      <c r="BJ177" s="692">
        <f t="shared" si="498"/>
        <v>0</v>
      </c>
      <c r="BK177" s="692">
        <f t="shared" si="498"/>
        <v>0</v>
      </c>
      <c r="BL177" s="692">
        <f t="shared" si="498"/>
        <v>0</v>
      </c>
      <c r="BM177" s="692">
        <f t="shared" si="498"/>
        <v>0</v>
      </c>
      <c r="BN177" s="692">
        <f t="shared" si="498"/>
        <v>0</v>
      </c>
      <c r="BO177" s="692">
        <f t="shared" si="498"/>
        <v>0</v>
      </c>
      <c r="BP177" s="692">
        <f t="shared" si="498"/>
        <v>0</v>
      </c>
      <c r="BQ177" s="692">
        <f t="shared" si="498"/>
        <v>0</v>
      </c>
      <c r="BR177" s="692">
        <f t="shared" si="498"/>
        <v>0</v>
      </c>
      <c r="BS177" s="1272">
        <f t="shared" si="498"/>
        <v>0</v>
      </c>
      <c r="BT177" s="1272"/>
      <c r="BU177" s="1272"/>
      <c r="BV177" s="1272"/>
      <c r="BW177" s="1272"/>
      <c r="BX177" s="1272"/>
      <c r="BY177" s="1272"/>
      <c r="BZ177" s="694">
        <f>BH177*4%</f>
        <v>0</v>
      </c>
      <c r="CA177" s="686">
        <f t="shared" si="496"/>
        <v>0</v>
      </c>
      <c r="CB177" s="687">
        <f t="shared" si="495"/>
        <v>0</v>
      </c>
      <c r="CC177" s="688">
        <f t="shared" si="497"/>
        <v>0</v>
      </c>
      <c r="CD177" s="630"/>
      <c r="CE177" s="1081"/>
      <c r="CF177" s="1081"/>
      <c r="CG177" s="1083"/>
      <c r="CH177" s="1084"/>
      <c r="CI177" s="862"/>
      <c r="CJ177" s="862"/>
      <c r="CK177" s="862"/>
      <c r="CL177" s="862"/>
      <c r="CM177" s="862"/>
      <c r="CN177" s="862"/>
      <c r="CO177" s="862"/>
      <c r="CP177" s="862"/>
      <c r="CQ177" s="1081">
        <f t="shared" si="462"/>
        <v>0</v>
      </c>
      <c r="CR177" s="862"/>
      <c r="CS177" s="862"/>
      <c r="CT177" s="862"/>
      <c r="CU177" s="73">
        <f t="shared" si="490"/>
        <v>0</v>
      </c>
      <c r="CV177" s="862"/>
      <c r="CW177" s="862"/>
      <c r="CX177" s="862"/>
      <c r="CY177" s="862"/>
      <c r="CZ177" s="862"/>
      <c r="DA177" s="862"/>
      <c r="DB177" s="862"/>
      <c r="DC177" s="862"/>
      <c r="DD177" s="1081"/>
      <c r="DE177" s="862"/>
      <c r="DF177" s="862"/>
      <c r="DG177" s="862"/>
      <c r="DH177" s="73">
        <f t="shared" si="491"/>
        <v>0</v>
      </c>
    </row>
    <row r="178" spans="1:112" s="37" customFormat="1" ht="24.75" customHeight="1" x14ac:dyDescent="0.2">
      <c r="A178" s="28"/>
      <c r="B178" s="579" t="s">
        <v>121</v>
      </c>
      <c r="C178" s="29" t="s">
        <v>54</v>
      </c>
      <c r="D178" s="557"/>
      <c r="E178" s="683"/>
      <c r="F178" s="30"/>
      <c r="G178" s="1172"/>
      <c r="H178" s="1136"/>
      <c r="I178" s="1136"/>
      <c r="J178" s="30"/>
      <c r="K178" s="30"/>
      <c r="L178" s="30"/>
      <c r="M178" s="30"/>
      <c r="N178" s="1127"/>
      <c r="O178" s="30"/>
      <c r="P178" s="30"/>
      <c r="Q178" s="30"/>
      <c r="R178" s="30"/>
      <c r="S178" s="30"/>
      <c r="T178" s="30"/>
      <c r="U178" s="30"/>
      <c r="V178" s="31">
        <f>SUM(E178:U178)</f>
        <v>0</v>
      </c>
      <c r="W178" s="744" t="s">
        <v>30</v>
      </c>
      <c r="X178" s="751"/>
      <c r="Y178" s="719"/>
      <c r="Z178" s="685"/>
      <c r="AA178" s="1226"/>
      <c r="AB178" s="1220"/>
      <c r="AC178" s="685"/>
      <c r="AD178" s="685"/>
      <c r="AE178" s="685"/>
      <c r="AF178" s="685"/>
      <c r="AG178" s="685"/>
      <c r="AH178" s="685"/>
      <c r="AI178" s="1164"/>
      <c r="AJ178" s="1164"/>
      <c r="AK178" s="1164"/>
      <c r="AL178" s="1164"/>
      <c r="AM178" s="1164"/>
      <c r="AN178" s="1164"/>
      <c r="AO178" s="685"/>
      <c r="AP178" s="1304">
        <f t="shared" ref="AP178:AP179" si="499">SUM(V178*X178)</f>
        <v>0</v>
      </c>
      <c r="AQ178" s="70">
        <f t="shared" si="485"/>
        <v>0</v>
      </c>
      <c r="AR178" s="70">
        <f t="shared" si="486"/>
        <v>0</v>
      </c>
      <c r="AS178" s="1128">
        <f t="shared" si="487"/>
        <v>0</v>
      </c>
      <c r="AT178" s="1128">
        <f t="shared" si="492"/>
        <v>0</v>
      </c>
      <c r="AU178" s="70">
        <f t="shared" si="492"/>
        <v>0</v>
      </c>
      <c r="AV178" s="70">
        <f t="shared" si="492"/>
        <v>0</v>
      </c>
      <c r="AW178" s="70">
        <f t="shared" si="492"/>
        <v>0</v>
      </c>
      <c r="AX178" s="70">
        <f t="shared" si="492"/>
        <v>0</v>
      </c>
      <c r="AY178" s="70">
        <f t="shared" si="492"/>
        <v>0</v>
      </c>
      <c r="AZ178" s="70">
        <f t="shared" si="492"/>
        <v>0</v>
      </c>
      <c r="BA178" s="70">
        <f t="shared" si="492"/>
        <v>0</v>
      </c>
      <c r="BB178" s="70"/>
      <c r="BC178" s="70"/>
      <c r="BD178" s="70"/>
      <c r="BE178" s="70"/>
      <c r="BF178" s="70"/>
      <c r="BG178" s="70"/>
      <c r="BH178" s="71">
        <f t="shared" si="493"/>
        <v>0</v>
      </c>
      <c r="BI178" s="70">
        <f>SUM(AQ178*14%)</f>
        <v>0</v>
      </c>
      <c r="BJ178" s="70">
        <f>SUM(AR178*14%)</f>
        <v>0</v>
      </c>
      <c r="BK178" s="70"/>
      <c r="BL178" s="70">
        <f t="shared" ref="BL178:BS182" si="500">SUM(AT178*14%)</f>
        <v>0</v>
      </c>
      <c r="BM178" s="70">
        <f t="shared" si="500"/>
        <v>0</v>
      </c>
      <c r="BN178" s="70">
        <f t="shared" si="500"/>
        <v>0</v>
      </c>
      <c r="BO178" s="70">
        <f t="shared" si="500"/>
        <v>0</v>
      </c>
      <c r="BP178" s="70">
        <f t="shared" si="500"/>
        <v>0</v>
      </c>
      <c r="BQ178" s="70">
        <f t="shared" si="500"/>
        <v>0</v>
      </c>
      <c r="BR178" s="70">
        <f t="shared" si="500"/>
        <v>0</v>
      </c>
      <c r="BS178" s="1130">
        <f t="shared" si="500"/>
        <v>0</v>
      </c>
      <c r="BT178" s="1130"/>
      <c r="BU178" s="1130"/>
      <c r="BV178" s="1130"/>
      <c r="BW178" s="1130"/>
      <c r="BX178" s="1130"/>
      <c r="BY178" s="1130"/>
      <c r="BZ178" s="72">
        <f>SUM(BI178:BY178)</f>
        <v>0</v>
      </c>
      <c r="CA178" s="686">
        <f t="shared" si="496"/>
        <v>0</v>
      </c>
      <c r="CB178" s="687">
        <f t="shared" si="495"/>
        <v>0</v>
      </c>
      <c r="CC178" s="688">
        <f t="shared" si="497"/>
        <v>0</v>
      </c>
      <c r="CD178" s="630"/>
      <c r="CE178" s="1081"/>
      <c r="CF178" s="1081"/>
      <c r="CG178" s="1083"/>
      <c r="CH178" s="1084"/>
      <c r="CI178" s="862"/>
      <c r="CJ178" s="862"/>
      <c r="CK178" s="862"/>
      <c r="CL178" s="862"/>
      <c r="CM178" s="862"/>
      <c r="CN178" s="862"/>
      <c r="CO178" s="862"/>
      <c r="CP178" s="862"/>
      <c r="CQ178" s="1081">
        <f t="shared" si="462"/>
        <v>0</v>
      </c>
      <c r="CR178" s="862"/>
      <c r="CS178" s="862"/>
      <c r="CT178" s="862"/>
      <c r="CU178" s="73">
        <f t="shared" si="490"/>
        <v>0</v>
      </c>
      <c r="CV178" s="862"/>
      <c r="CW178" s="862"/>
      <c r="CX178" s="862"/>
      <c r="CY178" s="862"/>
      <c r="CZ178" s="862"/>
      <c r="DA178" s="862"/>
      <c r="DB178" s="862"/>
      <c r="DC178" s="862"/>
      <c r="DD178" s="1081"/>
      <c r="DE178" s="862"/>
      <c r="DF178" s="862"/>
      <c r="DG178" s="862"/>
      <c r="DH178" s="73">
        <f t="shared" si="491"/>
        <v>0</v>
      </c>
    </row>
    <row r="179" spans="1:112" s="37" customFormat="1" ht="24.75" customHeight="1" x14ac:dyDescent="0.2">
      <c r="A179" s="28"/>
      <c r="B179" s="752" t="s">
        <v>520</v>
      </c>
      <c r="C179" s="29" t="s">
        <v>54</v>
      </c>
      <c r="D179" s="568"/>
      <c r="E179" s="683"/>
      <c r="F179" s="30"/>
      <c r="G179" s="1173"/>
      <c r="H179" s="1136"/>
      <c r="I179" s="1136"/>
      <c r="J179" s="30"/>
      <c r="K179" s="30"/>
      <c r="L179" s="30"/>
      <c r="M179" s="30"/>
      <c r="N179" s="1127"/>
      <c r="O179" s="30"/>
      <c r="P179" s="30"/>
      <c r="Q179" s="30"/>
      <c r="R179" s="30"/>
      <c r="S179" s="30"/>
      <c r="T179" s="30"/>
      <c r="U179" s="30"/>
      <c r="V179" s="31">
        <f>SUM(E179:U179)</f>
        <v>0</v>
      </c>
      <c r="W179" s="744" t="s">
        <v>45</v>
      </c>
      <c r="X179" s="753"/>
      <c r="Y179" s="691"/>
      <c r="Z179" s="685"/>
      <c r="AA179" s="1227"/>
      <c r="AB179" s="1220"/>
      <c r="AC179" s="685"/>
      <c r="AD179" s="685"/>
      <c r="AE179" s="685"/>
      <c r="AF179" s="685"/>
      <c r="AG179" s="685"/>
      <c r="AH179" s="685"/>
      <c r="AI179" s="1164"/>
      <c r="AJ179" s="1164"/>
      <c r="AK179" s="1164"/>
      <c r="AL179" s="1164"/>
      <c r="AM179" s="1164"/>
      <c r="AN179" s="1164"/>
      <c r="AO179" s="685"/>
      <c r="AP179" s="1304">
        <f t="shared" si="499"/>
        <v>0</v>
      </c>
      <c r="AQ179" s="70">
        <f t="shared" si="485"/>
        <v>0</v>
      </c>
      <c r="AR179" s="70">
        <f t="shared" si="486"/>
        <v>0</v>
      </c>
      <c r="AS179" s="1128">
        <f t="shared" si="487"/>
        <v>0</v>
      </c>
      <c r="AT179" s="1128">
        <f t="shared" si="492"/>
        <v>0</v>
      </c>
      <c r="AU179" s="70">
        <f t="shared" si="492"/>
        <v>0</v>
      </c>
      <c r="AV179" s="70">
        <f t="shared" si="492"/>
        <v>0</v>
      </c>
      <c r="AW179" s="70">
        <f t="shared" si="492"/>
        <v>0</v>
      </c>
      <c r="AX179" s="70">
        <f t="shared" si="492"/>
        <v>0</v>
      </c>
      <c r="AY179" s="70">
        <f t="shared" si="492"/>
        <v>0</v>
      </c>
      <c r="AZ179" s="70">
        <f t="shared" si="492"/>
        <v>0</v>
      </c>
      <c r="BA179" s="70">
        <f t="shared" si="492"/>
        <v>0</v>
      </c>
      <c r="BB179" s="70"/>
      <c r="BC179" s="70"/>
      <c r="BD179" s="70"/>
      <c r="BE179" s="70"/>
      <c r="BF179" s="70"/>
      <c r="BG179" s="70"/>
      <c r="BH179" s="71">
        <f t="shared" si="493"/>
        <v>0</v>
      </c>
      <c r="BI179" s="70">
        <f>SUM(AQ179*14%)</f>
        <v>0</v>
      </c>
      <c r="BJ179" s="70"/>
      <c r="BK179" s="70">
        <f>SUM(AS179*14%)</f>
        <v>0</v>
      </c>
      <c r="BL179" s="70">
        <f t="shared" si="500"/>
        <v>0</v>
      </c>
      <c r="BM179" s="70">
        <f t="shared" si="500"/>
        <v>0</v>
      </c>
      <c r="BN179" s="70">
        <f t="shared" si="500"/>
        <v>0</v>
      </c>
      <c r="BO179" s="70">
        <f t="shared" si="500"/>
        <v>0</v>
      </c>
      <c r="BP179" s="70">
        <f t="shared" si="500"/>
        <v>0</v>
      </c>
      <c r="BQ179" s="70">
        <f t="shared" si="500"/>
        <v>0</v>
      </c>
      <c r="BR179" s="70">
        <f t="shared" si="500"/>
        <v>0</v>
      </c>
      <c r="BS179" s="1130">
        <f t="shared" si="500"/>
        <v>0</v>
      </c>
      <c r="BT179" s="1130"/>
      <c r="BU179" s="1130"/>
      <c r="BV179" s="1130"/>
      <c r="BW179" s="1130"/>
      <c r="BX179" s="1130"/>
      <c r="BY179" s="1130"/>
      <c r="BZ179" s="72">
        <f>SUM(BI179:BY179)</f>
        <v>0</v>
      </c>
      <c r="CA179" s="686">
        <f t="shared" si="496"/>
        <v>0</v>
      </c>
      <c r="CB179" s="687">
        <f t="shared" si="495"/>
        <v>0</v>
      </c>
      <c r="CC179" s="688">
        <f t="shared" si="497"/>
        <v>0</v>
      </c>
      <c r="CD179" s="630"/>
      <c r="CE179" s="1081"/>
      <c r="CF179" s="1081"/>
      <c r="CG179" s="1083"/>
      <c r="CH179" s="1084"/>
      <c r="CI179" s="862"/>
      <c r="CJ179" s="862"/>
      <c r="CK179" s="862"/>
      <c r="CL179" s="862"/>
      <c r="CM179" s="862"/>
      <c r="CN179" s="862"/>
      <c r="CO179" s="862"/>
      <c r="CP179" s="862"/>
      <c r="CQ179" s="1081">
        <f t="shared" si="462"/>
        <v>0</v>
      </c>
      <c r="CR179" s="862"/>
      <c r="CS179" s="862"/>
      <c r="CT179" s="862"/>
      <c r="CU179" s="73">
        <f t="shared" si="490"/>
        <v>0</v>
      </c>
      <c r="CV179" s="862"/>
      <c r="CW179" s="862"/>
      <c r="CX179" s="862"/>
      <c r="CY179" s="862"/>
      <c r="CZ179" s="862"/>
      <c r="DA179" s="862"/>
      <c r="DB179" s="862"/>
      <c r="DC179" s="862"/>
      <c r="DD179" s="1081"/>
      <c r="DE179" s="862"/>
      <c r="DF179" s="862"/>
      <c r="DG179" s="862"/>
      <c r="DH179" s="73">
        <f t="shared" si="491"/>
        <v>0</v>
      </c>
    </row>
    <row r="180" spans="1:112" s="37" customFormat="1" ht="24.75" customHeight="1" x14ac:dyDescent="0.2">
      <c r="A180" s="28"/>
      <c r="B180" s="752" t="s">
        <v>491</v>
      </c>
      <c r="C180" s="29" t="s">
        <v>54</v>
      </c>
      <c r="D180" s="568"/>
      <c r="E180" s="683"/>
      <c r="F180" s="30"/>
      <c r="G180" s="1173"/>
      <c r="H180" s="1136"/>
      <c r="I180" s="1136"/>
      <c r="J180" s="30"/>
      <c r="K180" s="30"/>
      <c r="L180" s="30"/>
      <c r="M180" s="30"/>
      <c r="N180" s="1127"/>
      <c r="O180" s="30"/>
      <c r="P180" s="30"/>
      <c r="Q180" s="30"/>
      <c r="R180" s="30"/>
      <c r="S180" s="30"/>
      <c r="T180" s="30"/>
      <c r="U180" s="30"/>
      <c r="V180" s="31">
        <f t="shared" ref="V180:V182" si="501">SUM(E180:U180)</f>
        <v>0</v>
      </c>
      <c r="W180" s="744" t="s">
        <v>31</v>
      </c>
      <c r="X180" s="754"/>
      <c r="Y180" s="691"/>
      <c r="Z180" s="685"/>
      <c r="AA180" s="1228"/>
      <c r="AB180" s="1220"/>
      <c r="AC180" s="685"/>
      <c r="AD180" s="685"/>
      <c r="AE180" s="685"/>
      <c r="AF180" s="685"/>
      <c r="AG180" s="685"/>
      <c r="AH180" s="685"/>
      <c r="AI180" s="1164"/>
      <c r="AJ180" s="1164"/>
      <c r="AK180" s="1164"/>
      <c r="AL180" s="1164"/>
      <c r="AM180" s="1164"/>
      <c r="AN180" s="1164"/>
      <c r="AO180" s="685"/>
      <c r="AP180" s="1304">
        <f t="shared" ref="AP180:AP182" si="502">SUM(V180*X180)</f>
        <v>0</v>
      </c>
      <c r="AQ180" s="70">
        <f t="shared" ref="AQ180:AQ182" si="503">Y180*E180</f>
        <v>0</v>
      </c>
      <c r="AR180" s="70">
        <f t="shared" ref="AR180:AR182" si="504">Z180*F180</f>
        <v>0</v>
      </c>
      <c r="AS180" s="1128">
        <f t="shared" ref="AS180:AS182" si="505">AA180*G180</f>
        <v>0</v>
      </c>
      <c r="AT180" s="1128">
        <f t="shared" ref="AT180:AT182" si="506">AB180*H180</f>
        <v>0</v>
      </c>
      <c r="AU180" s="70">
        <f t="shared" ref="AU180:AU182" si="507">AC180*I180</f>
        <v>0</v>
      </c>
      <c r="AV180" s="70">
        <f t="shared" ref="AV180:AV182" si="508">AD180*J180</f>
        <v>0</v>
      </c>
      <c r="AW180" s="70">
        <f t="shared" ref="AW180:AW182" si="509">AE180*K180</f>
        <v>0</v>
      </c>
      <c r="AX180" s="70">
        <f t="shared" ref="AX180:AX182" si="510">AF180*L180</f>
        <v>0</v>
      </c>
      <c r="AY180" s="70">
        <f t="shared" ref="AY180:AY182" si="511">AG180*M180</f>
        <v>0</v>
      </c>
      <c r="AZ180" s="70">
        <f t="shared" ref="AZ180:AZ182" si="512">AH180*N180</f>
        <v>0</v>
      </c>
      <c r="BA180" s="70">
        <f t="shared" ref="BA180:BA182" si="513">AI180*O180</f>
        <v>0</v>
      </c>
      <c r="BB180" s="70"/>
      <c r="BC180" s="70"/>
      <c r="BD180" s="70"/>
      <c r="BE180" s="70"/>
      <c r="BF180" s="70"/>
      <c r="BG180" s="70"/>
      <c r="BH180" s="71">
        <f t="shared" si="493"/>
        <v>0</v>
      </c>
      <c r="BI180" s="70">
        <f>SUM(AQ180*14%)</f>
        <v>0</v>
      </c>
      <c r="BJ180" s="70"/>
      <c r="BK180" s="70">
        <f>SUM(AS180*14%)</f>
        <v>0</v>
      </c>
      <c r="BL180" s="70">
        <f t="shared" si="500"/>
        <v>0</v>
      </c>
      <c r="BM180" s="70">
        <f t="shared" si="500"/>
        <v>0</v>
      </c>
      <c r="BN180" s="70">
        <f t="shared" si="500"/>
        <v>0</v>
      </c>
      <c r="BO180" s="70">
        <f t="shared" si="500"/>
        <v>0</v>
      </c>
      <c r="BP180" s="70">
        <f t="shared" si="500"/>
        <v>0</v>
      </c>
      <c r="BQ180" s="70">
        <f t="shared" si="500"/>
        <v>0</v>
      </c>
      <c r="BR180" s="70">
        <f t="shared" si="500"/>
        <v>0</v>
      </c>
      <c r="BS180" s="1130">
        <f t="shared" si="500"/>
        <v>0</v>
      </c>
      <c r="BT180" s="1130"/>
      <c r="BU180" s="1130"/>
      <c r="BV180" s="1130"/>
      <c r="BW180" s="1130"/>
      <c r="BX180" s="1130"/>
      <c r="BY180" s="1130"/>
      <c r="BZ180" s="72">
        <f>SUM(BI180:BY180)</f>
        <v>0</v>
      </c>
      <c r="CA180" s="686">
        <f t="shared" si="496"/>
        <v>0</v>
      </c>
      <c r="CB180" s="687">
        <f t="shared" si="495"/>
        <v>0</v>
      </c>
      <c r="CC180" s="688">
        <f t="shared" si="497"/>
        <v>0</v>
      </c>
      <c r="CD180" s="630"/>
      <c r="CE180" s="1081"/>
      <c r="CF180" s="1081"/>
      <c r="CG180" s="1083"/>
      <c r="CH180" s="1084"/>
      <c r="CI180" s="862"/>
      <c r="CJ180" s="862"/>
      <c r="CK180" s="862"/>
      <c r="CL180" s="862"/>
      <c r="CM180" s="862"/>
      <c r="CN180" s="862"/>
      <c r="CO180" s="862"/>
      <c r="CP180" s="862"/>
      <c r="CQ180" s="1081">
        <f t="shared" si="462"/>
        <v>0</v>
      </c>
      <c r="CR180" s="862"/>
      <c r="CS180" s="862"/>
      <c r="CT180" s="862"/>
      <c r="CU180" s="73">
        <f t="shared" si="490"/>
        <v>0</v>
      </c>
      <c r="CV180" s="862"/>
      <c r="CW180" s="862"/>
      <c r="CX180" s="862"/>
      <c r="CY180" s="862"/>
      <c r="CZ180" s="862"/>
      <c r="DA180" s="862"/>
      <c r="DB180" s="862"/>
      <c r="DC180" s="862"/>
      <c r="DD180" s="1081"/>
      <c r="DE180" s="862"/>
      <c r="DF180" s="862"/>
      <c r="DG180" s="862"/>
      <c r="DH180" s="73">
        <f t="shared" si="491"/>
        <v>0</v>
      </c>
    </row>
    <row r="181" spans="1:112" s="37" customFormat="1" ht="24.75" customHeight="1" x14ac:dyDescent="0.2">
      <c r="A181" s="28"/>
      <c r="B181" s="141" t="s">
        <v>48</v>
      </c>
      <c r="C181" s="29" t="s">
        <v>54</v>
      </c>
      <c r="D181" s="557"/>
      <c r="E181" s="683"/>
      <c r="F181" s="30"/>
      <c r="G181" s="1172"/>
      <c r="H181" s="1136"/>
      <c r="I181" s="1136"/>
      <c r="J181" s="30"/>
      <c r="K181" s="30"/>
      <c r="L181" s="30"/>
      <c r="M181" s="30"/>
      <c r="N181" s="1127"/>
      <c r="O181" s="30"/>
      <c r="P181" s="30"/>
      <c r="Q181" s="30"/>
      <c r="R181" s="30"/>
      <c r="S181" s="30"/>
      <c r="T181" s="30"/>
      <c r="U181" s="30"/>
      <c r="V181" s="31">
        <f t="shared" si="501"/>
        <v>0</v>
      </c>
      <c r="W181" s="744" t="s">
        <v>118</v>
      </c>
      <c r="X181" s="751"/>
      <c r="Y181" s="691"/>
      <c r="Z181" s="685"/>
      <c r="AA181" s="1226"/>
      <c r="AB181" s="1220"/>
      <c r="AC181" s="685"/>
      <c r="AD181" s="685"/>
      <c r="AE181" s="685"/>
      <c r="AF181" s="685"/>
      <c r="AG181" s="685"/>
      <c r="AH181" s="685"/>
      <c r="AI181" s="1164"/>
      <c r="AJ181" s="1164"/>
      <c r="AK181" s="1164"/>
      <c r="AL181" s="1164"/>
      <c r="AM181" s="1164"/>
      <c r="AN181" s="1164"/>
      <c r="AO181" s="685"/>
      <c r="AP181" s="1304">
        <f t="shared" si="502"/>
        <v>0</v>
      </c>
      <c r="AQ181" s="70">
        <f t="shared" si="503"/>
        <v>0</v>
      </c>
      <c r="AR181" s="70">
        <f t="shared" si="504"/>
        <v>0</v>
      </c>
      <c r="AS181" s="1128">
        <f t="shared" si="505"/>
        <v>0</v>
      </c>
      <c r="AT181" s="1128">
        <f t="shared" si="506"/>
        <v>0</v>
      </c>
      <c r="AU181" s="70">
        <f t="shared" si="507"/>
        <v>0</v>
      </c>
      <c r="AV181" s="70">
        <f t="shared" si="508"/>
        <v>0</v>
      </c>
      <c r="AW181" s="70">
        <f t="shared" si="509"/>
        <v>0</v>
      </c>
      <c r="AX181" s="70">
        <f t="shared" si="510"/>
        <v>0</v>
      </c>
      <c r="AY181" s="70">
        <f t="shared" si="511"/>
        <v>0</v>
      </c>
      <c r="AZ181" s="70">
        <f t="shared" si="512"/>
        <v>0</v>
      </c>
      <c r="BA181" s="70">
        <f t="shared" si="513"/>
        <v>0</v>
      </c>
      <c r="BB181" s="70"/>
      <c r="BC181" s="70"/>
      <c r="BD181" s="70"/>
      <c r="BE181" s="70"/>
      <c r="BF181" s="70"/>
      <c r="BG181" s="70"/>
      <c r="BH181" s="71">
        <f t="shared" si="493"/>
        <v>0</v>
      </c>
      <c r="BI181" s="70">
        <f>SUM(AQ181*14%)</f>
        <v>0</v>
      </c>
      <c r="BJ181" s="70"/>
      <c r="BK181" s="70">
        <f>SUM(AS181*14%)</f>
        <v>0</v>
      </c>
      <c r="BL181" s="70">
        <f t="shared" si="500"/>
        <v>0</v>
      </c>
      <c r="BM181" s="70">
        <f t="shared" si="500"/>
        <v>0</v>
      </c>
      <c r="BN181" s="70">
        <f t="shared" si="500"/>
        <v>0</v>
      </c>
      <c r="BO181" s="70">
        <f t="shared" si="500"/>
        <v>0</v>
      </c>
      <c r="BP181" s="70">
        <f t="shared" si="500"/>
        <v>0</v>
      </c>
      <c r="BQ181" s="70">
        <f t="shared" si="500"/>
        <v>0</v>
      </c>
      <c r="BR181" s="70">
        <f t="shared" si="500"/>
        <v>0</v>
      </c>
      <c r="BS181" s="1130">
        <f t="shared" si="500"/>
        <v>0</v>
      </c>
      <c r="BT181" s="1130"/>
      <c r="BU181" s="1130"/>
      <c r="BV181" s="1130"/>
      <c r="BW181" s="1130"/>
      <c r="BX181" s="1130"/>
      <c r="BY181" s="1130"/>
      <c r="BZ181" s="72">
        <f>SUM(BI181:BY181)</f>
        <v>0</v>
      </c>
      <c r="CA181" s="686">
        <f t="shared" si="496"/>
        <v>0</v>
      </c>
      <c r="CB181" s="687">
        <f t="shared" si="495"/>
        <v>0</v>
      </c>
      <c r="CC181" s="688">
        <f t="shared" si="497"/>
        <v>0</v>
      </c>
      <c r="CD181" s="630"/>
      <c r="CE181" s="1081"/>
      <c r="CF181" s="1081"/>
      <c r="CG181" s="1083"/>
      <c r="CH181" s="1084"/>
      <c r="CI181" s="862"/>
      <c r="CJ181" s="862"/>
      <c r="CK181" s="862"/>
      <c r="CL181" s="862"/>
      <c r="CM181" s="862"/>
      <c r="CN181" s="862"/>
      <c r="CO181" s="862"/>
      <c r="CP181" s="862"/>
      <c r="CQ181" s="1081">
        <f t="shared" si="462"/>
        <v>0</v>
      </c>
      <c r="CR181" s="862"/>
      <c r="CS181" s="862"/>
      <c r="CT181" s="862"/>
      <c r="CU181" s="73">
        <f t="shared" si="490"/>
        <v>0</v>
      </c>
      <c r="CV181" s="862"/>
      <c r="CW181" s="862"/>
      <c r="CX181" s="862"/>
      <c r="CY181" s="862"/>
      <c r="CZ181" s="862"/>
      <c r="DA181" s="862"/>
      <c r="DB181" s="862"/>
      <c r="DC181" s="862"/>
      <c r="DD181" s="1081"/>
      <c r="DE181" s="862"/>
      <c r="DF181" s="862"/>
      <c r="DG181" s="862"/>
      <c r="DH181" s="73">
        <f t="shared" si="491"/>
        <v>0</v>
      </c>
    </row>
    <row r="182" spans="1:112" s="37" customFormat="1" ht="24.75" customHeight="1" x14ac:dyDescent="0.2">
      <c r="A182" s="28"/>
      <c r="B182" s="141" t="s">
        <v>430</v>
      </c>
      <c r="C182" s="29" t="s">
        <v>54</v>
      </c>
      <c r="D182" s="557"/>
      <c r="E182" s="683"/>
      <c r="F182" s="30"/>
      <c r="G182" s="1172"/>
      <c r="H182" s="1136"/>
      <c r="I182" s="1136"/>
      <c r="J182" s="30"/>
      <c r="K182" s="30"/>
      <c r="L182" s="30"/>
      <c r="M182" s="30"/>
      <c r="N182" s="1127"/>
      <c r="O182" s="30"/>
      <c r="P182" s="30"/>
      <c r="Q182" s="30"/>
      <c r="R182" s="30"/>
      <c r="S182" s="30"/>
      <c r="T182" s="30"/>
      <c r="U182" s="30"/>
      <c r="V182" s="31">
        <f t="shared" si="501"/>
        <v>0</v>
      </c>
      <c r="W182" s="744" t="s">
        <v>119</v>
      </c>
      <c r="X182" s="751"/>
      <c r="Y182" s="691"/>
      <c r="Z182" s="685"/>
      <c r="AA182" s="1226"/>
      <c r="AB182" s="1220"/>
      <c r="AC182" s="685"/>
      <c r="AD182" s="685"/>
      <c r="AE182" s="685"/>
      <c r="AF182" s="685"/>
      <c r="AG182" s="685"/>
      <c r="AH182" s="685"/>
      <c r="AI182" s="1164"/>
      <c r="AJ182" s="1164"/>
      <c r="AK182" s="1164"/>
      <c r="AL182" s="1164"/>
      <c r="AM182" s="1164"/>
      <c r="AN182" s="1164"/>
      <c r="AO182" s="685"/>
      <c r="AP182" s="1304">
        <f t="shared" si="502"/>
        <v>0</v>
      </c>
      <c r="AQ182" s="70">
        <f t="shared" si="503"/>
        <v>0</v>
      </c>
      <c r="AR182" s="70">
        <f t="shared" si="504"/>
        <v>0</v>
      </c>
      <c r="AS182" s="1128">
        <f t="shared" si="505"/>
        <v>0</v>
      </c>
      <c r="AT182" s="1128">
        <f t="shared" si="506"/>
        <v>0</v>
      </c>
      <c r="AU182" s="70">
        <f t="shared" si="507"/>
        <v>0</v>
      </c>
      <c r="AV182" s="70">
        <f t="shared" si="508"/>
        <v>0</v>
      </c>
      <c r="AW182" s="70">
        <f t="shared" si="509"/>
        <v>0</v>
      </c>
      <c r="AX182" s="70">
        <f t="shared" si="510"/>
        <v>0</v>
      </c>
      <c r="AY182" s="70">
        <f t="shared" si="511"/>
        <v>0</v>
      </c>
      <c r="AZ182" s="70">
        <f t="shared" si="512"/>
        <v>0</v>
      </c>
      <c r="BA182" s="70">
        <f t="shared" si="513"/>
        <v>0</v>
      </c>
      <c r="BB182" s="70"/>
      <c r="BC182" s="70"/>
      <c r="BD182" s="70"/>
      <c r="BE182" s="70"/>
      <c r="BF182" s="70"/>
      <c r="BG182" s="70"/>
      <c r="BH182" s="71">
        <f t="shared" si="493"/>
        <v>0</v>
      </c>
      <c r="BI182" s="70">
        <f>SUM(AQ182*14%)</f>
        <v>0</v>
      </c>
      <c r="BJ182" s="70"/>
      <c r="BK182" s="70">
        <f>SUM(AS182*14%)</f>
        <v>0</v>
      </c>
      <c r="BL182" s="70">
        <f t="shared" si="500"/>
        <v>0</v>
      </c>
      <c r="BM182" s="70">
        <f t="shared" si="500"/>
        <v>0</v>
      </c>
      <c r="BN182" s="70">
        <f t="shared" si="500"/>
        <v>0</v>
      </c>
      <c r="BO182" s="70">
        <f t="shared" si="500"/>
        <v>0</v>
      </c>
      <c r="BP182" s="70">
        <f t="shared" si="500"/>
        <v>0</v>
      </c>
      <c r="BQ182" s="70">
        <f t="shared" si="500"/>
        <v>0</v>
      </c>
      <c r="BR182" s="70">
        <f t="shared" si="500"/>
        <v>0</v>
      </c>
      <c r="BS182" s="1130">
        <f t="shared" si="500"/>
        <v>0</v>
      </c>
      <c r="BT182" s="1130"/>
      <c r="BU182" s="1130"/>
      <c r="BV182" s="1130"/>
      <c r="BW182" s="1130"/>
      <c r="BX182" s="1130"/>
      <c r="BY182" s="1130"/>
      <c r="BZ182" s="72">
        <f>SUM(BI182:BY182)</f>
        <v>0</v>
      </c>
      <c r="CA182" s="686">
        <f t="shared" si="496"/>
        <v>0</v>
      </c>
      <c r="CB182" s="687">
        <f t="shared" si="495"/>
        <v>0</v>
      </c>
      <c r="CC182" s="688">
        <f t="shared" si="497"/>
        <v>0</v>
      </c>
      <c r="CD182" s="630"/>
      <c r="CE182" s="1081"/>
      <c r="CF182" s="1081"/>
      <c r="CG182" s="1083"/>
      <c r="CH182" s="1084"/>
      <c r="CI182" s="862"/>
      <c r="CJ182" s="862"/>
      <c r="CK182" s="862"/>
      <c r="CL182" s="862"/>
      <c r="CM182" s="862"/>
      <c r="CN182" s="862"/>
      <c r="CO182" s="862"/>
      <c r="CP182" s="862"/>
      <c r="CQ182" s="1081">
        <f t="shared" si="462"/>
        <v>0</v>
      </c>
      <c r="CR182" s="862"/>
      <c r="CS182" s="862"/>
      <c r="CT182" s="862"/>
      <c r="CU182" s="73">
        <f t="shared" si="490"/>
        <v>0</v>
      </c>
      <c r="CV182" s="862"/>
      <c r="CW182" s="862"/>
      <c r="CX182" s="862"/>
      <c r="CY182" s="862"/>
      <c r="CZ182" s="862"/>
      <c r="DA182" s="862"/>
      <c r="DB182" s="862"/>
      <c r="DC182" s="862"/>
      <c r="DD182" s="1081"/>
      <c r="DE182" s="862"/>
      <c r="DF182" s="862"/>
      <c r="DG182" s="862"/>
      <c r="DH182" s="73">
        <f t="shared" si="491"/>
        <v>0</v>
      </c>
    </row>
    <row r="183" spans="1:112" s="37" customFormat="1" ht="24.75" customHeight="1" x14ac:dyDescent="0.2">
      <c r="A183" s="28"/>
      <c r="B183" s="755" t="s">
        <v>521</v>
      </c>
      <c r="C183" s="29"/>
      <c r="D183" s="749"/>
      <c r="E183" s="683"/>
      <c r="F183" s="30"/>
      <c r="G183" s="1174"/>
      <c r="H183" s="1136"/>
      <c r="I183" s="1136"/>
      <c r="J183" s="30"/>
      <c r="K183" s="30"/>
      <c r="L183" s="30"/>
      <c r="M183" s="30"/>
      <c r="N183" s="1127"/>
      <c r="O183" s="30"/>
      <c r="P183" s="30"/>
      <c r="Q183" s="30"/>
      <c r="R183" s="30"/>
      <c r="S183" s="30"/>
      <c r="T183" s="30"/>
      <c r="U183" s="30"/>
      <c r="V183" s="31"/>
      <c r="W183" s="690"/>
      <c r="X183" s="750"/>
      <c r="Y183" s="691"/>
      <c r="Z183" s="685"/>
      <c r="AA183" s="1229"/>
      <c r="AB183" s="1220"/>
      <c r="AC183" s="685"/>
      <c r="AD183" s="685"/>
      <c r="AE183" s="685"/>
      <c r="AF183" s="685"/>
      <c r="AG183" s="685"/>
      <c r="AH183" s="685"/>
      <c r="AI183" s="1164"/>
      <c r="AJ183" s="1164"/>
      <c r="AK183" s="1164"/>
      <c r="AL183" s="1164"/>
      <c r="AM183" s="1164"/>
      <c r="AN183" s="1164"/>
      <c r="AO183" s="685"/>
      <c r="AP183" s="1306">
        <f>SUM(X183*E183)</f>
        <v>0</v>
      </c>
      <c r="AQ183" s="692">
        <f t="shared" si="485"/>
        <v>0</v>
      </c>
      <c r="AR183" s="692">
        <f t="shared" si="486"/>
        <v>0</v>
      </c>
      <c r="AS183" s="1230">
        <f t="shared" si="487"/>
        <v>0</v>
      </c>
      <c r="AT183" s="1230">
        <f t="shared" ref="AT183:BA185" si="514">AB183*H183</f>
        <v>0</v>
      </c>
      <c r="AU183" s="692">
        <f t="shared" si="514"/>
        <v>0</v>
      </c>
      <c r="AV183" s="692">
        <f t="shared" si="514"/>
        <v>0</v>
      </c>
      <c r="AW183" s="692">
        <f t="shared" si="514"/>
        <v>0</v>
      </c>
      <c r="AX183" s="692">
        <f t="shared" si="514"/>
        <v>0</v>
      </c>
      <c r="AY183" s="692">
        <f t="shared" si="514"/>
        <v>0</v>
      </c>
      <c r="AZ183" s="692">
        <f t="shared" si="514"/>
        <v>0</v>
      </c>
      <c r="BA183" s="692">
        <f t="shared" si="514"/>
        <v>0</v>
      </c>
      <c r="BB183" s="692"/>
      <c r="BC183" s="692"/>
      <c r="BD183" s="692"/>
      <c r="BE183" s="692"/>
      <c r="BF183" s="692"/>
      <c r="BG183" s="692"/>
      <c r="BH183" s="693">
        <f t="shared" si="493"/>
        <v>0</v>
      </c>
      <c r="BI183" s="692">
        <f t="shared" ref="BI183:BS183" si="515">AQ183*W183</f>
        <v>0</v>
      </c>
      <c r="BJ183" s="692">
        <f t="shared" si="515"/>
        <v>0</v>
      </c>
      <c r="BK183" s="692">
        <f t="shared" si="515"/>
        <v>0</v>
      </c>
      <c r="BL183" s="692">
        <f t="shared" si="515"/>
        <v>0</v>
      </c>
      <c r="BM183" s="692">
        <f t="shared" si="515"/>
        <v>0</v>
      </c>
      <c r="BN183" s="692">
        <f t="shared" si="515"/>
        <v>0</v>
      </c>
      <c r="BO183" s="692">
        <f t="shared" si="515"/>
        <v>0</v>
      </c>
      <c r="BP183" s="692">
        <f t="shared" si="515"/>
        <v>0</v>
      </c>
      <c r="BQ183" s="692">
        <f t="shared" si="515"/>
        <v>0</v>
      </c>
      <c r="BR183" s="692">
        <f t="shared" si="515"/>
        <v>0</v>
      </c>
      <c r="BS183" s="1272">
        <f t="shared" si="515"/>
        <v>0</v>
      </c>
      <c r="BT183" s="1272"/>
      <c r="BU183" s="1272"/>
      <c r="BV183" s="1272"/>
      <c r="BW183" s="1272"/>
      <c r="BX183" s="1272"/>
      <c r="BY183" s="1272"/>
      <c r="BZ183" s="694">
        <f>BH183*4%</f>
        <v>0</v>
      </c>
      <c r="CA183" s="686">
        <f t="shared" si="496"/>
        <v>0</v>
      </c>
      <c r="CB183" s="687">
        <f t="shared" si="495"/>
        <v>0</v>
      </c>
      <c r="CC183" s="688">
        <f t="shared" si="497"/>
        <v>0</v>
      </c>
      <c r="CD183" s="630"/>
      <c r="CE183" s="1081"/>
      <c r="CF183" s="1081"/>
      <c r="CG183" s="1083"/>
      <c r="CH183" s="1084"/>
      <c r="CI183" s="862"/>
      <c r="CJ183" s="862"/>
      <c r="CK183" s="862"/>
      <c r="CL183" s="862"/>
      <c r="CM183" s="862"/>
      <c r="CN183" s="862"/>
      <c r="CO183" s="862"/>
      <c r="CP183" s="862"/>
      <c r="CQ183" s="1081">
        <f t="shared" si="462"/>
        <v>0</v>
      </c>
      <c r="CR183" s="862"/>
      <c r="CS183" s="862"/>
      <c r="CT183" s="862"/>
      <c r="CU183" s="73">
        <f t="shared" si="490"/>
        <v>0</v>
      </c>
      <c r="CV183" s="862"/>
      <c r="CW183" s="862"/>
      <c r="CX183" s="862"/>
      <c r="CY183" s="862"/>
      <c r="CZ183" s="862"/>
      <c r="DA183" s="862"/>
      <c r="DB183" s="862"/>
      <c r="DC183" s="862"/>
      <c r="DD183" s="1081"/>
      <c r="DE183" s="862"/>
      <c r="DF183" s="862"/>
      <c r="DG183" s="862"/>
      <c r="DH183" s="73">
        <f t="shared" si="491"/>
        <v>0</v>
      </c>
    </row>
    <row r="184" spans="1:112" s="37" customFormat="1" ht="24.75" customHeight="1" x14ac:dyDescent="0.2">
      <c r="A184" s="28"/>
      <c r="B184" s="756" t="s">
        <v>522</v>
      </c>
      <c r="C184" s="29" t="s">
        <v>54</v>
      </c>
      <c r="D184" s="557"/>
      <c r="E184" s="683"/>
      <c r="F184" s="30"/>
      <c r="G184" s="1172"/>
      <c r="H184" s="1136"/>
      <c r="I184" s="1136"/>
      <c r="J184" s="30"/>
      <c r="K184" s="30"/>
      <c r="L184" s="30"/>
      <c r="M184" s="30"/>
      <c r="N184" s="1127"/>
      <c r="O184" s="30"/>
      <c r="P184" s="30"/>
      <c r="Q184" s="30"/>
      <c r="R184" s="30"/>
      <c r="S184" s="30"/>
      <c r="T184" s="30"/>
      <c r="U184" s="30"/>
      <c r="V184" s="31">
        <f>SUM(E184:U184)</f>
        <v>0</v>
      </c>
      <c r="W184" s="744" t="s">
        <v>2</v>
      </c>
      <c r="X184" s="757"/>
      <c r="Y184" s="691"/>
      <c r="Z184" s="685"/>
      <c r="AA184" s="1226"/>
      <c r="AB184" s="1220"/>
      <c r="AC184" s="685"/>
      <c r="AD184" s="685"/>
      <c r="AE184" s="685"/>
      <c r="AF184" s="685"/>
      <c r="AG184" s="685"/>
      <c r="AH184" s="685"/>
      <c r="AI184" s="1164"/>
      <c r="AJ184" s="1164"/>
      <c r="AK184" s="1164"/>
      <c r="AL184" s="1164"/>
      <c r="AM184" s="1164"/>
      <c r="AN184" s="1164"/>
      <c r="AO184" s="685"/>
      <c r="AP184" s="1304">
        <f t="shared" ref="AP184:AP185" si="516">SUM(V184*X184)</f>
        <v>0</v>
      </c>
      <c r="AQ184" s="70">
        <f t="shared" si="485"/>
        <v>0</v>
      </c>
      <c r="AR184" s="70">
        <f t="shared" si="486"/>
        <v>0</v>
      </c>
      <c r="AS184" s="1128">
        <f t="shared" si="487"/>
        <v>0</v>
      </c>
      <c r="AT184" s="1128">
        <f t="shared" si="514"/>
        <v>0</v>
      </c>
      <c r="AU184" s="70">
        <f t="shared" si="514"/>
        <v>0</v>
      </c>
      <c r="AV184" s="70">
        <f t="shared" si="514"/>
        <v>0</v>
      </c>
      <c r="AW184" s="70">
        <f t="shared" si="514"/>
        <v>0</v>
      </c>
      <c r="AX184" s="70">
        <f t="shared" si="514"/>
        <v>0</v>
      </c>
      <c r="AY184" s="70">
        <f t="shared" si="514"/>
        <v>0</v>
      </c>
      <c r="AZ184" s="70">
        <f t="shared" si="514"/>
        <v>0</v>
      </c>
      <c r="BA184" s="70">
        <f t="shared" si="514"/>
        <v>0</v>
      </c>
      <c r="BB184" s="70"/>
      <c r="BC184" s="70"/>
      <c r="BD184" s="70"/>
      <c r="BE184" s="70"/>
      <c r="BF184" s="70"/>
      <c r="BG184" s="70"/>
      <c r="BH184" s="71">
        <f t="shared" si="493"/>
        <v>0</v>
      </c>
      <c r="BI184" s="70">
        <f>SUM(AQ184*14%)</f>
        <v>0</v>
      </c>
      <c r="BJ184" s="70">
        <f>SUM(AR184*14%)</f>
        <v>0</v>
      </c>
      <c r="BK184" s="70"/>
      <c r="BL184" s="70">
        <f t="shared" ref="BL184:BS185" si="517">SUM(AT184*14%)</f>
        <v>0</v>
      </c>
      <c r="BM184" s="70">
        <f t="shared" si="517"/>
        <v>0</v>
      </c>
      <c r="BN184" s="70">
        <f t="shared" si="517"/>
        <v>0</v>
      </c>
      <c r="BO184" s="70">
        <f t="shared" si="517"/>
        <v>0</v>
      </c>
      <c r="BP184" s="70">
        <f t="shared" si="517"/>
        <v>0</v>
      </c>
      <c r="BQ184" s="70">
        <f t="shared" si="517"/>
        <v>0</v>
      </c>
      <c r="BR184" s="70">
        <f t="shared" si="517"/>
        <v>0</v>
      </c>
      <c r="BS184" s="1130">
        <f t="shared" si="517"/>
        <v>0</v>
      </c>
      <c r="BT184" s="1130"/>
      <c r="BU184" s="1130"/>
      <c r="BV184" s="1130"/>
      <c r="BW184" s="1130"/>
      <c r="BX184" s="1130"/>
      <c r="BY184" s="1130"/>
      <c r="BZ184" s="72">
        <f>SUM(BI184:BY184)</f>
        <v>0</v>
      </c>
      <c r="CA184" s="686">
        <f t="shared" si="496"/>
        <v>0</v>
      </c>
      <c r="CB184" s="687">
        <f t="shared" si="495"/>
        <v>0</v>
      </c>
      <c r="CC184" s="688">
        <f t="shared" si="497"/>
        <v>0</v>
      </c>
      <c r="CD184" s="630"/>
      <c r="CE184" s="1081"/>
      <c r="CF184" s="1081"/>
      <c r="CG184" s="1083"/>
      <c r="CH184" s="1084"/>
      <c r="CI184" s="862"/>
      <c r="CJ184" s="862"/>
      <c r="CK184" s="862"/>
      <c r="CL184" s="862"/>
      <c r="CM184" s="862"/>
      <c r="CN184" s="862"/>
      <c r="CO184" s="862"/>
      <c r="CP184" s="862"/>
      <c r="CQ184" s="1081">
        <f t="shared" si="462"/>
        <v>0</v>
      </c>
      <c r="CR184" s="862"/>
      <c r="CS184" s="862"/>
      <c r="CT184" s="862"/>
      <c r="CU184" s="73">
        <f t="shared" si="490"/>
        <v>0</v>
      </c>
      <c r="CV184" s="862"/>
      <c r="CW184" s="862"/>
      <c r="CX184" s="862"/>
      <c r="CY184" s="862"/>
      <c r="CZ184" s="862"/>
      <c r="DA184" s="862"/>
      <c r="DB184" s="862"/>
      <c r="DC184" s="862"/>
      <c r="DD184" s="1081"/>
      <c r="DE184" s="862"/>
      <c r="DF184" s="862"/>
      <c r="DG184" s="862"/>
      <c r="DH184" s="73">
        <f t="shared" si="491"/>
        <v>0</v>
      </c>
    </row>
    <row r="185" spans="1:112" s="37" customFormat="1" ht="24.75" customHeight="1" x14ac:dyDescent="0.2">
      <c r="A185" s="28"/>
      <c r="B185" s="756" t="s">
        <v>501</v>
      </c>
      <c r="C185" s="29" t="s">
        <v>54</v>
      </c>
      <c r="D185" s="557"/>
      <c r="E185" s="683"/>
      <c r="F185" s="30"/>
      <c r="G185" s="1172"/>
      <c r="H185" s="1136"/>
      <c r="I185" s="1136"/>
      <c r="J185" s="30"/>
      <c r="K185" s="30"/>
      <c r="L185" s="30"/>
      <c r="M185" s="30"/>
      <c r="N185" s="1127"/>
      <c r="O185" s="30"/>
      <c r="P185" s="30"/>
      <c r="Q185" s="30"/>
      <c r="R185" s="30"/>
      <c r="S185" s="30"/>
      <c r="T185" s="30"/>
      <c r="U185" s="30"/>
      <c r="V185" s="31">
        <f>SUM(E185:U185)</f>
        <v>0</v>
      </c>
      <c r="W185" s="744" t="s">
        <v>406</v>
      </c>
      <c r="X185" s="751"/>
      <c r="Y185" s="718"/>
      <c r="Z185" s="685"/>
      <c r="AA185" s="1226"/>
      <c r="AB185" s="1220"/>
      <c r="AC185" s="685"/>
      <c r="AD185" s="685"/>
      <c r="AE185" s="685"/>
      <c r="AF185" s="685"/>
      <c r="AG185" s="685"/>
      <c r="AH185" s="685"/>
      <c r="AI185" s="1164"/>
      <c r="AJ185" s="1164"/>
      <c r="AK185" s="1164"/>
      <c r="AL185" s="1164"/>
      <c r="AM185" s="1164"/>
      <c r="AN185" s="1164"/>
      <c r="AO185" s="685"/>
      <c r="AP185" s="1304">
        <f t="shared" si="516"/>
        <v>0</v>
      </c>
      <c r="AQ185" s="70">
        <f t="shared" si="485"/>
        <v>0</v>
      </c>
      <c r="AR185" s="70">
        <f t="shared" si="486"/>
        <v>0</v>
      </c>
      <c r="AS185" s="1128">
        <f t="shared" si="487"/>
        <v>0</v>
      </c>
      <c r="AT185" s="1128">
        <f t="shared" si="514"/>
        <v>0</v>
      </c>
      <c r="AU185" s="70">
        <f t="shared" si="514"/>
        <v>0</v>
      </c>
      <c r="AV185" s="70">
        <f t="shared" si="514"/>
        <v>0</v>
      </c>
      <c r="AW185" s="70">
        <f t="shared" si="514"/>
        <v>0</v>
      </c>
      <c r="AX185" s="70">
        <f t="shared" si="514"/>
        <v>0</v>
      </c>
      <c r="AY185" s="70">
        <f t="shared" si="514"/>
        <v>0</v>
      </c>
      <c r="AZ185" s="70">
        <f t="shared" si="514"/>
        <v>0</v>
      </c>
      <c r="BA185" s="70">
        <f t="shared" si="514"/>
        <v>0</v>
      </c>
      <c r="BB185" s="70"/>
      <c r="BC185" s="70"/>
      <c r="BD185" s="70"/>
      <c r="BE185" s="70"/>
      <c r="BF185" s="70"/>
      <c r="BG185" s="70"/>
      <c r="BH185" s="71">
        <f t="shared" si="493"/>
        <v>0</v>
      </c>
      <c r="BI185" s="70">
        <f>SUM(AQ185*14%)</f>
        <v>0</v>
      </c>
      <c r="BJ185" s="70"/>
      <c r="BK185" s="70">
        <f>SUM(AS185*14%)</f>
        <v>0</v>
      </c>
      <c r="BL185" s="70">
        <f t="shared" si="517"/>
        <v>0</v>
      </c>
      <c r="BM185" s="70">
        <f t="shared" si="517"/>
        <v>0</v>
      </c>
      <c r="BN185" s="70">
        <f t="shared" si="517"/>
        <v>0</v>
      </c>
      <c r="BO185" s="70">
        <f t="shared" si="517"/>
        <v>0</v>
      </c>
      <c r="BP185" s="70">
        <f t="shared" si="517"/>
        <v>0</v>
      </c>
      <c r="BQ185" s="70">
        <f t="shared" si="517"/>
        <v>0</v>
      </c>
      <c r="BR185" s="70">
        <f t="shared" si="517"/>
        <v>0</v>
      </c>
      <c r="BS185" s="1130">
        <f t="shared" si="517"/>
        <v>0</v>
      </c>
      <c r="BT185" s="1130"/>
      <c r="BU185" s="1130"/>
      <c r="BV185" s="1130"/>
      <c r="BW185" s="1130"/>
      <c r="BX185" s="1130"/>
      <c r="BY185" s="1130"/>
      <c r="BZ185" s="72">
        <f>SUM(BI185:BY185)</f>
        <v>0</v>
      </c>
      <c r="CA185" s="686">
        <f t="shared" si="496"/>
        <v>0</v>
      </c>
      <c r="CB185" s="687">
        <f t="shared" si="495"/>
        <v>0</v>
      </c>
      <c r="CC185" s="688">
        <f t="shared" si="497"/>
        <v>0</v>
      </c>
      <c r="CD185" s="630"/>
      <c r="CE185" s="1081"/>
      <c r="CF185" s="1081"/>
      <c r="CG185" s="1083"/>
      <c r="CH185" s="1084"/>
      <c r="CI185" s="862"/>
      <c r="CJ185" s="862"/>
      <c r="CK185" s="862"/>
      <c r="CL185" s="862"/>
      <c r="CM185" s="862"/>
      <c r="CN185" s="862"/>
      <c r="CO185" s="862"/>
      <c r="CP185" s="862"/>
      <c r="CQ185" s="1081">
        <f t="shared" si="462"/>
        <v>0</v>
      </c>
      <c r="CR185" s="862"/>
      <c r="CS185" s="862"/>
      <c r="CT185" s="862"/>
      <c r="CU185" s="73">
        <f t="shared" si="490"/>
        <v>0</v>
      </c>
      <c r="CV185" s="862"/>
      <c r="CW185" s="862"/>
      <c r="CX185" s="862"/>
      <c r="CY185" s="862"/>
      <c r="CZ185" s="862"/>
      <c r="DA185" s="862"/>
      <c r="DB185" s="862"/>
      <c r="DC185" s="862"/>
      <c r="DD185" s="1081"/>
      <c r="DE185" s="862"/>
      <c r="DF185" s="862"/>
      <c r="DG185" s="862"/>
      <c r="DH185" s="73">
        <f t="shared" si="491"/>
        <v>0</v>
      </c>
    </row>
    <row r="186" spans="1:112" s="37" customFormat="1" ht="24.75" customHeight="1" x14ac:dyDescent="0.2">
      <c r="A186" s="28"/>
      <c r="B186" s="755" t="s">
        <v>523</v>
      </c>
      <c r="C186" s="29"/>
      <c r="D186" s="749"/>
      <c r="E186" s="683"/>
      <c r="F186" s="30"/>
      <c r="G186" s="1174"/>
      <c r="H186" s="1136"/>
      <c r="I186" s="1136"/>
      <c r="J186" s="30"/>
      <c r="K186" s="30"/>
      <c r="L186" s="30"/>
      <c r="M186" s="30"/>
      <c r="N186" s="1127"/>
      <c r="O186" s="30"/>
      <c r="P186" s="30"/>
      <c r="Q186" s="30"/>
      <c r="R186" s="30"/>
      <c r="S186" s="30"/>
      <c r="T186" s="30"/>
      <c r="U186" s="30"/>
      <c r="V186" s="31"/>
      <c r="W186" s="690"/>
      <c r="X186" s="750"/>
      <c r="Y186" s="691"/>
      <c r="Z186" s="685"/>
      <c r="AA186" s="1229"/>
      <c r="AB186" s="1220"/>
      <c r="AC186" s="685"/>
      <c r="AD186" s="685"/>
      <c r="AE186" s="685"/>
      <c r="AF186" s="685"/>
      <c r="AG186" s="685"/>
      <c r="AH186" s="685"/>
      <c r="AI186" s="1164"/>
      <c r="AJ186" s="1164"/>
      <c r="AK186" s="1164"/>
      <c r="AL186" s="1164"/>
      <c r="AM186" s="1164"/>
      <c r="AN186" s="1164"/>
      <c r="AO186" s="685"/>
      <c r="AP186" s="1306">
        <f>SUM(X186*E186)</f>
        <v>0</v>
      </c>
      <c r="AQ186" s="692">
        <f t="shared" ref="AQ186:AQ188" si="518">Y186*E186</f>
        <v>0</v>
      </c>
      <c r="AR186" s="692">
        <f t="shared" ref="AR186:AR188" si="519">Z186*F186</f>
        <v>0</v>
      </c>
      <c r="AS186" s="1230">
        <f t="shared" ref="AS186:AS188" si="520">AA186*G186</f>
        <v>0</v>
      </c>
      <c r="AT186" s="1230">
        <f t="shared" ref="AT186:AT188" si="521">AB186*H186</f>
        <v>0</v>
      </c>
      <c r="AU186" s="692">
        <f t="shared" ref="AU186:AU188" si="522">AC186*I186</f>
        <v>0</v>
      </c>
      <c r="AV186" s="692">
        <f t="shared" ref="AV186:AV188" si="523">AD186*J186</f>
        <v>0</v>
      </c>
      <c r="AW186" s="692">
        <f t="shared" ref="AW186:AW188" si="524">AE186*K186</f>
        <v>0</v>
      </c>
      <c r="AX186" s="692">
        <f t="shared" ref="AX186:AX188" si="525">AF186*L186</f>
        <v>0</v>
      </c>
      <c r="AY186" s="692">
        <f t="shared" ref="AY186:AY188" si="526">AG186*M186</f>
        <v>0</v>
      </c>
      <c r="AZ186" s="692">
        <f t="shared" ref="AZ186:AZ188" si="527">AH186*N186</f>
        <v>0</v>
      </c>
      <c r="BA186" s="692">
        <f t="shared" ref="BA186:BA188" si="528">AI186*O186</f>
        <v>0</v>
      </c>
      <c r="BB186" s="692"/>
      <c r="BC186" s="692"/>
      <c r="BD186" s="692"/>
      <c r="BE186" s="692"/>
      <c r="BF186" s="692"/>
      <c r="BG186" s="692"/>
      <c r="BH186" s="693">
        <f t="shared" si="493"/>
        <v>0</v>
      </c>
      <c r="BI186" s="692">
        <f t="shared" ref="BI186:BS186" si="529">AQ186*W186</f>
        <v>0</v>
      </c>
      <c r="BJ186" s="692">
        <f t="shared" si="529"/>
        <v>0</v>
      </c>
      <c r="BK186" s="692">
        <f t="shared" si="529"/>
        <v>0</v>
      </c>
      <c r="BL186" s="692">
        <f t="shared" si="529"/>
        <v>0</v>
      </c>
      <c r="BM186" s="692">
        <f t="shared" si="529"/>
        <v>0</v>
      </c>
      <c r="BN186" s="692">
        <f t="shared" si="529"/>
        <v>0</v>
      </c>
      <c r="BO186" s="692">
        <f t="shared" si="529"/>
        <v>0</v>
      </c>
      <c r="BP186" s="692">
        <f t="shared" si="529"/>
        <v>0</v>
      </c>
      <c r="BQ186" s="692">
        <f t="shared" si="529"/>
        <v>0</v>
      </c>
      <c r="BR186" s="692">
        <f t="shared" si="529"/>
        <v>0</v>
      </c>
      <c r="BS186" s="1272">
        <f t="shared" si="529"/>
        <v>0</v>
      </c>
      <c r="BT186" s="1272"/>
      <c r="BU186" s="1272"/>
      <c r="BV186" s="1272"/>
      <c r="BW186" s="1272"/>
      <c r="BX186" s="1272"/>
      <c r="BY186" s="1272"/>
      <c r="BZ186" s="694">
        <f>BH186*4%</f>
        <v>0</v>
      </c>
      <c r="CA186" s="686">
        <f t="shared" si="496"/>
        <v>0</v>
      </c>
      <c r="CB186" s="687">
        <f t="shared" si="495"/>
        <v>0</v>
      </c>
      <c r="CC186" s="688">
        <f t="shared" si="497"/>
        <v>0</v>
      </c>
      <c r="CD186" s="630"/>
      <c r="CE186" s="1081"/>
      <c r="CF186" s="1081"/>
      <c r="CG186" s="1083"/>
      <c r="CH186" s="1084"/>
      <c r="CI186" s="862"/>
      <c r="CJ186" s="862"/>
      <c r="CK186" s="862"/>
      <c r="CL186" s="862"/>
      <c r="CM186" s="862"/>
      <c r="CN186" s="862"/>
      <c r="CO186" s="862"/>
      <c r="CP186" s="862"/>
      <c r="CQ186" s="1081">
        <f t="shared" si="462"/>
        <v>0</v>
      </c>
      <c r="CR186" s="862"/>
      <c r="CS186" s="862"/>
      <c r="CT186" s="862"/>
      <c r="CU186" s="73">
        <f t="shared" si="490"/>
        <v>0</v>
      </c>
      <c r="CV186" s="862"/>
      <c r="CW186" s="862"/>
      <c r="CX186" s="862"/>
      <c r="CY186" s="862"/>
      <c r="CZ186" s="862"/>
      <c r="DA186" s="862"/>
      <c r="DB186" s="862"/>
      <c r="DC186" s="862"/>
      <c r="DD186" s="1081"/>
      <c r="DE186" s="862"/>
      <c r="DF186" s="862"/>
      <c r="DG186" s="862"/>
      <c r="DH186" s="73">
        <f t="shared" si="491"/>
        <v>0</v>
      </c>
    </row>
    <row r="187" spans="1:112" s="37" customFormat="1" ht="24.75" customHeight="1" x14ac:dyDescent="0.2">
      <c r="A187" s="28"/>
      <c r="B187" s="756" t="s">
        <v>524</v>
      </c>
      <c r="C187" s="29" t="s">
        <v>54</v>
      </c>
      <c r="D187" s="557"/>
      <c r="E187" s="683"/>
      <c r="F187" s="30"/>
      <c r="G187" s="1172"/>
      <c r="H187" s="1136"/>
      <c r="I187" s="1136"/>
      <c r="J187" s="30"/>
      <c r="K187" s="30"/>
      <c r="L187" s="30"/>
      <c r="M187" s="30"/>
      <c r="N187" s="1127"/>
      <c r="O187" s="30"/>
      <c r="P187" s="30"/>
      <c r="Q187" s="30"/>
      <c r="R187" s="30"/>
      <c r="S187" s="30"/>
      <c r="T187" s="30"/>
      <c r="U187" s="30"/>
      <c r="V187" s="31">
        <f>SUM(E187:U187)</f>
        <v>0</v>
      </c>
      <c r="W187" s="744" t="s">
        <v>531</v>
      </c>
      <c r="X187" s="751"/>
      <c r="Y187" s="691"/>
      <c r="Z187" s="685"/>
      <c r="AA187" s="1226"/>
      <c r="AB187" s="1220"/>
      <c r="AC187" s="685"/>
      <c r="AD187" s="685"/>
      <c r="AE187" s="685"/>
      <c r="AF187" s="685"/>
      <c r="AG187" s="685"/>
      <c r="AH187" s="685"/>
      <c r="AI187" s="1164"/>
      <c r="AJ187" s="1164"/>
      <c r="AK187" s="1164"/>
      <c r="AL187" s="1164"/>
      <c r="AM187" s="1164"/>
      <c r="AN187" s="1164"/>
      <c r="AO187" s="685"/>
      <c r="AP187" s="1304">
        <f t="shared" ref="AP187:AP188" si="530">SUM(V187*X187)</f>
        <v>0</v>
      </c>
      <c r="AQ187" s="70">
        <f t="shared" si="518"/>
        <v>0</v>
      </c>
      <c r="AR187" s="70">
        <f t="shared" si="519"/>
        <v>0</v>
      </c>
      <c r="AS187" s="1128">
        <f t="shared" si="520"/>
        <v>0</v>
      </c>
      <c r="AT187" s="1128">
        <f t="shared" si="521"/>
        <v>0</v>
      </c>
      <c r="AU187" s="70">
        <f t="shared" si="522"/>
        <v>0</v>
      </c>
      <c r="AV187" s="70">
        <f t="shared" si="523"/>
        <v>0</v>
      </c>
      <c r="AW187" s="70">
        <f t="shared" si="524"/>
        <v>0</v>
      </c>
      <c r="AX187" s="70">
        <f t="shared" si="525"/>
        <v>0</v>
      </c>
      <c r="AY187" s="70">
        <f t="shared" si="526"/>
        <v>0</v>
      </c>
      <c r="AZ187" s="70">
        <f t="shared" si="527"/>
        <v>0</v>
      </c>
      <c r="BA187" s="70">
        <f t="shared" si="528"/>
        <v>0</v>
      </c>
      <c r="BB187" s="70"/>
      <c r="BC187" s="70"/>
      <c r="BD187" s="70"/>
      <c r="BE187" s="70"/>
      <c r="BF187" s="70"/>
      <c r="BG187" s="70"/>
      <c r="BH187" s="71">
        <f t="shared" si="493"/>
        <v>0</v>
      </c>
      <c r="BI187" s="70">
        <f>SUM(AQ187*14%)</f>
        <v>0</v>
      </c>
      <c r="BJ187" s="70">
        <f>SUM(AR187*14%)</f>
        <v>0</v>
      </c>
      <c r="BK187" s="70"/>
      <c r="BL187" s="70">
        <f t="shared" ref="BL187:BS189" si="531">SUM(AT187*14%)</f>
        <v>0</v>
      </c>
      <c r="BM187" s="70">
        <f t="shared" si="531"/>
        <v>0</v>
      </c>
      <c r="BN187" s="70">
        <f t="shared" si="531"/>
        <v>0</v>
      </c>
      <c r="BO187" s="70">
        <f t="shared" si="531"/>
        <v>0</v>
      </c>
      <c r="BP187" s="70">
        <f t="shared" si="531"/>
        <v>0</v>
      </c>
      <c r="BQ187" s="70">
        <f t="shared" si="531"/>
        <v>0</v>
      </c>
      <c r="BR187" s="70">
        <f t="shared" si="531"/>
        <v>0</v>
      </c>
      <c r="BS187" s="1130">
        <f t="shared" si="531"/>
        <v>0</v>
      </c>
      <c r="BT187" s="1130"/>
      <c r="BU187" s="1130"/>
      <c r="BV187" s="1130"/>
      <c r="BW187" s="1130"/>
      <c r="BX187" s="1130"/>
      <c r="BY187" s="1130"/>
      <c r="BZ187" s="72">
        <f>SUM(BI187:BY187)</f>
        <v>0</v>
      </c>
      <c r="CA187" s="686">
        <f t="shared" si="496"/>
        <v>0</v>
      </c>
      <c r="CB187" s="687">
        <f t="shared" si="495"/>
        <v>0</v>
      </c>
      <c r="CC187" s="688">
        <f t="shared" si="497"/>
        <v>0</v>
      </c>
      <c r="CD187" s="630"/>
      <c r="CE187" s="1081"/>
      <c r="CF187" s="1081"/>
      <c r="CG187" s="1083"/>
      <c r="CH187" s="1084"/>
      <c r="CI187" s="862"/>
      <c r="CJ187" s="862"/>
      <c r="CK187" s="862"/>
      <c r="CL187" s="862"/>
      <c r="CM187" s="862"/>
      <c r="CN187" s="862"/>
      <c r="CO187" s="862"/>
      <c r="CP187" s="862"/>
      <c r="CQ187" s="1081">
        <f t="shared" si="462"/>
        <v>0</v>
      </c>
      <c r="CR187" s="862"/>
      <c r="CS187" s="862"/>
      <c r="CT187" s="862"/>
      <c r="CU187" s="73">
        <f t="shared" si="490"/>
        <v>0</v>
      </c>
      <c r="CV187" s="862"/>
      <c r="CW187" s="862"/>
      <c r="CX187" s="862"/>
      <c r="CY187" s="862"/>
      <c r="CZ187" s="862"/>
      <c r="DA187" s="862"/>
      <c r="DB187" s="862"/>
      <c r="DC187" s="862"/>
      <c r="DD187" s="1081"/>
      <c r="DE187" s="862"/>
      <c r="DF187" s="862"/>
      <c r="DG187" s="862"/>
      <c r="DH187" s="73">
        <f t="shared" si="491"/>
        <v>0</v>
      </c>
    </row>
    <row r="188" spans="1:112" s="37" customFormat="1" ht="24.75" customHeight="1" x14ac:dyDescent="0.2">
      <c r="A188" s="28"/>
      <c r="B188" s="756" t="s">
        <v>525</v>
      </c>
      <c r="C188" s="29" t="s">
        <v>54</v>
      </c>
      <c r="D188" s="557"/>
      <c r="E188" s="683"/>
      <c r="F188" s="30"/>
      <c r="G188" s="1172"/>
      <c r="H188" s="1136"/>
      <c r="I188" s="1136"/>
      <c r="J188" s="30"/>
      <c r="K188" s="30"/>
      <c r="L188" s="30"/>
      <c r="M188" s="30"/>
      <c r="N188" s="1127"/>
      <c r="O188" s="30"/>
      <c r="P188" s="30"/>
      <c r="Q188" s="30"/>
      <c r="R188" s="30"/>
      <c r="S188" s="30"/>
      <c r="T188" s="30"/>
      <c r="U188" s="30"/>
      <c r="V188" s="31">
        <f>SUM(E188:U188)</f>
        <v>0</v>
      </c>
      <c r="W188" s="744" t="s">
        <v>30</v>
      </c>
      <c r="X188" s="751"/>
      <c r="Y188" s="718"/>
      <c r="Z188" s="685"/>
      <c r="AA188" s="1226"/>
      <c r="AB188" s="1220"/>
      <c r="AC188" s="685"/>
      <c r="AD188" s="685"/>
      <c r="AE188" s="685"/>
      <c r="AF188" s="685"/>
      <c r="AG188" s="685"/>
      <c r="AH188" s="685"/>
      <c r="AI188" s="1164"/>
      <c r="AJ188" s="1164"/>
      <c r="AK188" s="1164"/>
      <c r="AL188" s="1164"/>
      <c r="AM188" s="1164"/>
      <c r="AN188" s="1164"/>
      <c r="AO188" s="685"/>
      <c r="AP188" s="1304">
        <f t="shared" si="530"/>
        <v>0</v>
      </c>
      <c r="AQ188" s="70">
        <f t="shared" si="518"/>
        <v>0</v>
      </c>
      <c r="AR188" s="70">
        <f t="shared" si="519"/>
        <v>0</v>
      </c>
      <c r="AS188" s="1128">
        <f t="shared" si="520"/>
        <v>0</v>
      </c>
      <c r="AT188" s="1128">
        <f t="shared" si="521"/>
        <v>0</v>
      </c>
      <c r="AU188" s="70">
        <f t="shared" si="522"/>
        <v>0</v>
      </c>
      <c r="AV188" s="70">
        <f t="shared" si="523"/>
        <v>0</v>
      </c>
      <c r="AW188" s="70">
        <f t="shared" si="524"/>
        <v>0</v>
      </c>
      <c r="AX188" s="70">
        <f t="shared" si="525"/>
        <v>0</v>
      </c>
      <c r="AY188" s="70">
        <f t="shared" si="526"/>
        <v>0</v>
      </c>
      <c r="AZ188" s="70">
        <f t="shared" si="527"/>
        <v>0</v>
      </c>
      <c r="BA188" s="70">
        <f t="shared" si="528"/>
        <v>0</v>
      </c>
      <c r="BB188" s="70"/>
      <c r="BC188" s="70"/>
      <c r="BD188" s="70"/>
      <c r="BE188" s="70"/>
      <c r="BF188" s="70"/>
      <c r="BG188" s="70"/>
      <c r="BH188" s="71">
        <f t="shared" si="493"/>
        <v>0</v>
      </c>
      <c r="BI188" s="70">
        <f>SUM(AQ188*14%)</f>
        <v>0</v>
      </c>
      <c r="BJ188" s="70"/>
      <c r="BK188" s="70">
        <f>SUM(AS188*14%)</f>
        <v>0</v>
      </c>
      <c r="BL188" s="70">
        <f t="shared" si="531"/>
        <v>0</v>
      </c>
      <c r="BM188" s="70">
        <f t="shared" si="531"/>
        <v>0</v>
      </c>
      <c r="BN188" s="70">
        <f t="shared" si="531"/>
        <v>0</v>
      </c>
      <c r="BO188" s="70">
        <f t="shared" si="531"/>
        <v>0</v>
      </c>
      <c r="BP188" s="70">
        <f t="shared" si="531"/>
        <v>0</v>
      </c>
      <c r="BQ188" s="70">
        <f t="shared" si="531"/>
        <v>0</v>
      </c>
      <c r="BR188" s="70">
        <f t="shared" si="531"/>
        <v>0</v>
      </c>
      <c r="BS188" s="1130">
        <f t="shared" si="531"/>
        <v>0</v>
      </c>
      <c r="BT188" s="1130"/>
      <c r="BU188" s="1130"/>
      <c r="BV188" s="1130"/>
      <c r="BW188" s="1130"/>
      <c r="BX188" s="1130"/>
      <c r="BY188" s="1130"/>
      <c r="BZ188" s="72">
        <f>SUM(BI188:BY188)</f>
        <v>0</v>
      </c>
      <c r="CA188" s="686">
        <f t="shared" si="496"/>
        <v>0</v>
      </c>
      <c r="CB188" s="687">
        <f t="shared" si="495"/>
        <v>0</v>
      </c>
      <c r="CC188" s="688">
        <f t="shared" si="497"/>
        <v>0</v>
      </c>
      <c r="CD188" s="630"/>
      <c r="CE188" s="1081"/>
      <c r="CF188" s="1081"/>
      <c r="CG188" s="1083"/>
      <c r="CH188" s="1084"/>
      <c r="CI188" s="862"/>
      <c r="CJ188" s="862"/>
      <c r="CK188" s="862"/>
      <c r="CL188" s="862"/>
      <c r="CM188" s="862"/>
      <c r="CN188" s="862"/>
      <c r="CO188" s="862"/>
      <c r="CP188" s="862"/>
      <c r="CQ188" s="1081">
        <f t="shared" si="462"/>
        <v>0</v>
      </c>
      <c r="CR188" s="862"/>
      <c r="CS188" s="862"/>
      <c r="CT188" s="862"/>
      <c r="CU188" s="73">
        <f t="shared" si="490"/>
        <v>0</v>
      </c>
      <c r="CV188" s="862"/>
      <c r="CW188" s="862"/>
      <c r="CX188" s="862"/>
      <c r="CY188" s="862"/>
      <c r="CZ188" s="862"/>
      <c r="DA188" s="862"/>
      <c r="DB188" s="862"/>
      <c r="DC188" s="862"/>
      <c r="DD188" s="1081"/>
      <c r="DE188" s="862"/>
      <c r="DF188" s="862"/>
      <c r="DG188" s="862"/>
      <c r="DH188" s="73">
        <f t="shared" si="491"/>
        <v>0</v>
      </c>
    </row>
    <row r="189" spans="1:112" s="37" customFormat="1" ht="24.75" customHeight="1" x14ac:dyDescent="0.2">
      <c r="A189" s="28"/>
      <c r="B189" s="756" t="s">
        <v>501</v>
      </c>
      <c r="C189" s="29" t="s">
        <v>54</v>
      </c>
      <c r="D189" s="557"/>
      <c r="E189" s="683"/>
      <c r="F189" s="30"/>
      <c r="G189" s="1172"/>
      <c r="H189" s="1136"/>
      <c r="I189" s="1136"/>
      <c r="J189" s="30"/>
      <c r="K189" s="30"/>
      <c r="L189" s="30"/>
      <c r="M189" s="30"/>
      <c r="N189" s="1127"/>
      <c r="O189" s="30"/>
      <c r="P189" s="30"/>
      <c r="Q189" s="30"/>
      <c r="R189" s="30"/>
      <c r="S189" s="30"/>
      <c r="T189" s="30"/>
      <c r="U189" s="30"/>
      <c r="V189" s="31">
        <f>SUM(E189:U189)</f>
        <v>0</v>
      </c>
      <c r="W189" s="744" t="s">
        <v>406</v>
      </c>
      <c r="X189" s="751"/>
      <c r="Y189" s="718"/>
      <c r="Z189" s="685"/>
      <c r="AA189" s="1226"/>
      <c r="AB189" s="1220"/>
      <c r="AC189" s="685"/>
      <c r="AD189" s="685"/>
      <c r="AE189" s="685"/>
      <c r="AF189" s="685"/>
      <c r="AG189" s="685"/>
      <c r="AH189" s="685"/>
      <c r="AI189" s="1164"/>
      <c r="AJ189" s="1164"/>
      <c r="AK189" s="1164"/>
      <c r="AL189" s="1164"/>
      <c r="AM189" s="1164"/>
      <c r="AN189" s="1164"/>
      <c r="AO189" s="685"/>
      <c r="AP189" s="1304">
        <f t="shared" ref="AP189" si="532">SUM(V189*X189)</f>
        <v>0</v>
      </c>
      <c r="AQ189" s="70">
        <f t="shared" ref="AQ189:AQ192" si="533">Y189*E189</f>
        <v>0</v>
      </c>
      <c r="AR189" s="70">
        <f t="shared" ref="AR189:AR192" si="534">Z189*F189</f>
        <v>0</v>
      </c>
      <c r="AS189" s="1128">
        <f t="shared" ref="AS189:AS192" si="535">AA189*G189</f>
        <v>0</v>
      </c>
      <c r="AT189" s="1128">
        <f t="shared" ref="AT189:AT192" si="536">AB189*H189</f>
        <v>0</v>
      </c>
      <c r="AU189" s="70">
        <f t="shared" ref="AU189:AU192" si="537">AC189*I189</f>
        <v>0</v>
      </c>
      <c r="AV189" s="70">
        <f t="shared" ref="AV189:AV192" si="538">AD189*J189</f>
        <v>0</v>
      </c>
      <c r="AW189" s="70">
        <f t="shared" ref="AW189:AW192" si="539">AE189*K189</f>
        <v>0</v>
      </c>
      <c r="AX189" s="70">
        <f t="shared" ref="AX189:AX192" si="540">AF189*L189</f>
        <v>0</v>
      </c>
      <c r="AY189" s="70">
        <f t="shared" ref="AY189:AY192" si="541">AG189*M189</f>
        <v>0</v>
      </c>
      <c r="AZ189" s="70">
        <f t="shared" ref="AZ189:AZ192" si="542">AH189*N189</f>
        <v>0</v>
      </c>
      <c r="BA189" s="70">
        <f t="shared" ref="BA189:BA192" si="543">AI189*O189</f>
        <v>0</v>
      </c>
      <c r="BB189" s="70"/>
      <c r="BC189" s="70"/>
      <c r="BD189" s="70"/>
      <c r="BE189" s="70"/>
      <c r="BF189" s="70"/>
      <c r="BG189" s="70"/>
      <c r="BH189" s="71">
        <f t="shared" si="493"/>
        <v>0</v>
      </c>
      <c r="BI189" s="70">
        <f>SUM(AQ189*14%)</f>
        <v>0</v>
      </c>
      <c r="BJ189" s="70"/>
      <c r="BK189" s="70">
        <f>SUM(AS189*14%)</f>
        <v>0</v>
      </c>
      <c r="BL189" s="70">
        <f t="shared" si="531"/>
        <v>0</v>
      </c>
      <c r="BM189" s="70">
        <f t="shared" si="531"/>
        <v>0</v>
      </c>
      <c r="BN189" s="70">
        <f t="shared" si="531"/>
        <v>0</v>
      </c>
      <c r="BO189" s="70">
        <f t="shared" si="531"/>
        <v>0</v>
      </c>
      <c r="BP189" s="70">
        <f t="shared" si="531"/>
        <v>0</v>
      </c>
      <c r="BQ189" s="70">
        <f t="shared" si="531"/>
        <v>0</v>
      </c>
      <c r="BR189" s="70">
        <f t="shared" si="531"/>
        <v>0</v>
      </c>
      <c r="BS189" s="1130">
        <f t="shared" si="531"/>
        <v>0</v>
      </c>
      <c r="BT189" s="1130"/>
      <c r="BU189" s="1130"/>
      <c r="BV189" s="1130"/>
      <c r="BW189" s="1130"/>
      <c r="BX189" s="1130"/>
      <c r="BY189" s="1130"/>
      <c r="BZ189" s="72">
        <f>SUM(BI189:BY189)</f>
        <v>0</v>
      </c>
      <c r="CA189" s="686">
        <f t="shared" si="496"/>
        <v>0</v>
      </c>
      <c r="CB189" s="687">
        <f t="shared" si="495"/>
        <v>0</v>
      </c>
      <c r="CC189" s="688">
        <f t="shared" si="497"/>
        <v>0</v>
      </c>
      <c r="CD189" s="630"/>
      <c r="CE189" s="1081"/>
      <c r="CF189" s="1081"/>
      <c r="CG189" s="1083"/>
      <c r="CH189" s="1084"/>
      <c r="CI189" s="862"/>
      <c r="CJ189" s="862"/>
      <c r="CK189" s="862"/>
      <c r="CL189" s="862"/>
      <c r="CM189" s="862"/>
      <c r="CN189" s="862"/>
      <c r="CO189" s="862"/>
      <c r="CP189" s="862"/>
      <c r="CQ189" s="1081">
        <f t="shared" si="462"/>
        <v>0</v>
      </c>
      <c r="CR189" s="862"/>
      <c r="CS189" s="862"/>
      <c r="CT189" s="862"/>
      <c r="CU189" s="73">
        <f t="shared" si="490"/>
        <v>0</v>
      </c>
      <c r="CV189" s="862"/>
      <c r="CW189" s="862"/>
      <c r="CX189" s="862"/>
      <c r="CY189" s="862"/>
      <c r="CZ189" s="862"/>
      <c r="DA189" s="862"/>
      <c r="DB189" s="862"/>
      <c r="DC189" s="862"/>
      <c r="DD189" s="1081"/>
      <c r="DE189" s="862"/>
      <c r="DF189" s="862"/>
      <c r="DG189" s="862"/>
      <c r="DH189" s="73">
        <f t="shared" si="491"/>
        <v>0</v>
      </c>
    </row>
    <row r="190" spans="1:112" s="37" customFormat="1" ht="24.75" customHeight="1" x14ac:dyDescent="0.2">
      <c r="A190" s="28"/>
      <c r="B190" s="755" t="s">
        <v>122</v>
      </c>
      <c r="C190" s="29"/>
      <c r="D190" s="749"/>
      <c r="E190" s="683"/>
      <c r="F190" s="30"/>
      <c r="G190" s="1174"/>
      <c r="H190" s="1136"/>
      <c r="I190" s="1136"/>
      <c r="J190" s="30"/>
      <c r="K190" s="30"/>
      <c r="L190" s="30"/>
      <c r="M190" s="30"/>
      <c r="N190" s="1127"/>
      <c r="O190" s="30"/>
      <c r="P190" s="30"/>
      <c r="Q190" s="30"/>
      <c r="R190" s="30"/>
      <c r="S190" s="30"/>
      <c r="T190" s="30"/>
      <c r="U190" s="30"/>
      <c r="V190" s="31"/>
      <c r="W190" s="690"/>
      <c r="X190" s="750"/>
      <c r="Y190" s="691"/>
      <c r="Z190" s="685"/>
      <c r="AA190" s="1229"/>
      <c r="AB190" s="1220"/>
      <c r="AC190" s="685"/>
      <c r="AD190" s="685"/>
      <c r="AE190" s="685"/>
      <c r="AF190" s="685"/>
      <c r="AG190" s="685"/>
      <c r="AH190" s="685"/>
      <c r="AI190" s="1164"/>
      <c r="AJ190" s="1164"/>
      <c r="AK190" s="1164"/>
      <c r="AL190" s="1164"/>
      <c r="AM190" s="1164"/>
      <c r="AN190" s="1164"/>
      <c r="AO190" s="685"/>
      <c r="AP190" s="1306">
        <f>SUM(X190*E190)</f>
        <v>0</v>
      </c>
      <c r="AQ190" s="692">
        <f t="shared" si="533"/>
        <v>0</v>
      </c>
      <c r="AR190" s="692">
        <f t="shared" si="534"/>
        <v>0</v>
      </c>
      <c r="AS190" s="1230">
        <f t="shared" si="535"/>
        <v>0</v>
      </c>
      <c r="AT190" s="1230">
        <f t="shared" si="536"/>
        <v>0</v>
      </c>
      <c r="AU190" s="692">
        <f t="shared" si="537"/>
        <v>0</v>
      </c>
      <c r="AV190" s="692">
        <f t="shared" si="538"/>
        <v>0</v>
      </c>
      <c r="AW190" s="692">
        <f t="shared" si="539"/>
        <v>0</v>
      </c>
      <c r="AX190" s="692">
        <f t="shared" si="540"/>
        <v>0</v>
      </c>
      <c r="AY190" s="692">
        <f t="shared" si="541"/>
        <v>0</v>
      </c>
      <c r="AZ190" s="692">
        <f t="shared" si="542"/>
        <v>0</v>
      </c>
      <c r="BA190" s="692">
        <f t="shared" si="543"/>
        <v>0</v>
      </c>
      <c r="BB190" s="692"/>
      <c r="BC190" s="692"/>
      <c r="BD190" s="692"/>
      <c r="BE190" s="692"/>
      <c r="BF190" s="692"/>
      <c r="BG190" s="692"/>
      <c r="BH190" s="693">
        <f t="shared" si="493"/>
        <v>0</v>
      </c>
      <c r="BI190" s="692">
        <f t="shared" ref="BI190:BS190" si="544">AQ190*W190</f>
        <v>0</v>
      </c>
      <c r="BJ190" s="692">
        <f t="shared" si="544"/>
        <v>0</v>
      </c>
      <c r="BK190" s="692">
        <f t="shared" si="544"/>
        <v>0</v>
      </c>
      <c r="BL190" s="692">
        <f t="shared" si="544"/>
        <v>0</v>
      </c>
      <c r="BM190" s="692">
        <f t="shared" si="544"/>
        <v>0</v>
      </c>
      <c r="BN190" s="692">
        <f t="shared" si="544"/>
        <v>0</v>
      </c>
      <c r="BO190" s="692">
        <f t="shared" si="544"/>
        <v>0</v>
      </c>
      <c r="BP190" s="692">
        <f t="shared" si="544"/>
        <v>0</v>
      </c>
      <c r="BQ190" s="692">
        <f t="shared" si="544"/>
        <v>0</v>
      </c>
      <c r="BR190" s="692">
        <f t="shared" si="544"/>
        <v>0</v>
      </c>
      <c r="BS190" s="1272">
        <f t="shared" si="544"/>
        <v>0</v>
      </c>
      <c r="BT190" s="1272"/>
      <c r="BU190" s="1272"/>
      <c r="BV190" s="1272"/>
      <c r="BW190" s="1272"/>
      <c r="BX190" s="1272"/>
      <c r="BY190" s="1272"/>
      <c r="BZ190" s="694">
        <f>BH190*4%</f>
        <v>0</v>
      </c>
      <c r="CA190" s="686">
        <f t="shared" si="496"/>
        <v>0</v>
      </c>
      <c r="CB190" s="687">
        <f t="shared" si="495"/>
        <v>0</v>
      </c>
      <c r="CC190" s="688">
        <f t="shared" si="497"/>
        <v>0</v>
      </c>
      <c r="CD190" s="630"/>
      <c r="CE190" s="1081"/>
      <c r="CF190" s="1081"/>
      <c r="CG190" s="1083"/>
      <c r="CH190" s="1084"/>
      <c r="CI190" s="862"/>
      <c r="CJ190" s="862"/>
      <c r="CK190" s="862"/>
      <c r="CL190" s="862"/>
      <c r="CM190" s="862"/>
      <c r="CN190" s="862"/>
      <c r="CO190" s="862"/>
      <c r="CP190" s="862"/>
      <c r="CQ190" s="1081">
        <f t="shared" si="462"/>
        <v>0</v>
      </c>
      <c r="CR190" s="862"/>
      <c r="CS190" s="862"/>
      <c r="CT190" s="862"/>
      <c r="CU190" s="73">
        <f t="shared" si="490"/>
        <v>0</v>
      </c>
      <c r="CV190" s="862"/>
      <c r="CW190" s="862"/>
      <c r="CX190" s="862"/>
      <c r="CY190" s="862"/>
      <c r="CZ190" s="862"/>
      <c r="DA190" s="862"/>
      <c r="DB190" s="862"/>
      <c r="DC190" s="862"/>
      <c r="DD190" s="1081"/>
      <c r="DE190" s="862"/>
      <c r="DF190" s="862"/>
      <c r="DG190" s="862"/>
      <c r="DH190" s="73">
        <f t="shared" si="491"/>
        <v>0</v>
      </c>
    </row>
    <row r="191" spans="1:112" s="37" customFormat="1" ht="24.75" customHeight="1" x14ac:dyDescent="0.2">
      <c r="A191" s="28"/>
      <c r="B191" s="756" t="s">
        <v>526</v>
      </c>
      <c r="C191" s="29" t="s">
        <v>54</v>
      </c>
      <c r="D191" s="557"/>
      <c r="E191" s="683"/>
      <c r="F191" s="30"/>
      <c r="G191" s="1172"/>
      <c r="H191" s="1136"/>
      <c r="I191" s="1136"/>
      <c r="J191" s="30"/>
      <c r="K191" s="30"/>
      <c r="L191" s="30"/>
      <c r="M191" s="30"/>
      <c r="N191" s="1127"/>
      <c r="O191" s="30"/>
      <c r="P191" s="30"/>
      <c r="Q191" s="30"/>
      <c r="R191" s="30"/>
      <c r="S191" s="30"/>
      <c r="T191" s="30"/>
      <c r="U191" s="30"/>
      <c r="V191" s="31">
        <f>SUM(E191:U191)</f>
        <v>0</v>
      </c>
      <c r="W191" s="744" t="s">
        <v>532</v>
      </c>
      <c r="X191" s="751"/>
      <c r="Y191" s="691"/>
      <c r="Z191" s="685"/>
      <c r="AA191" s="1226"/>
      <c r="AB191" s="1220"/>
      <c r="AC191" s="685"/>
      <c r="AD191" s="685"/>
      <c r="AE191" s="685"/>
      <c r="AF191" s="685"/>
      <c r="AG191" s="685"/>
      <c r="AH191" s="685"/>
      <c r="AI191" s="1164"/>
      <c r="AJ191" s="1164"/>
      <c r="AK191" s="1164"/>
      <c r="AL191" s="1164"/>
      <c r="AM191" s="1164"/>
      <c r="AN191" s="1164"/>
      <c r="AO191" s="685"/>
      <c r="AP191" s="1304">
        <f t="shared" ref="AP191:AP193" si="545">SUM(V191*X191)</f>
        <v>0</v>
      </c>
      <c r="AQ191" s="70">
        <f t="shared" si="533"/>
        <v>0</v>
      </c>
      <c r="AR191" s="70">
        <f t="shared" si="534"/>
        <v>0</v>
      </c>
      <c r="AS191" s="1128">
        <f t="shared" si="535"/>
        <v>0</v>
      </c>
      <c r="AT191" s="1128">
        <f t="shared" si="536"/>
        <v>0</v>
      </c>
      <c r="AU191" s="70">
        <f t="shared" si="537"/>
        <v>0</v>
      </c>
      <c r="AV191" s="70">
        <f t="shared" si="538"/>
        <v>0</v>
      </c>
      <c r="AW191" s="70">
        <f t="shared" si="539"/>
        <v>0</v>
      </c>
      <c r="AX191" s="70">
        <f t="shared" si="540"/>
        <v>0</v>
      </c>
      <c r="AY191" s="70">
        <f t="shared" si="541"/>
        <v>0</v>
      </c>
      <c r="AZ191" s="70">
        <f t="shared" si="542"/>
        <v>0</v>
      </c>
      <c r="BA191" s="70">
        <f t="shared" si="543"/>
        <v>0</v>
      </c>
      <c r="BB191" s="70"/>
      <c r="BC191" s="70"/>
      <c r="BD191" s="70"/>
      <c r="BE191" s="70"/>
      <c r="BF191" s="70"/>
      <c r="BG191" s="70"/>
      <c r="BH191" s="71">
        <f t="shared" si="493"/>
        <v>0</v>
      </c>
      <c r="BI191" s="70">
        <f>SUM(AQ191*14%)</f>
        <v>0</v>
      </c>
      <c r="BJ191" s="70">
        <f>SUM(AR191*14%)</f>
        <v>0</v>
      </c>
      <c r="BK191" s="70"/>
      <c r="BL191" s="70">
        <f t="shared" ref="BL191:BS193" si="546">SUM(AT191*14%)</f>
        <v>0</v>
      </c>
      <c r="BM191" s="70">
        <f t="shared" si="546"/>
        <v>0</v>
      </c>
      <c r="BN191" s="70">
        <f t="shared" si="546"/>
        <v>0</v>
      </c>
      <c r="BO191" s="70">
        <f t="shared" si="546"/>
        <v>0</v>
      </c>
      <c r="BP191" s="70">
        <f t="shared" si="546"/>
        <v>0</v>
      </c>
      <c r="BQ191" s="70">
        <f t="shared" si="546"/>
        <v>0</v>
      </c>
      <c r="BR191" s="70">
        <f t="shared" si="546"/>
        <v>0</v>
      </c>
      <c r="BS191" s="1130">
        <f t="shared" si="546"/>
        <v>0</v>
      </c>
      <c r="BT191" s="1130"/>
      <c r="BU191" s="1130"/>
      <c r="BV191" s="1130"/>
      <c r="BW191" s="1130"/>
      <c r="BX191" s="1130"/>
      <c r="BY191" s="1130"/>
      <c r="BZ191" s="72">
        <f>SUM(BI191:BY191)</f>
        <v>0</v>
      </c>
      <c r="CA191" s="686">
        <f t="shared" si="496"/>
        <v>0</v>
      </c>
      <c r="CB191" s="687">
        <f t="shared" si="495"/>
        <v>0</v>
      </c>
      <c r="CC191" s="688">
        <f t="shared" si="497"/>
        <v>0</v>
      </c>
      <c r="CD191" s="630"/>
      <c r="CE191" s="1081"/>
      <c r="CF191" s="1081"/>
      <c r="CG191" s="1083"/>
      <c r="CH191" s="1084"/>
      <c r="CI191" s="862"/>
      <c r="CJ191" s="862"/>
      <c r="CK191" s="862"/>
      <c r="CL191" s="862"/>
      <c r="CM191" s="862"/>
      <c r="CN191" s="862"/>
      <c r="CO191" s="862"/>
      <c r="CP191" s="862"/>
      <c r="CQ191" s="1081">
        <f t="shared" si="462"/>
        <v>0</v>
      </c>
      <c r="CR191" s="862"/>
      <c r="CS191" s="862"/>
      <c r="CT191" s="862"/>
      <c r="CU191" s="73">
        <f t="shared" si="490"/>
        <v>0</v>
      </c>
      <c r="CV191" s="862"/>
      <c r="CW191" s="862"/>
      <c r="CX191" s="862"/>
      <c r="CY191" s="862"/>
      <c r="CZ191" s="862"/>
      <c r="DA191" s="862"/>
      <c r="DB191" s="862"/>
      <c r="DC191" s="862"/>
      <c r="DD191" s="1081"/>
      <c r="DE191" s="862"/>
      <c r="DF191" s="862"/>
      <c r="DG191" s="862"/>
      <c r="DH191" s="73">
        <f t="shared" si="491"/>
        <v>0</v>
      </c>
    </row>
    <row r="192" spans="1:112" s="37" customFormat="1" ht="24.75" customHeight="1" x14ac:dyDescent="0.2">
      <c r="A192" s="28"/>
      <c r="B192" s="756" t="s">
        <v>527</v>
      </c>
      <c r="C192" s="29" t="s">
        <v>54</v>
      </c>
      <c r="D192" s="557"/>
      <c r="E192" s="683"/>
      <c r="F192" s="30"/>
      <c r="G192" s="1172"/>
      <c r="H192" s="1136"/>
      <c r="I192" s="1136"/>
      <c r="J192" s="30"/>
      <c r="K192" s="30"/>
      <c r="L192" s="30"/>
      <c r="M192" s="30"/>
      <c r="N192" s="1127"/>
      <c r="O192" s="30"/>
      <c r="P192" s="30"/>
      <c r="Q192" s="30"/>
      <c r="R192" s="30"/>
      <c r="S192" s="30"/>
      <c r="T192" s="30"/>
      <c r="U192" s="30"/>
      <c r="V192" s="31">
        <f>SUM(E192:U192)</f>
        <v>0</v>
      </c>
      <c r="W192" s="744" t="s">
        <v>119</v>
      </c>
      <c r="X192" s="751"/>
      <c r="Y192" s="718"/>
      <c r="Z192" s="685"/>
      <c r="AA192" s="1226"/>
      <c r="AB192" s="1220"/>
      <c r="AC192" s="685"/>
      <c r="AD192" s="685"/>
      <c r="AE192" s="685"/>
      <c r="AF192" s="685"/>
      <c r="AG192" s="685"/>
      <c r="AH192" s="685"/>
      <c r="AI192" s="1164"/>
      <c r="AJ192" s="1164"/>
      <c r="AK192" s="1164"/>
      <c r="AL192" s="1164"/>
      <c r="AM192" s="1164"/>
      <c r="AN192" s="1164"/>
      <c r="AO192" s="685"/>
      <c r="AP192" s="1304">
        <f t="shared" si="545"/>
        <v>0</v>
      </c>
      <c r="AQ192" s="70">
        <f t="shared" si="533"/>
        <v>0</v>
      </c>
      <c r="AR192" s="70">
        <f t="shared" si="534"/>
        <v>0</v>
      </c>
      <c r="AS192" s="1128">
        <f t="shared" si="535"/>
        <v>0</v>
      </c>
      <c r="AT192" s="1128">
        <f t="shared" si="536"/>
        <v>0</v>
      </c>
      <c r="AU192" s="70">
        <f t="shared" si="537"/>
        <v>0</v>
      </c>
      <c r="AV192" s="70">
        <f t="shared" si="538"/>
        <v>0</v>
      </c>
      <c r="AW192" s="70">
        <f t="shared" si="539"/>
        <v>0</v>
      </c>
      <c r="AX192" s="70">
        <f t="shared" si="540"/>
        <v>0</v>
      </c>
      <c r="AY192" s="70">
        <f t="shared" si="541"/>
        <v>0</v>
      </c>
      <c r="AZ192" s="70">
        <f t="shared" si="542"/>
        <v>0</v>
      </c>
      <c r="BA192" s="70">
        <f t="shared" si="543"/>
        <v>0</v>
      </c>
      <c r="BB192" s="70"/>
      <c r="BC192" s="70"/>
      <c r="BD192" s="70"/>
      <c r="BE192" s="70"/>
      <c r="BF192" s="70"/>
      <c r="BG192" s="70"/>
      <c r="BH192" s="71">
        <f t="shared" si="493"/>
        <v>0</v>
      </c>
      <c r="BI192" s="70">
        <f>SUM(AQ192*14%)</f>
        <v>0</v>
      </c>
      <c r="BJ192" s="70"/>
      <c r="BK192" s="70">
        <f>SUM(AS192*14%)</f>
        <v>0</v>
      </c>
      <c r="BL192" s="70">
        <f t="shared" si="546"/>
        <v>0</v>
      </c>
      <c r="BM192" s="70">
        <f t="shared" si="546"/>
        <v>0</v>
      </c>
      <c r="BN192" s="70">
        <f t="shared" si="546"/>
        <v>0</v>
      </c>
      <c r="BO192" s="70">
        <f t="shared" si="546"/>
        <v>0</v>
      </c>
      <c r="BP192" s="70">
        <f t="shared" si="546"/>
        <v>0</v>
      </c>
      <c r="BQ192" s="70">
        <f t="shared" si="546"/>
        <v>0</v>
      </c>
      <c r="BR192" s="70">
        <f t="shared" si="546"/>
        <v>0</v>
      </c>
      <c r="BS192" s="1130">
        <f t="shared" si="546"/>
        <v>0</v>
      </c>
      <c r="BT192" s="1130"/>
      <c r="BU192" s="1130"/>
      <c r="BV192" s="1130"/>
      <c r="BW192" s="1130"/>
      <c r="BX192" s="1130"/>
      <c r="BY192" s="1130"/>
      <c r="BZ192" s="72">
        <f>SUM(BI192:BY192)</f>
        <v>0</v>
      </c>
      <c r="CA192" s="686">
        <f t="shared" si="496"/>
        <v>0</v>
      </c>
      <c r="CB192" s="687">
        <f t="shared" si="495"/>
        <v>0</v>
      </c>
      <c r="CC192" s="688">
        <f t="shared" si="497"/>
        <v>0</v>
      </c>
      <c r="CD192" s="630"/>
      <c r="CE192" s="1081"/>
      <c r="CF192" s="1081"/>
      <c r="CG192" s="1083"/>
      <c r="CH192" s="1084"/>
      <c r="CI192" s="862"/>
      <c r="CJ192" s="862"/>
      <c r="CK192" s="862"/>
      <c r="CL192" s="862"/>
      <c r="CM192" s="862"/>
      <c r="CN192" s="862"/>
      <c r="CO192" s="862"/>
      <c r="CP192" s="862"/>
      <c r="CQ192" s="1081">
        <f t="shared" si="462"/>
        <v>0</v>
      </c>
      <c r="CR192" s="862"/>
      <c r="CS192" s="862"/>
      <c r="CT192" s="862"/>
      <c r="CU192" s="73">
        <f t="shared" si="490"/>
        <v>0</v>
      </c>
      <c r="CV192" s="862"/>
      <c r="CW192" s="862"/>
      <c r="CX192" s="862"/>
      <c r="CY192" s="862"/>
      <c r="CZ192" s="862"/>
      <c r="DA192" s="862"/>
      <c r="DB192" s="862"/>
      <c r="DC192" s="862"/>
      <c r="DD192" s="1081"/>
      <c r="DE192" s="862"/>
      <c r="DF192" s="862"/>
      <c r="DG192" s="862"/>
      <c r="DH192" s="73">
        <f t="shared" si="491"/>
        <v>0</v>
      </c>
    </row>
    <row r="193" spans="1:118" s="37" customFormat="1" ht="24.75" customHeight="1" x14ac:dyDescent="0.2">
      <c r="A193" s="28"/>
      <c r="B193" s="756" t="s">
        <v>501</v>
      </c>
      <c r="C193" s="29" t="s">
        <v>54</v>
      </c>
      <c r="D193" s="557"/>
      <c r="E193" s="683"/>
      <c r="F193" s="30"/>
      <c r="G193" s="1172"/>
      <c r="H193" s="1136"/>
      <c r="I193" s="1136"/>
      <c r="J193" s="30"/>
      <c r="K193" s="30"/>
      <c r="L193" s="30"/>
      <c r="M193" s="30"/>
      <c r="N193" s="1127"/>
      <c r="O193" s="30"/>
      <c r="P193" s="30"/>
      <c r="Q193" s="30"/>
      <c r="R193" s="30"/>
      <c r="S193" s="30"/>
      <c r="T193" s="30"/>
      <c r="U193" s="30"/>
      <c r="V193" s="31">
        <f>SUM(E193:U193)</f>
        <v>0</v>
      </c>
      <c r="W193" s="744" t="s">
        <v>406</v>
      </c>
      <c r="X193" s="751"/>
      <c r="Y193" s="718"/>
      <c r="Z193" s="685"/>
      <c r="AA193" s="1226"/>
      <c r="AB193" s="1220"/>
      <c r="AC193" s="685"/>
      <c r="AD193" s="685"/>
      <c r="AE193" s="685"/>
      <c r="AF193" s="685"/>
      <c r="AG193" s="685"/>
      <c r="AH193" s="685"/>
      <c r="AI193" s="1164"/>
      <c r="AJ193" s="1164"/>
      <c r="AK193" s="1164"/>
      <c r="AL193" s="1164"/>
      <c r="AM193" s="1164"/>
      <c r="AN193" s="1164"/>
      <c r="AO193" s="685"/>
      <c r="AP193" s="1304">
        <f t="shared" si="545"/>
        <v>0</v>
      </c>
      <c r="AQ193" s="70">
        <f t="shared" ref="AQ193:AQ196" si="547">Y193*E193</f>
        <v>0</v>
      </c>
      <c r="AR193" s="70">
        <f t="shared" ref="AR193:AR196" si="548">Z193*F193</f>
        <v>0</v>
      </c>
      <c r="AS193" s="1128">
        <f t="shared" ref="AS193:AS196" si="549">AA193*G193</f>
        <v>0</v>
      </c>
      <c r="AT193" s="1128">
        <f t="shared" ref="AT193:AT196" si="550">AB193*H193</f>
        <v>0</v>
      </c>
      <c r="AU193" s="70">
        <f t="shared" ref="AU193:AU196" si="551">AC193*I193</f>
        <v>0</v>
      </c>
      <c r="AV193" s="70">
        <f t="shared" ref="AV193:AV196" si="552">AD193*J193</f>
        <v>0</v>
      </c>
      <c r="AW193" s="70">
        <f t="shared" ref="AW193:AW196" si="553">AE193*K193</f>
        <v>0</v>
      </c>
      <c r="AX193" s="70">
        <f t="shared" ref="AX193:AX196" si="554">AF193*L193</f>
        <v>0</v>
      </c>
      <c r="AY193" s="70">
        <f t="shared" ref="AY193:AY196" si="555">AG193*M193</f>
        <v>0</v>
      </c>
      <c r="AZ193" s="70">
        <f t="shared" ref="AZ193:AZ196" si="556">AH193*N193</f>
        <v>0</v>
      </c>
      <c r="BA193" s="70">
        <f t="shared" ref="BA193:BA196" si="557">AI193*O193</f>
        <v>0</v>
      </c>
      <c r="BB193" s="70"/>
      <c r="BC193" s="70"/>
      <c r="BD193" s="70"/>
      <c r="BE193" s="70"/>
      <c r="BF193" s="70"/>
      <c r="BG193" s="70"/>
      <c r="BH193" s="71">
        <f t="shared" si="493"/>
        <v>0</v>
      </c>
      <c r="BI193" s="70">
        <f>SUM(AQ193*14%)</f>
        <v>0</v>
      </c>
      <c r="BJ193" s="70"/>
      <c r="BK193" s="70">
        <f>SUM(AS193*14%)</f>
        <v>0</v>
      </c>
      <c r="BL193" s="70">
        <f t="shared" si="546"/>
        <v>0</v>
      </c>
      <c r="BM193" s="70">
        <f t="shared" si="546"/>
        <v>0</v>
      </c>
      <c r="BN193" s="70">
        <f t="shared" si="546"/>
        <v>0</v>
      </c>
      <c r="BO193" s="70">
        <f t="shared" si="546"/>
        <v>0</v>
      </c>
      <c r="BP193" s="70">
        <f t="shared" si="546"/>
        <v>0</v>
      </c>
      <c r="BQ193" s="70">
        <f t="shared" si="546"/>
        <v>0</v>
      </c>
      <c r="BR193" s="70">
        <f t="shared" si="546"/>
        <v>0</v>
      </c>
      <c r="BS193" s="1130">
        <f t="shared" si="546"/>
        <v>0</v>
      </c>
      <c r="BT193" s="1130"/>
      <c r="BU193" s="1130"/>
      <c r="BV193" s="1130"/>
      <c r="BW193" s="1130"/>
      <c r="BX193" s="1130"/>
      <c r="BY193" s="1130"/>
      <c r="BZ193" s="72">
        <f>SUM(BI193:BY193)</f>
        <v>0</v>
      </c>
      <c r="CA193" s="686">
        <f t="shared" si="496"/>
        <v>0</v>
      </c>
      <c r="CB193" s="687">
        <f t="shared" si="495"/>
        <v>0</v>
      </c>
      <c r="CC193" s="688">
        <f t="shared" si="497"/>
        <v>0</v>
      </c>
      <c r="CD193" s="630"/>
      <c r="CE193" s="1081"/>
      <c r="CF193" s="1081"/>
      <c r="CG193" s="1083"/>
      <c r="CH193" s="1084"/>
      <c r="CI193" s="862"/>
      <c r="CJ193" s="862"/>
      <c r="CK193" s="862"/>
      <c r="CL193" s="862"/>
      <c r="CM193" s="862"/>
      <c r="CN193" s="862"/>
      <c r="CO193" s="862"/>
      <c r="CP193" s="862"/>
      <c r="CQ193" s="1081">
        <f t="shared" si="462"/>
        <v>0</v>
      </c>
      <c r="CR193" s="862"/>
      <c r="CS193" s="862"/>
      <c r="CT193" s="862"/>
      <c r="CU193" s="73">
        <f t="shared" si="490"/>
        <v>0</v>
      </c>
      <c r="CV193" s="862"/>
      <c r="CW193" s="862"/>
      <c r="CX193" s="862"/>
      <c r="CY193" s="862"/>
      <c r="CZ193" s="862"/>
      <c r="DA193" s="862"/>
      <c r="DB193" s="862"/>
      <c r="DC193" s="862"/>
      <c r="DD193" s="1081"/>
      <c r="DE193" s="862"/>
      <c r="DF193" s="862"/>
      <c r="DG193" s="862"/>
      <c r="DH193" s="73">
        <f t="shared" si="491"/>
        <v>0</v>
      </c>
    </row>
    <row r="194" spans="1:118" s="37" customFormat="1" ht="24.75" customHeight="1" x14ac:dyDescent="0.2">
      <c r="A194" s="28"/>
      <c r="B194" s="755" t="s">
        <v>528</v>
      </c>
      <c r="C194" s="29"/>
      <c r="D194" s="749"/>
      <c r="E194" s="683"/>
      <c r="F194" s="30"/>
      <c r="G194" s="1174"/>
      <c r="H194" s="1136"/>
      <c r="I194" s="1136"/>
      <c r="J194" s="30"/>
      <c r="K194" s="30"/>
      <c r="L194" s="30"/>
      <c r="M194" s="30"/>
      <c r="N194" s="1127"/>
      <c r="O194" s="30"/>
      <c r="P194" s="30"/>
      <c r="Q194" s="30"/>
      <c r="R194" s="30"/>
      <c r="S194" s="30"/>
      <c r="T194" s="30"/>
      <c r="U194" s="30"/>
      <c r="V194" s="31"/>
      <c r="W194" s="690"/>
      <c r="X194" s="750"/>
      <c r="Y194" s="691"/>
      <c r="Z194" s="685"/>
      <c r="AA194" s="1229"/>
      <c r="AB194" s="1220"/>
      <c r="AC194" s="685"/>
      <c r="AD194" s="685"/>
      <c r="AE194" s="685"/>
      <c r="AF194" s="685"/>
      <c r="AG194" s="685"/>
      <c r="AH194" s="685"/>
      <c r="AI194" s="1164"/>
      <c r="AJ194" s="1164"/>
      <c r="AK194" s="1164"/>
      <c r="AL194" s="1164"/>
      <c r="AM194" s="1164"/>
      <c r="AN194" s="1164"/>
      <c r="AO194" s="685"/>
      <c r="AP194" s="1306">
        <f>SUM(X194*E194)</f>
        <v>0</v>
      </c>
      <c r="AQ194" s="692">
        <f t="shared" si="547"/>
        <v>0</v>
      </c>
      <c r="AR194" s="692">
        <f t="shared" si="548"/>
        <v>0</v>
      </c>
      <c r="AS194" s="1230">
        <f t="shared" si="549"/>
        <v>0</v>
      </c>
      <c r="AT194" s="1230">
        <f t="shared" si="550"/>
        <v>0</v>
      </c>
      <c r="AU194" s="692">
        <f t="shared" si="551"/>
        <v>0</v>
      </c>
      <c r="AV194" s="692">
        <f t="shared" si="552"/>
        <v>0</v>
      </c>
      <c r="AW194" s="692">
        <f t="shared" si="553"/>
        <v>0</v>
      </c>
      <c r="AX194" s="692">
        <f t="shared" si="554"/>
        <v>0</v>
      </c>
      <c r="AY194" s="692">
        <f t="shared" si="555"/>
        <v>0</v>
      </c>
      <c r="AZ194" s="692">
        <f t="shared" si="556"/>
        <v>0</v>
      </c>
      <c r="BA194" s="692">
        <f t="shared" si="557"/>
        <v>0</v>
      </c>
      <c r="BB194" s="692"/>
      <c r="BC194" s="692"/>
      <c r="BD194" s="692"/>
      <c r="BE194" s="692"/>
      <c r="BF194" s="692"/>
      <c r="BG194" s="692"/>
      <c r="BH194" s="693">
        <f t="shared" si="493"/>
        <v>0</v>
      </c>
      <c r="BI194" s="692">
        <f t="shared" ref="BI194:BS194" si="558">AQ194*W194</f>
        <v>0</v>
      </c>
      <c r="BJ194" s="692">
        <f t="shared" si="558"/>
        <v>0</v>
      </c>
      <c r="BK194" s="692">
        <f t="shared" si="558"/>
        <v>0</v>
      </c>
      <c r="BL194" s="692">
        <f t="shared" si="558"/>
        <v>0</v>
      </c>
      <c r="BM194" s="692">
        <f t="shared" si="558"/>
        <v>0</v>
      </c>
      <c r="BN194" s="692">
        <f t="shared" si="558"/>
        <v>0</v>
      </c>
      <c r="BO194" s="692">
        <f t="shared" si="558"/>
        <v>0</v>
      </c>
      <c r="BP194" s="692">
        <f t="shared" si="558"/>
        <v>0</v>
      </c>
      <c r="BQ194" s="692">
        <f t="shared" si="558"/>
        <v>0</v>
      </c>
      <c r="BR194" s="692">
        <f t="shared" si="558"/>
        <v>0</v>
      </c>
      <c r="BS194" s="1272">
        <f t="shared" si="558"/>
        <v>0</v>
      </c>
      <c r="BT194" s="1272"/>
      <c r="BU194" s="1272"/>
      <c r="BV194" s="1272"/>
      <c r="BW194" s="1272"/>
      <c r="BX194" s="1272"/>
      <c r="BY194" s="1272"/>
      <c r="BZ194" s="694">
        <f>BH194*4%</f>
        <v>0</v>
      </c>
      <c r="CA194" s="686">
        <f t="shared" si="496"/>
        <v>0</v>
      </c>
      <c r="CB194" s="687">
        <f t="shared" si="495"/>
        <v>0</v>
      </c>
      <c r="CC194" s="688">
        <f t="shared" si="497"/>
        <v>0</v>
      </c>
      <c r="CD194" s="630"/>
      <c r="CE194" s="1081"/>
      <c r="CF194" s="1081"/>
      <c r="CG194" s="1083"/>
      <c r="CH194" s="1084"/>
      <c r="CI194" s="862"/>
      <c r="CJ194" s="862"/>
      <c r="CK194" s="862"/>
      <c r="CL194" s="862"/>
      <c r="CM194" s="862"/>
      <c r="CN194" s="862"/>
      <c r="CO194" s="862"/>
      <c r="CP194" s="862"/>
      <c r="CQ194" s="1081">
        <f t="shared" si="462"/>
        <v>0</v>
      </c>
      <c r="CR194" s="862"/>
      <c r="CS194" s="862"/>
      <c r="CT194" s="862"/>
      <c r="CU194" s="73">
        <f t="shared" si="490"/>
        <v>0</v>
      </c>
      <c r="CV194" s="862"/>
      <c r="CW194" s="862"/>
      <c r="CX194" s="862"/>
      <c r="CY194" s="862"/>
      <c r="CZ194" s="862"/>
      <c r="DA194" s="862"/>
      <c r="DB194" s="862"/>
      <c r="DC194" s="862"/>
      <c r="DD194" s="1081"/>
      <c r="DE194" s="862"/>
      <c r="DF194" s="862"/>
      <c r="DG194" s="862"/>
      <c r="DH194" s="73">
        <f t="shared" si="491"/>
        <v>0</v>
      </c>
    </row>
    <row r="195" spans="1:118" s="37" customFormat="1" ht="24.75" customHeight="1" x14ac:dyDescent="0.2">
      <c r="A195" s="28"/>
      <c r="B195" s="756" t="s">
        <v>529</v>
      </c>
      <c r="C195" s="29" t="s">
        <v>54</v>
      </c>
      <c r="D195" s="557"/>
      <c r="E195" s="683"/>
      <c r="F195" s="30"/>
      <c r="G195" s="1172"/>
      <c r="H195" s="1136"/>
      <c r="I195" s="1136"/>
      <c r="J195" s="30"/>
      <c r="K195" s="30"/>
      <c r="L195" s="30"/>
      <c r="M195" s="30"/>
      <c r="N195" s="1127"/>
      <c r="O195" s="30"/>
      <c r="P195" s="30"/>
      <c r="Q195" s="30"/>
      <c r="R195" s="30"/>
      <c r="S195" s="30"/>
      <c r="T195" s="30"/>
      <c r="U195" s="30"/>
      <c r="V195" s="31">
        <f>SUM(E195:U195)</f>
        <v>0</v>
      </c>
      <c r="W195" s="744" t="s">
        <v>30</v>
      </c>
      <c r="X195" s="751"/>
      <c r="Y195" s="691"/>
      <c r="Z195" s="685"/>
      <c r="AA195" s="1226"/>
      <c r="AB195" s="1220"/>
      <c r="AC195" s="685"/>
      <c r="AD195" s="685"/>
      <c r="AE195" s="685"/>
      <c r="AF195" s="685"/>
      <c r="AG195" s="685"/>
      <c r="AH195" s="685"/>
      <c r="AI195" s="1164"/>
      <c r="AJ195" s="1164"/>
      <c r="AK195" s="1164"/>
      <c r="AL195" s="1164"/>
      <c r="AM195" s="1164"/>
      <c r="AN195" s="1164"/>
      <c r="AO195" s="685"/>
      <c r="AP195" s="1304">
        <f t="shared" ref="AP195:AP196" si="559">SUM(V195*X195)</f>
        <v>0</v>
      </c>
      <c r="AQ195" s="70">
        <f t="shared" si="547"/>
        <v>0</v>
      </c>
      <c r="AR195" s="70">
        <f t="shared" si="548"/>
        <v>0</v>
      </c>
      <c r="AS195" s="1128">
        <f t="shared" si="549"/>
        <v>0</v>
      </c>
      <c r="AT195" s="1128">
        <f t="shared" si="550"/>
        <v>0</v>
      </c>
      <c r="AU195" s="70">
        <f t="shared" si="551"/>
        <v>0</v>
      </c>
      <c r="AV195" s="70">
        <f t="shared" si="552"/>
        <v>0</v>
      </c>
      <c r="AW195" s="70">
        <f t="shared" si="553"/>
        <v>0</v>
      </c>
      <c r="AX195" s="70">
        <f t="shared" si="554"/>
        <v>0</v>
      </c>
      <c r="AY195" s="70">
        <f t="shared" si="555"/>
        <v>0</v>
      </c>
      <c r="AZ195" s="70">
        <f t="shared" si="556"/>
        <v>0</v>
      </c>
      <c r="BA195" s="70">
        <f t="shared" si="557"/>
        <v>0</v>
      </c>
      <c r="BB195" s="70"/>
      <c r="BC195" s="70"/>
      <c r="BD195" s="70"/>
      <c r="BE195" s="70"/>
      <c r="BF195" s="70"/>
      <c r="BG195" s="70"/>
      <c r="BH195" s="71">
        <f t="shared" si="493"/>
        <v>0</v>
      </c>
      <c r="BI195" s="70">
        <f>SUM(AQ195*14%)</f>
        <v>0</v>
      </c>
      <c r="BJ195" s="70">
        <f>SUM(AR195*14%)</f>
        <v>0</v>
      </c>
      <c r="BK195" s="70"/>
      <c r="BL195" s="70">
        <f t="shared" ref="BL195:BS196" si="560">SUM(AT195*14%)</f>
        <v>0</v>
      </c>
      <c r="BM195" s="70">
        <f t="shared" si="560"/>
        <v>0</v>
      </c>
      <c r="BN195" s="70">
        <f t="shared" si="560"/>
        <v>0</v>
      </c>
      <c r="BO195" s="70">
        <f t="shared" si="560"/>
        <v>0</v>
      </c>
      <c r="BP195" s="70">
        <f t="shared" si="560"/>
        <v>0</v>
      </c>
      <c r="BQ195" s="70">
        <f t="shared" si="560"/>
        <v>0</v>
      </c>
      <c r="BR195" s="70">
        <f t="shared" si="560"/>
        <v>0</v>
      </c>
      <c r="BS195" s="1130">
        <f t="shared" si="560"/>
        <v>0</v>
      </c>
      <c r="BT195" s="1130"/>
      <c r="BU195" s="1130"/>
      <c r="BV195" s="1130"/>
      <c r="BW195" s="1130"/>
      <c r="BX195" s="1130"/>
      <c r="BY195" s="1130"/>
      <c r="BZ195" s="72">
        <f>SUM(BI195:BY195)</f>
        <v>0</v>
      </c>
      <c r="CA195" s="686">
        <f t="shared" si="496"/>
        <v>0</v>
      </c>
      <c r="CB195" s="687">
        <f t="shared" si="495"/>
        <v>0</v>
      </c>
      <c r="CC195" s="688">
        <f t="shared" si="497"/>
        <v>0</v>
      </c>
      <c r="CD195" s="630"/>
      <c r="CE195" s="1081"/>
      <c r="CF195" s="1081"/>
      <c r="CG195" s="1083"/>
      <c r="CH195" s="1084"/>
      <c r="CI195" s="862"/>
      <c r="CJ195" s="862"/>
      <c r="CK195" s="862"/>
      <c r="CL195" s="862"/>
      <c r="CM195" s="862"/>
      <c r="CN195" s="862"/>
      <c r="CO195" s="862"/>
      <c r="CP195" s="862"/>
      <c r="CQ195" s="1081">
        <f t="shared" si="462"/>
        <v>0</v>
      </c>
      <c r="CR195" s="862"/>
      <c r="CS195" s="862"/>
      <c r="CT195" s="862"/>
      <c r="CU195" s="73">
        <f t="shared" si="490"/>
        <v>0</v>
      </c>
      <c r="CV195" s="862"/>
      <c r="CW195" s="862"/>
      <c r="CX195" s="862"/>
      <c r="CY195" s="862"/>
      <c r="CZ195" s="862"/>
      <c r="DA195" s="862"/>
      <c r="DB195" s="862"/>
      <c r="DC195" s="862"/>
      <c r="DD195" s="1081"/>
      <c r="DE195" s="862"/>
      <c r="DF195" s="862"/>
      <c r="DG195" s="862"/>
      <c r="DH195" s="73">
        <f t="shared" si="491"/>
        <v>0</v>
      </c>
    </row>
    <row r="196" spans="1:118" s="37" customFormat="1" ht="24.75" customHeight="1" thickBot="1" x14ac:dyDescent="0.25">
      <c r="A196" s="28"/>
      <c r="B196" s="756" t="s">
        <v>501</v>
      </c>
      <c r="C196" s="29" t="s">
        <v>54</v>
      </c>
      <c r="D196" s="557"/>
      <c r="E196" s="683"/>
      <c r="F196" s="30"/>
      <c r="G196" s="1172"/>
      <c r="H196" s="1136"/>
      <c r="I196" s="1136"/>
      <c r="J196" s="30"/>
      <c r="K196" s="30"/>
      <c r="L196" s="30"/>
      <c r="M196" s="30"/>
      <c r="N196" s="1127"/>
      <c r="O196" s="30"/>
      <c r="P196" s="30"/>
      <c r="Q196" s="30"/>
      <c r="R196" s="30"/>
      <c r="S196" s="30"/>
      <c r="T196" s="30"/>
      <c r="U196" s="30"/>
      <c r="V196" s="31">
        <f>SUM(E196:U196)</f>
        <v>0</v>
      </c>
      <c r="W196" s="744" t="s">
        <v>406</v>
      </c>
      <c r="X196" s="751"/>
      <c r="Y196" s="718"/>
      <c r="Z196" s="685"/>
      <c r="AA196" s="1226"/>
      <c r="AB196" s="1220"/>
      <c r="AC196" s="685"/>
      <c r="AD196" s="685"/>
      <c r="AE196" s="685"/>
      <c r="AF196" s="685"/>
      <c r="AG196" s="685"/>
      <c r="AH196" s="685"/>
      <c r="AI196" s="1164"/>
      <c r="AJ196" s="1164"/>
      <c r="AK196" s="1164"/>
      <c r="AL196" s="1164"/>
      <c r="AM196" s="1164"/>
      <c r="AN196" s="1164"/>
      <c r="AO196" s="685"/>
      <c r="AP196" s="1304">
        <f t="shared" si="559"/>
        <v>0</v>
      </c>
      <c r="AQ196" s="70">
        <f t="shared" si="547"/>
        <v>0</v>
      </c>
      <c r="AR196" s="70">
        <f t="shared" si="548"/>
        <v>0</v>
      </c>
      <c r="AS196" s="1128">
        <f t="shared" si="549"/>
        <v>0</v>
      </c>
      <c r="AT196" s="1128">
        <f t="shared" si="550"/>
        <v>0</v>
      </c>
      <c r="AU196" s="70">
        <f t="shared" si="551"/>
        <v>0</v>
      </c>
      <c r="AV196" s="70">
        <f t="shared" si="552"/>
        <v>0</v>
      </c>
      <c r="AW196" s="70">
        <f t="shared" si="553"/>
        <v>0</v>
      </c>
      <c r="AX196" s="70">
        <f t="shared" si="554"/>
        <v>0</v>
      </c>
      <c r="AY196" s="70">
        <f t="shared" si="555"/>
        <v>0</v>
      </c>
      <c r="AZ196" s="70">
        <f t="shared" si="556"/>
        <v>0</v>
      </c>
      <c r="BA196" s="70">
        <f t="shared" si="557"/>
        <v>0</v>
      </c>
      <c r="BB196" s="70"/>
      <c r="BC196" s="70"/>
      <c r="BD196" s="70"/>
      <c r="BE196" s="70"/>
      <c r="BF196" s="70"/>
      <c r="BG196" s="70"/>
      <c r="BH196" s="71">
        <f t="shared" si="493"/>
        <v>0</v>
      </c>
      <c r="BI196" s="70">
        <f>SUM(AQ196*14%)</f>
        <v>0</v>
      </c>
      <c r="BJ196" s="70"/>
      <c r="BK196" s="70">
        <f>SUM(AS196*14%)</f>
        <v>0</v>
      </c>
      <c r="BL196" s="70">
        <f t="shared" si="560"/>
        <v>0</v>
      </c>
      <c r="BM196" s="70">
        <f t="shared" si="560"/>
        <v>0</v>
      </c>
      <c r="BN196" s="70">
        <f t="shared" si="560"/>
        <v>0</v>
      </c>
      <c r="BO196" s="70">
        <f t="shared" si="560"/>
        <v>0</v>
      </c>
      <c r="BP196" s="70">
        <f t="shared" si="560"/>
        <v>0</v>
      </c>
      <c r="BQ196" s="70">
        <f t="shared" si="560"/>
        <v>0</v>
      </c>
      <c r="BR196" s="70">
        <f t="shared" si="560"/>
        <v>0</v>
      </c>
      <c r="BS196" s="1130">
        <f t="shared" si="560"/>
        <v>0</v>
      </c>
      <c r="BT196" s="1130"/>
      <c r="BU196" s="1130"/>
      <c r="BV196" s="1130"/>
      <c r="BW196" s="1130"/>
      <c r="BX196" s="1130"/>
      <c r="BY196" s="1130"/>
      <c r="BZ196" s="72">
        <f>SUM(BI196:BY196)</f>
        <v>0</v>
      </c>
      <c r="CA196" s="686">
        <f t="shared" si="496"/>
        <v>0</v>
      </c>
      <c r="CB196" s="687">
        <f t="shared" si="495"/>
        <v>0</v>
      </c>
      <c r="CC196" s="688">
        <f t="shared" si="497"/>
        <v>0</v>
      </c>
      <c r="CD196" s="630"/>
      <c r="CE196" s="1081"/>
      <c r="CF196" s="1081"/>
      <c r="CG196" s="1083"/>
      <c r="CH196" s="1084"/>
      <c r="CI196" s="862"/>
      <c r="CJ196" s="862"/>
      <c r="CK196" s="862"/>
      <c r="CL196" s="862"/>
      <c r="CM196" s="862"/>
      <c r="CN196" s="862"/>
      <c r="CO196" s="862"/>
      <c r="CP196" s="862"/>
      <c r="CQ196" s="1081">
        <f t="shared" si="462"/>
        <v>0</v>
      </c>
      <c r="CR196" s="862"/>
      <c r="CS196" s="862"/>
      <c r="CT196" s="862"/>
      <c r="CU196" s="73">
        <f t="shared" si="490"/>
        <v>0</v>
      </c>
      <c r="CV196" s="862"/>
      <c r="CW196" s="862"/>
      <c r="CX196" s="862"/>
      <c r="CY196" s="862"/>
      <c r="CZ196" s="862"/>
      <c r="DA196" s="862"/>
      <c r="DB196" s="862"/>
      <c r="DC196" s="862"/>
      <c r="DD196" s="1081"/>
      <c r="DE196" s="862"/>
      <c r="DF196" s="862"/>
      <c r="DG196" s="862"/>
      <c r="DH196" s="73">
        <f t="shared" si="491"/>
        <v>0</v>
      </c>
    </row>
    <row r="197" spans="1:118" s="38" customFormat="1" ht="24.75" customHeight="1" thickBot="1" x14ac:dyDescent="0.25">
      <c r="A197" s="577">
        <v>9</v>
      </c>
      <c r="B197" s="44" t="s">
        <v>4</v>
      </c>
      <c r="C197" s="44"/>
      <c r="D197" s="222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7"/>
      <c r="W197" s="77"/>
      <c r="X197" s="101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3">
        <f t="shared" ref="AP197:BZ197" si="561">SUM(AP167:AP196)</f>
        <v>10565000</v>
      </c>
      <c r="AQ197" s="1588">
        <f t="shared" si="561"/>
        <v>850000</v>
      </c>
      <c r="AR197" s="1588">
        <f t="shared" si="561"/>
        <v>7100000</v>
      </c>
      <c r="AS197" s="1588">
        <f>SUM(AS167:AS196)</f>
        <v>300000</v>
      </c>
      <c r="AT197" s="103">
        <f t="shared" si="561"/>
        <v>100000</v>
      </c>
      <c r="AU197" s="1588">
        <f t="shared" si="561"/>
        <v>400000</v>
      </c>
      <c r="AV197" s="103">
        <f t="shared" si="561"/>
        <v>0</v>
      </c>
      <c r="AW197" s="103">
        <f t="shared" si="561"/>
        <v>0</v>
      </c>
      <c r="AX197" s="103">
        <f t="shared" si="561"/>
        <v>0</v>
      </c>
      <c r="AY197" s="103">
        <f t="shared" si="561"/>
        <v>0</v>
      </c>
      <c r="AZ197" s="103">
        <f t="shared" si="561"/>
        <v>0</v>
      </c>
      <c r="BA197" s="103">
        <f t="shared" si="561"/>
        <v>0</v>
      </c>
      <c r="BB197" s="103"/>
      <c r="BC197" s="103"/>
      <c r="BD197" s="103"/>
      <c r="BE197" s="103"/>
      <c r="BF197" s="103"/>
      <c r="BG197" s="103"/>
      <c r="BH197" s="103">
        <f t="shared" si="561"/>
        <v>8750000</v>
      </c>
      <c r="BI197" s="103">
        <f t="shared" si="561"/>
        <v>18000</v>
      </c>
      <c r="BJ197" s="103">
        <f t="shared" si="561"/>
        <v>980000.00000000012</v>
      </c>
      <c r="BK197" s="103">
        <f t="shared" si="561"/>
        <v>0</v>
      </c>
      <c r="BL197" s="103">
        <f t="shared" si="561"/>
        <v>14000.000000000002</v>
      </c>
      <c r="BM197" s="103">
        <f t="shared" si="561"/>
        <v>56000.000000000007</v>
      </c>
      <c r="BN197" s="103">
        <f t="shared" si="561"/>
        <v>0</v>
      </c>
      <c r="BO197" s="103">
        <f t="shared" si="561"/>
        <v>0</v>
      </c>
      <c r="BP197" s="103">
        <f t="shared" si="561"/>
        <v>0</v>
      </c>
      <c r="BQ197" s="103">
        <f t="shared" si="561"/>
        <v>0</v>
      </c>
      <c r="BR197" s="103">
        <f t="shared" si="561"/>
        <v>0</v>
      </c>
      <c r="BS197" s="103">
        <f t="shared" si="561"/>
        <v>0</v>
      </c>
      <c r="BT197" s="103"/>
      <c r="BU197" s="103"/>
      <c r="BV197" s="103"/>
      <c r="BW197" s="103"/>
      <c r="BX197" s="103"/>
      <c r="BY197" s="103"/>
      <c r="BZ197" s="103">
        <f t="shared" si="561"/>
        <v>1068000.0000000002</v>
      </c>
      <c r="CA197" s="104">
        <f t="shared" si="496"/>
        <v>746999.99999999977</v>
      </c>
      <c r="CB197" s="103">
        <f>SUM(CB167:CB196)</f>
        <v>13475000</v>
      </c>
      <c r="CC197" s="103">
        <f>SUM(CC167:CC196)</f>
        <v>3727000</v>
      </c>
      <c r="CD197" s="164">
        <v>1</v>
      </c>
      <c r="CE197" s="1109"/>
      <c r="CF197" s="1109"/>
      <c r="CG197" s="1110"/>
      <c r="CH197" s="1084"/>
      <c r="CI197" s="872"/>
      <c r="CJ197" s="872"/>
      <c r="CK197" s="872"/>
      <c r="CL197" s="872"/>
      <c r="CM197" s="872"/>
      <c r="CN197" s="872"/>
      <c r="CO197" s="872"/>
      <c r="CP197" s="872"/>
      <c r="CQ197" s="1109">
        <f t="shared" si="462"/>
        <v>0</v>
      </c>
      <c r="CR197" s="872"/>
      <c r="CS197" s="872"/>
      <c r="CT197" s="872"/>
      <c r="CU197" s="1111">
        <f t="shared" si="490"/>
        <v>0</v>
      </c>
      <c r="CV197" s="872"/>
      <c r="CW197" s="872"/>
      <c r="CX197" s="872"/>
      <c r="CY197" s="872"/>
      <c r="CZ197" s="872"/>
      <c r="DA197" s="872"/>
      <c r="DB197" s="872"/>
      <c r="DC197" s="872"/>
      <c r="DD197" s="1109"/>
      <c r="DE197" s="872"/>
      <c r="DF197" s="872"/>
      <c r="DG197" s="872"/>
      <c r="DH197" s="1111">
        <f t="shared" si="491"/>
        <v>0</v>
      </c>
    </row>
    <row r="198" spans="1:118" s="20" customFormat="1" ht="24.75" customHeight="1" x14ac:dyDescent="0.2">
      <c r="A198" s="50"/>
      <c r="D198" s="223"/>
      <c r="E198" s="50"/>
      <c r="F198" s="50"/>
      <c r="G198" s="50"/>
      <c r="H198" s="50"/>
      <c r="I198" s="50"/>
      <c r="J198" s="50"/>
      <c r="K198" s="50"/>
      <c r="L198" s="50"/>
      <c r="M198" s="50"/>
      <c r="N198" s="165"/>
      <c r="O198" s="50"/>
      <c r="P198" s="50"/>
      <c r="Q198" s="50"/>
      <c r="R198" s="50"/>
      <c r="S198" s="50"/>
      <c r="T198" s="50"/>
      <c r="U198" s="50"/>
      <c r="V198" s="50"/>
      <c r="W198" s="50"/>
      <c r="AI198" s="40"/>
      <c r="AJ198" s="40"/>
      <c r="AK198" s="40"/>
      <c r="AL198" s="40"/>
      <c r="AM198" s="40"/>
      <c r="AN198" s="40"/>
      <c r="AO198" s="40"/>
      <c r="BH198" s="51"/>
      <c r="BS198" s="40"/>
      <c r="BT198" s="40"/>
      <c r="BU198" s="40"/>
      <c r="BV198" s="40"/>
      <c r="BW198" s="40"/>
      <c r="BX198" s="40"/>
      <c r="BY198" s="40"/>
      <c r="BZ198" s="52">
        <f>SUM(BH197+BZ197)</f>
        <v>9818000</v>
      </c>
      <c r="CA198" s="53">
        <f>AP197-BH197-BZ197</f>
        <v>746999.99999999977</v>
      </c>
      <c r="CB198" s="54">
        <f>SUM(CC197+BH197+BZ197-BZ175)</f>
        <v>13475000</v>
      </c>
      <c r="CC198" s="55">
        <f>SUM(CA197)</f>
        <v>746999.99999999977</v>
      </c>
      <c r="CD198" s="40" t="s">
        <v>38</v>
      </c>
      <c r="CE198" s="1115"/>
      <c r="CF198" s="1115"/>
      <c r="CG198" s="1116"/>
      <c r="CH198" s="1117"/>
      <c r="CI198" s="1113"/>
      <c r="CJ198" s="1113"/>
      <c r="CK198" s="1113"/>
      <c r="CL198" s="1113"/>
      <c r="CM198" s="1113"/>
      <c r="CN198" s="1113"/>
      <c r="CO198" s="1113"/>
      <c r="CP198" s="1113"/>
      <c r="CQ198" s="1112"/>
      <c r="CR198" s="1113"/>
      <c r="CS198" s="1113"/>
      <c r="CT198" s="1113"/>
      <c r="CU198" s="1114"/>
      <c r="CV198" s="1113"/>
      <c r="CW198" s="1113"/>
      <c r="CX198" s="1113"/>
      <c r="CY198" s="1113"/>
      <c r="CZ198" s="1113"/>
      <c r="DA198" s="1113"/>
      <c r="DB198" s="1113"/>
      <c r="DC198" s="1113"/>
      <c r="DD198" s="1112"/>
      <c r="DE198" s="1113"/>
      <c r="DF198" s="1113"/>
      <c r="DG198" s="1113"/>
      <c r="DH198" s="1114"/>
    </row>
    <row r="199" spans="1:118" s="20" customFormat="1" ht="24.75" customHeight="1" x14ac:dyDescent="0.2">
      <c r="A199" s="50"/>
      <c r="D199" s="223"/>
      <c r="E199" s="50"/>
      <c r="F199" s="50"/>
      <c r="G199" s="50"/>
      <c r="H199" s="50"/>
      <c r="I199" s="50"/>
      <c r="J199" s="50"/>
      <c r="K199" s="50"/>
      <c r="L199" s="50"/>
      <c r="M199" s="50"/>
      <c r="N199" s="165"/>
      <c r="O199" s="50"/>
      <c r="P199" s="50"/>
      <c r="Q199" s="50"/>
      <c r="R199" s="50"/>
      <c r="S199" s="50"/>
      <c r="T199" s="50"/>
      <c r="U199" s="50"/>
      <c r="V199" s="50"/>
      <c r="W199" s="50"/>
      <c r="AI199" s="40"/>
      <c r="AJ199" s="40"/>
      <c r="AK199" s="40"/>
      <c r="AL199" s="40"/>
      <c r="AM199" s="40"/>
      <c r="AN199" s="40"/>
      <c r="AO199" s="40"/>
      <c r="BH199" s="40"/>
      <c r="BI199" s="123">
        <f t="shared" ref="BI199:BS199" si="562">SUM(AQ197+BI197)</f>
        <v>868000</v>
      </c>
      <c r="BJ199" s="123">
        <f t="shared" si="562"/>
        <v>8080000</v>
      </c>
      <c r="BK199" s="123">
        <f t="shared" si="562"/>
        <v>300000</v>
      </c>
      <c r="BL199" s="123">
        <f t="shared" si="562"/>
        <v>114000</v>
      </c>
      <c r="BM199" s="123">
        <f t="shared" si="562"/>
        <v>456000</v>
      </c>
      <c r="BN199" s="123">
        <f t="shared" si="562"/>
        <v>0</v>
      </c>
      <c r="BO199" s="123">
        <f t="shared" si="562"/>
        <v>0</v>
      </c>
      <c r="BP199" s="123">
        <f t="shared" si="562"/>
        <v>0</v>
      </c>
      <c r="BQ199" s="123">
        <f t="shared" si="562"/>
        <v>0</v>
      </c>
      <c r="BR199" s="123">
        <f t="shared" si="562"/>
        <v>0</v>
      </c>
      <c r="BS199" s="123">
        <f t="shared" si="562"/>
        <v>0</v>
      </c>
      <c r="BT199" s="123"/>
      <c r="BU199" s="123"/>
      <c r="BV199" s="123"/>
      <c r="BW199" s="123"/>
      <c r="BX199" s="123"/>
      <c r="BY199" s="123"/>
      <c r="BZ199" s="123">
        <f>SUM(BI199:BY199)</f>
        <v>9818000</v>
      </c>
      <c r="CA199" s="40"/>
      <c r="CB199" s="56">
        <f>SUM(CB197-CB198)</f>
        <v>0</v>
      </c>
      <c r="CC199" s="57">
        <f>SUM(CC197-CC198)</f>
        <v>2980000</v>
      </c>
      <c r="CD199" s="40" t="s">
        <v>37</v>
      </c>
      <c r="CE199" s="171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</row>
    <row r="200" spans="1:118" s="20" customFormat="1" ht="24.75" customHeight="1" x14ac:dyDescent="0.2">
      <c r="A200" s="1730" t="s">
        <v>8</v>
      </c>
      <c r="B200" s="1731"/>
      <c r="C200" s="124" t="s">
        <v>535</v>
      </c>
      <c r="D200" s="136"/>
      <c r="E200" s="23"/>
      <c r="F200" s="23"/>
      <c r="G200" s="23"/>
      <c r="H200" s="23"/>
      <c r="I200" s="23"/>
      <c r="J200" s="23"/>
      <c r="K200" s="23"/>
      <c r="L200" s="23"/>
      <c r="M200" s="23"/>
      <c r="N200" s="1090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7"/>
      <c r="AJ200" s="137"/>
      <c r="AK200" s="137"/>
      <c r="AL200" s="137"/>
      <c r="AM200" s="137"/>
      <c r="AN200" s="137"/>
      <c r="AO200" s="137"/>
      <c r="AP200" s="23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8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7"/>
      <c r="BT200" s="137"/>
      <c r="BU200" s="137"/>
      <c r="BV200" s="137"/>
      <c r="BW200" s="137"/>
      <c r="BX200" s="137"/>
      <c r="BY200" s="137"/>
      <c r="BZ200" s="138"/>
      <c r="CA200" s="138"/>
      <c r="CB200" s="135"/>
      <c r="CC200" s="139"/>
      <c r="CD200" s="23"/>
      <c r="CE200" s="169"/>
      <c r="CF200" s="1373">
        <v>3727000</v>
      </c>
      <c r="CG200" s="136"/>
      <c r="CH200" s="136"/>
      <c r="CI200" s="136"/>
      <c r="CJ200" s="137"/>
      <c r="CK200" s="136"/>
      <c r="CL200" s="136"/>
      <c r="CM200" s="136"/>
      <c r="CN200" s="136"/>
      <c r="CO200" s="136"/>
      <c r="CP200" s="138"/>
      <c r="CQ200" s="138"/>
      <c r="CR200" s="138"/>
      <c r="CS200" s="135"/>
      <c r="CT200" s="139"/>
      <c r="CU200" s="138"/>
      <c r="CV200" s="138"/>
      <c r="CW200" s="24"/>
      <c r="CX200" s="24"/>
      <c r="CY200" s="24"/>
      <c r="CZ200" s="24"/>
      <c r="DA200" s="24"/>
      <c r="DB200" s="140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</row>
    <row r="201" spans="1:118" s="8" customFormat="1" ht="48.75" customHeight="1" x14ac:dyDescent="0.2">
      <c r="A201" s="1703" t="s">
        <v>10</v>
      </c>
      <c r="B201" s="1706" t="s">
        <v>11</v>
      </c>
      <c r="C201" s="1706" t="s">
        <v>22</v>
      </c>
      <c r="D201" s="1721" t="s">
        <v>12</v>
      </c>
      <c r="E201" s="1721"/>
      <c r="F201" s="1721"/>
      <c r="G201" s="1721"/>
      <c r="H201" s="1721"/>
      <c r="I201" s="1721"/>
      <c r="J201" s="1721"/>
      <c r="K201" s="1721"/>
      <c r="L201" s="1721"/>
      <c r="M201" s="1721"/>
      <c r="N201" s="1721"/>
      <c r="O201" s="1721"/>
      <c r="P201" s="1721"/>
      <c r="Q201" s="1721"/>
      <c r="R201" s="1721"/>
      <c r="S201" s="1721"/>
      <c r="T201" s="1721"/>
      <c r="U201" s="1721"/>
      <c r="V201" s="1721"/>
      <c r="W201" s="1706" t="s">
        <v>20</v>
      </c>
      <c r="X201" s="1717" t="s">
        <v>17</v>
      </c>
      <c r="Y201" s="1718"/>
      <c r="Z201" s="1718"/>
      <c r="AA201" s="1718"/>
      <c r="AB201" s="1718"/>
      <c r="AC201" s="1718"/>
      <c r="AD201" s="1718"/>
      <c r="AE201" s="1718"/>
      <c r="AF201" s="1718"/>
      <c r="AG201" s="1718"/>
      <c r="AH201" s="1718"/>
      <c r="AI201" s="1718"/>
      <c r="AJ201" s="1718"/>
      <c r="AK201" s="1718"/>
      <c r="AL201" s="1718"/>
      <c r="AM201" s="1718"/>
      <c r="AN201" s="1718"/>
      <c r="AO201" s="1719"/>
      <c r="AP201" s="1720" t="s">
        <v>6</v>
      </c>
      <c r="AQ201" s="1720"/>
      <c r="AR201" s="1720"/>
      <c r="AS201" s="1720"/>
      <c r="AT201" s="1720"/>
      <c r="AU201" s="1720"/>
      <c r="AV201" s="1720"/>
      <c r="AW201" s="1720"/>
      <c r="AX201" s="1720"/>
      <c r="AY201" s="1720"/>
      <c r="AZ201" s="1720"/>
      <c r="BA201" s="1720"/>
      <c r="BB201" s="1720"/>
      <c r="BC201" s="1720"/>
      <c r="BD201" s="1720"/>
      <c r="BE201" s="1720"/>
      <c r="BF201" s="1720"/>
      <c r="BG201" s="1720"/>
      <c r="BH201" s="1720"/>
      <c r="BI201" s="1722" t="s">
        <v>41</v>
      </c>
      <c r="BJ201" s="1723"/>
      <c r="BK201" s="1723"/>
      <c r="BL201" s="1723"/>
      <c r="BM201" s="1723"/>
      <c r="BN201" s="1723"/>
      <c r="BO201" s="1723"/>
      <c r="BP201" s="1723"/>
      <c r="BQ201" s="1723"/>
      <c r="BR201" s="1723"/>
      <c r="BS201" s="1723"/>
      <c r="BT201" s="1723"/>
      <c r="BU201" s="1723"/>
      <c r="BV201" s="1723"/>
      <c r="BW201" s="1723"/>
      <c r="BX201" s="1723"/>
      <c r="BY201" s="1723"/>
      <c r="BZ201" s="1724"/>
      <c r="CA201" s="1706" t="s">
        <v>38</v>
      </c>
      <c r="CB201" s="1706" t="s">
        <v>256</v>
      </c>
      <c r="CC201" s="1794" t="s">
        <v>39</v>
      </c>
      <c r="CD201" s="135"/>
      <c r="CE201" s="135"/>
      <c r="CF201" s="1284">
        <f>CC197-CF200</f>
        <v>0</v>
      </c>
      <c r="CG201" s="135"/>
      <c r="CH201" s="135"/>
      <c r="CI201" s="1733" t="s">
        <v>41</v>
      </c>
      <c r="CJ201" s="1734"/>
      <c r="CK201" s="1734"/>
      <c r="CL201" s="1734"/>
      <c r="CM201" s="1734"/>
      <c r="CN201" s="1734"/>
      <c r="CO201" s="1734"/>
      <c r="CP201" s="1734"/>
      <c r="CQ201" s="1734"/>
      <c r="CR201" s="1734"/>
      <c r="CS201" s="1734"/>
      <c r="CT201" s="1734"/>
      <c r="CU201" s="1734"/>
      <c r="CV201" s="1734"/>
      <c r="CW201" s="1734"/>
      <c r="CX201" s="1734"/>
      <c r="CY201" s="1734"/>
      <c r="CZ201" s="1734"/>
      <c r="DA201" s="1734"/>
      <c r="DB201" s="1734"/>
      <c r="DC201" s="1734"/>
      <c r="DD201" s="1734"/>
      <c r="DE201" s="1734"/>
      <c r="DF201" s="1734"/>
      <c r="DG201" s="1734"/>
      <c r="DH201" s="1735"/>
    </row>
    <row r="202" spans="1:118" s="8" customFormat="1" ht="48.75" customHeight="1" x14ac:dyDescent="0.2">
      <c r="A202" s="1704"/>
      <c r="B202" s="1707"/>
      <c r="C202" s="1707"/>
      <c r="D202" s="1712" t="s">
        <v>18</v>
      </c>
      <c r="E202" s="1714" t="s">
        <v>19</v>
      </c>
      <c r="F202" s="1715"/>
      <c r="G202" s="1715"/>
      <c r="H202" s="1715"/>
      <c r="I202" s="1715"/>
      <c r="J202" s="1715"/>
      <c r="K202" s="1715"/>
      <c r="L202" s="1715"/>
      <c r="M202" s="1715"/>
      <c r="N202" s="1715"/>
      <c r="O202" s="1715"/>
      <c r="P202" s="1715"/>
      <c r="Q202" s="1715"/>
      <c r="R202" s="1715"/>
      <c r="S202" s="1715"/>
      <c r="T202" s="1715"/>
      <c r="U202" s="1715"/>
      <c r="V202" s="1715"/>
      <c r="W202" s="1707"/>
      <c r="X202" s="1712" t="s">
        <v>18</v>
      </c>
      <c r="Y202" s="1714" t="s">
        <v>19</v>
      </c>
      <c r="Z202" s="1715"/>
      <c r="AA202" s="1715"/>
      <c r="AB202" s="1715"/>
      <c r="AC202" s="1715"/>
      <c r="AD202" s="1715"/>
      <c r="AE202" s="1715"/>
      <c r="AF202" s="1715"/>
      <c r="AG202" s="1715"/>
      <c r="AH202" s="1715"/>
      <c r="AI202" s="1715"/>
      <c r="AJ202" s="1715"/>
      <c r="AK202" s="1715"/>
      <c r="AL202" s="1715"/>
      <c r="AM202" s="1715"/>
      <c r="AN202" s="1715"/>
      <c r="AO202" s="1716"/>
      <c r="AP202" s="1712" t="s">
        <v>18</v>
      </c>
      <c r="AQ202" s="1714" t="s">
        <v>19</v>
      </c>
      <c r="AR202" s="1715"/>
      <c r="AS202" s="1715"/>
      <c r="AT202" s="1715"/>
      <c r="AU202" s="1715"/>
      <c r="AV202" s="1715"/>
      <c r="AW202" s="1715"/>
      <c r="AX202" s="1715"/>
      <c r="AY202" s="1715"/>
      <c r="AZ202" s="1715"/>
      <c r="BA202" s="1715"/>
      <c r="BB202" s="1715"/>
      <c r="BC202" s="1715"/>
      <c r="BD202" s="1715"/>
      <c r="BE202" s="1715"/>
      <c r="BF202" s="1715"/>
      <c r="BG202" s="1715"/>
      <c r="BH202" s="1716"/>
      <c r="BI202" s="1725"/>
      <c r="BJ202" s="1726"/>
      <c r="BK202" s="1726"/>
      <c r="BL202" s="1726"/>
      <c r="BM202" s="1726"/>
      <c r="BN202" s="1726"/>
      <c r="BO202" s="1726"/>
      <c r="BP202" s="1726"/>
      <c r="BQ202" s="1726"/>
      <c r="BR202" s="1726"/>
      <c r="BS202" s="1726"/>
      <c r="BT202" s="1726"/>
      <c r="BU202" s="1726"/>
      <c r="BV202" s="1726"/>
      <c r="BW202" s="1726"/>
      <c r="BX202" s="1726"/>
      <c r="BY202" s="1726"/>
      <c r="BZ202" s="1727"/>
      <c r="CA202" s="1707"/>
      <c r="CB202" s="1707"/>
      <c r="CC202" s="1795"/>
      <c r="CD202" s="135"/>
      <c r="CE202" s="1736">
        <f>SUM(CE204/60)</f>
        <v>0</v>
      </c>
      <c r="CF202" s="1736"/>
      <c r="CG202" s="1736"/>
      <c r="CH202" s="23"/>
      <c r="CI202" s="1737" t="s">
        <v>686</v>
      </c>
      <c r="CJ202" s="1738"/>
      <c r="CK202" s="1738"/>
      <c r="CL202" s="1738"/>
      <c r="CM202" s="1738"/>
      <c r="CN202" s="1738"/>
      <c r="CO202" s="1738"/>
      <c r="CP202" s="1738"/>
      <c r="CQ202" s="1738"/>
      <c r="CR202" s="1738"/>
      <c r="CS202" s="1738"/>
      <c r="CT202" s="1738"/>
      <c r="CU202" s="1739"/>
      <c r="CV202" s="1740" t="s">
        <v>687</v>
      </c>
      <c r="CW202" s="1741"/>
      <c r="CX202" s="1741"/>
      <c r="CY202" s="1741"/>
      <c r="CZ202" s="1741"/>
      <c r="DA202" s="1741"/>
      <c r="DB202" s="1741"/>
      <c r="DC202" s="1741"/>
      <c r="DD202" s="1741"/>
      <c r="DE202" s="1741"/>
      <c r="DF202" s="1741"/>
      <c r="DG202" s="1741"/>
      <c r="DH202" s="1742"/>
    </row>
    <row r="203" spans="1:118" s="6" customFormat="1" ht="28.5" customHeight="1" x14ac:dyDescent="0.2">
      <c r="A203" s="1704"/>
      <c r="B203" s="1707"/>
      <c r="C203" s="1707"/>
      <c r="D203" s="1784"/>
      <c r="E203" s="26">
        <v>1</v>
      </c>
      <c r="F203" s="26">
        <v>2</v>
      </c>
      <c r="G203" s="26">
        <v>3</v>
      </c>
      <c r="H203" s="26">
        <v>4</v>
      </c>
      <c r="I203" s="26">
        <v>5</v>
      </c>
      <c r="J203" s="26">
        <v>6</v>
      </c>
      <c r="K203" s="26">
        <v>7</v>
      </c>
      <c r="L203" s="26">
        <v>8</v>
      </c>
      <c r="M203" s="26">
        <v>9</v>
      </c>
      <c r="N203" s="26">
        <v>10</v>
      </c>
      <c r="O203" s="26">
        <v>11</v>
      </c>
      <c r="P203" s="26">
        <v>12</v>
      </c>
      <c r="Q203" s="26">
        <v>13</v>
      </c>
      <c r="R203" s="26">
        <v>14</v>
      </c>
      <c r="S203" s="26">
        <v>15</v>
      </c>
      <c r="T203" s="26">
        <v>16</v>
      </c>
      <c r="U203" s="26">
        <v>17</v>
      </c>
      <c r="V203" s="26" t="s">
        <v>21</v>
      </c>
      <c r="W203" s="1707"/>
      <c r="X203" s="1784"/>
      <c r="Y203" s="26">
        <v>1</v>
      </c>
      <c r="Z203" s="26">
        <v>2</v>
      </c>
      <c r="AA203" s="26">
        <v>3</v>
      </c>
      <c r="AB203" s="26">
        <v>4</v>
      </c>
      <c r="AC203" s="26">
        <v>5</v>
      </c>
      <c r="AD203" s="26">
        <v>6</v>
      </c>
      <c r="AE203" s="26">
        <v>7</v>
      </c>
      <c r="AF203" s="26">
        <v>8</v>
      </c>
      <c r="AG203" s="26">
        <v>9</v>
      </c>
      <c r="AH203" s="26">
        <v>10</v>
      </c>
      <c r="AI203" s="26">
        <v>11</v>
      </c>
      <c r="AJ203" s="26">
        <v>12</v>
      </c>
      <c r="AK203" s="26">
        <v>13</v>
      </c>
      <c r="AL203" s="26">
        <v>14</v>
      </c>
      <c r="AM203" s="26">
        <v>15</v>
      </c>
      <c r="AN203" s="26">
        <v>16</v>
      </c>
      <c r="AO203" s="26">
        <v>17</v>
      </c>
      <c r="AP203" s="1784"/>
      <c r="AQ203" s="26">
        <v>1</v>
      </c>
      <c r="AR203" s="26">
        <v>2</v>
      </c>
      <c r="AS203" s="26">
        <v>3</v>
      </c>
      <c r="AT203" s="26">
        <v>4</v>
      </c>
      <c r="AU203" s="26">
        <v>5</v>
      </c>
      <c r="AV203" s="26">
        <v>6</v>
      </c>
      <c r="AW203" s="26">
        <v>7</v>
      </c>
      <c r="AX203" s="26">
        <v>8</v>
      </c>
      <c r="AY203" s="26">
        <v>9</v>
      </c>
      <c r="AZ203" s="26">
        <v>10</v>
      </c>
      <c r="BA203" s="26">
        <v>11</v>
      </c>
      <c r="BB203" s="26">
        <v>12</v>
      </c>
      <c r="BC203" s="26">
        <v>13</v>
      </c>
      <c r="BD203" s="26">
        <v>14</v>
      </c>
      <c r="BE203" s="26">
        <v>15</v>
      </c>
      <c r="BF203" s="26">
        <v>16</v>
      </c>
      <c r="BG203" s="26">
        <v>17</v>
      </c>
      <c r="BH203" s="26" t="s">
        <v>13</v>
      </c>
      <c r="BI203" s="173">
        <v>1</v>
      </c>
      <c r="BJ203" s="173">
        <v>2</v>
      </c>
      <c r="BK203" s="173">
        <v>3</v>
      </c>
      <c r="BL203" s="173">
        <v>4</v>
      </c>
      <c r="BM203" s="173">
        <v>5</v>
      </c>
      <c r="BN203" s="173">
        <v>6</v>
      </c>
      <c r="BO203" s="173">
        <v>7</v>
      </c>
      <c r="BP203" s="173">
        <v>8</v>
      </c>
      <c r="BQ203" s="173">
        <v>9</v>
      </c>
      <c r="BR203" s="173">
        <v>10</v>
      </c>
      <c r="BS203" s="173">
        <v>11</v>
      </c>
      <c r="BT203" s="173">
        <v>12</v>
      </c>
      <c r="BU203" s="173">
        <v>13</v>
      </c>
      <c r="BV203" s="173">
        <v>14</v>
      </c>
      <c r="BW203" s="173">
        <v>15</v>
      </c>
      <c r="BX203" s="173">
        <v>16</v>
      </c>
      <c r="BY203" s="173">
        <v>17</v>
      </c>
      <c r="BZ203" s="26" t="s">
        <v>13</v>
      </c>
      <c r="CA203" s="1707"/>
      <c r="CB203" s="1707"/>
      <c r="CC203" s="1795"/>
      <c r="CD203" s="7"/>
      <c r="CE203" s="1743" t="s">
        <v>19</v>
      </c>
      <c r="CF203" s="1744"/>
      <c r="CG203" s="1745"/>
      <c r="CH203" s="621"/>
      <c r="CI203" s="173">
        <v>1</v>
      </c>
      <c r="CJ203" s="173">
        <v>2</v>
      </c>
      <c r="CK203" s="173">
        <v>3</v>
      </c>
      <c r="CL203" s="173">
        <v>4</v>
      </c>
      <c r="CM203" s="173">
        <v>5</v>
      </c>
      <c r="CN203" s="173">
        <v>6</v>
      </c>
      <c r="CO203" s="173">
        <v>7</v>
      </c>
      <c r="CP203" s="173">
        <v>8</v>
      </c>
      <c r="CQ203" s="173">
        <v>9</v>
      </c>
      <c r="CR203" s="173">
        <v>10</v>
      </c>
      <c r="CS203" s="173">
        <v>11</v>
      </c>
      <c r="CT203" s="173">
        <v>12</v>
      </c>
      <c r="CU203" s="26" t="s">
        <v>13</v>
      </c>
      <c r="CV203" s="173">
        <v>1</v>
      </c>
      <c r="CW203" s="173">
        <v>2</v>
      </c>
      <c r="CX203" s="173">
        <v>3</v>
      </c>
      <c r="CY203" s="173">
        <v>4</v>
      </c>
      <c r="CZ203" s="173">
        <v>5</v>
      </c>
      <c r="DA203" s="173">
        <v>6</v>
      </c>
      <c r="DB203" s="173">
        <v>7</v>
      </c>
      <c r="DC203" s="173">
        <v>8</v>
      </c>
      <c r="DD203" s="173">
        <v>9</v>
      </c>
      <c r="DE203" s="173">
        <v>10</v>
      </c>
      <c r="DF203" s="173">
        <v>11</v>
      </c>
      <c r="DG203" s="173">
        <v>12</v>
      </c>
      <c r="DH203" s="26" t="s">
        <v>13</v>
      </c>
    </row>
    <row r="204" spans="1:118" s="92" customFormat="1" ht="24.75" customHeight="1" thickBot="1" x14ac:dyDescent="0.25">
      <c r="A204" s="85"/>
      <c r="B204" s="386" t="s">
        <v>534</v>
      </c>
      <c r="C204" s="86" t="s">
        <v>128</v>
      </c>
      <c r="D204" s="82">
        <v>2</v>
      </c>
      <c r="E204" s="87">
        <v>2</v>
      </c>
      <c r="F204" s="87"/>
      <c r="G204" s="88"/>
      <c r="H204" s="88"/>
      <c r="I204" s="88"/>
      <c r="J204" s="88"/>
      <c r="K204" s="88"/>
      <c r="L204" s="88"/>
      <c r="M204" s="88"/>
      <c r="N204" s="1127"/>
      <c r="O204" s="88"/>
      <c r="P204" s="88"/>
      <c r="Q204" s="88"/>
      <c r="R204" s="88"/>
      <c r="S204" s="88"/>
      <c r="T204" s="88"/>
      <c r="U204" s="88"/>
      <c r="V204" s="89">
        <f>SUM(E204:U204)</f>
        <v>2</v>
      </c>
      <c r="W204" s="183" t="s">
        <v>68</v>
      </c>
      <c r="X204" s="758">
        <v>5000000</v>
      </c>
      <c r="Y204" s="758">
        <v>5000000</v>
      </c>
      <c r="Z204" s="156"/>
      <c r="AA204" s="94"/>
      <c r="AB204" s="94"/>
      <c r="AC204" s="94"/>
      <c r="AD204" s="94"/>
      <c r="AE204" s="94"/>
      <c r="AF204" s="94"/>
      <c r="AG204" s="94"/>
      <c r="AH204" s="94"/>
      <c r="AI204" s="1164"/>
      <c r="AJ204" s="1164"/>
      <c r="AK204" s="1164"/>
      <c r="AL204" s="1164"/>
      <c r="AM204" s="1164"/>
      <c r="AN204" s="1164"/>
      <c r="AO204" s="94"/>
      <c r="AP204" s="1308">
        <f t="shared" ref="AP204" si="563">SUM(V204*X204)</f>
        <v>10000000</v>
      </c>
      <c r="AQ204" s="70">
        <f t="shared" ref="AQ204" si="564">Y204*E204</f>
        <v>10000000</v>
      </c>
      <c r="AR204" s="70">
        <f t="shared" ref="AR204" si="565">Z204*F204</f>
        <v>0</v>
      </c>
      <c r="AS204" s="70">
        <f t="shared" ref="AS204" si="566">AA204*G204</f>
        <v>0</v>
      </c>
      <c r="AT204" s="70">
        <f t="shared" ref="AT204" si="567">AB204*H204</f>
        <v>0</v>
      </c>
      <c r="AU204" s="70">
        <f t="shared" ref="AU204" si="568">AC204*I204</f>
        <v>0</v>
      </c>
      <c r="AV204" s="70">
        <f t="shared" ref="AV204" si="569">AD204*J204</f>
        <v>0</v>
      </c>
      <c r="AW204" s="70">
        <f t="shared" ref="AW204" si="570">AE204*K204</f>
        <v>0</v>
      </c>
      <c r="AX204" s="70">
        <f t="shared" ref="AX204" si="571">AF204*L204</f>
        <v>0</v>
      </c>
      <c r="AY204" s="70">
        <f t="shared" ref="AY204" si="572">AG204*M204</f>
        <v>0</v>
      </c>
      <c r="AZ204" s="70">
        <f t="shared" ref="AZ204" si="573">AH204*N204</f>
        <v>0</v>
      </c>
      <c r="BA204" s="70">
        <f t="shared" ref="BA204" si="574">AI204*O204</f>
        <v>0</v>
      </c>
      <c r="BB204" s="70"/>
      <c r="BC204" s="70"/>
      <c r="BD204" s="70"/>
      <c r="BE204" s="70"/>
      <c r="BF204" s="70"/>
      <c r="BG204" s="70"/>
      <c r="BH204" s="71">
        <f>SUM(AQ204:BG204)</f>
        <v>10000000</v>
      </c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1130"/>
      <c r="BT204" s="1130"/>
      <c r="BU204" s="1130"/>
      <c r="BV204" s="1130"/>
      <c r="BW204" s="1130"/>
      <c r="BX204" s="1130"/>
      <c r="BY204" s="1130"/>
      <c r="BZ204" s="72">
        <f>SUM(BI204:BY204)</f>
        <v>0</v>
      </c>
      <c r="CA204" s="98">
        <f>AP204-BH204-BZ204</f>
        <v>0</v>
      </c>
      <c r="CB204" s="99">
        <f>X204*D204</f>
        <v>10000000</v>
      </c>
      <c r="CC204" s="100">
        <f>CB204-BH204-BZ204</f>
        <v>0</v>
      </c>
      <c r="CD204" s="163">
        <f>SUM(V204/D204)</f>
        <v>1</v>
      </c>
      <c r="CE204" s="1081"/>
      <c r="CF204" s="1081"/>
      <c r="CG204" s="1083"/>
      <c r="CH204" s="1084"/>
      <c r="CI204" s="862"/>
      <c r="CJ204" s="862"/>
      <c r="CK204" s="862"/>
      <c r="CL204" s="862"/>
      <c r="CM204" s="862"/>
      <c r="CN204" s="862"/>
      <c r="CO204" s="862"/>
      <c r="CP204" s="862"/>
      <c r="CQ204" s="1081">
        <f>SUM(AX204*12.5%)</f>
        <v>0</v>
      </c>
      <c r="CR204" s="862"/>
      <c r="CS204" s="862"/>
      <c r="CT204" s="862"/>
      <c r="CU204" s="73">
        <f t="shared" ref="CU204" si="575">SUM(CI204:CT204)</f>
        <v>0</v>
      </c>
      <c r="CV204" s="862"/>
      <c r="CW204" s="862"/>
      <c r="CX204" s="862"/>
      <c r="CY204" s="862"/>
      <c r="CZ204" s="862"/>
      <c r="DA204" s="862"/>
      <c r="DB204" s="862"/>
      <c r="DC204" s="862"/>
      <c r="DD204" s="1081"/>
      <c r="DE204" s="862"/>
      <c r="DF204" s="862"/>
      <c r="DG204" s="862"/>
      <c r="DH204" s="73">
        <f t="shared" ref="DH204:DH205" si="576">SUM(CV204:DG204)</f>
        <v>0</v>
      </c>
    </row>
    <row r="205" spans="1:118" s="38" customFormat="1" ht="24.75" customHeight="1" thickBot="1" x14ac:dyDescent="0.25">
      <c r="A205" s="577">
        <v>10</v>
      </c>
      <c r="B205" s="44" t="s">
        <v>4</v>
      </c>
      <c r="C205" s="44"/>
      <c r="D205" s="222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7"/>
      <c r="W205" s="77"/>
      <c r="X205" s="101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3">
        <f t="shared" ref="AP205:CC205" si="577">SUM(AP204:AP204)</f>
        <v>10000000</v>
      </c>
      <c r="AQ205" s="1588">
        <f t="shared" si="577"/>
        <v>10000000</v>
      </c>
      <c r="AR205" s="103">
        <f t="shared" si="577"/>
        <v>0</v>
      </c>
      <c r="AS205" s="103">
        <f t="shared" si="577"/>
        <v>0</v>
      </c>
      <c r="AT205" s="103">
        <f t="shared" si="577"/>
        <v>0</v>
      </c>
      <c r="AU205" s="103">
        <f t="shared" si="577"/>
        <v>0</v>
      </c>
      <c r="AV205" s="103">
        <f t="shared" si="577"/>
        <v>0</v>
      </c>
      <c r="AW205" s="103">
        <f t="shared" si="577"/>
        <v>0</v>
      </c>
      <c r="AX205" s="103">
        <f t="shared" si="577"/>
        <v>0</v>
      </c>
      <c r="AY205" s="103">
        <f t="shared" si="577"/>
        <v>0</v>
      </c>
      <c r="AZ205" s="103">
        <f t="shared" si="577"/>
        <v>0</v>
      </c>
      <c r="BA205" s="103">
        <f t="shared" si="577"/>
        <v>0</v>
      </c>
      <c r="BB205" s="103"/>
      <c r="BC205" s="103"/>
      <c r="BD205" s="103"/>
      <c r="BE205" s="103"/>
      <c r="BF205" s="103"/>
      <c r="BG205" s="103"/>
      <c r="BH205" s="103">
        <f t="shared" si="577"/>
        <v>10000000</v>
      </c>
      <c r="BI205" s="103">
        <f t="shared" si="577"/>
        <v>0</v>
      </c>
      <c r="BJ205" s="103">
        <f t="shared" si="577"/>
        <v>0</v>
      </c>
      <c r="BK205" s="103">
        <f t="shared" si="577"/>
        <v>0</v>
      </c>
      <c r="BL205" s="103">
        <f t="shared" si="577"/>
        <v>0</v>
      </c>
      <c r="BM205" s="103">
        <f t="shared" si="577"/>
        <v>0</v>
      </c>
      <c r="BN205" s="103">
        <f t="shared" si="577"/>
        <v>0</v>
      </c>
      <c r="BO205" s="103">
        <f t="shared" si="577"/>
        <v>0</v>
      </c>
      <c r="BP205" s="103">
        <f t="shared" si="577"/>
        <v>0</v>
      </c>
      <c r="BQ205" s="103">
        <f t="shared" si="577"/>
        <v>0</v>
      </c>
      <c r="BR205" s="103">
        <f t="shared" si="577"/>
        <v>0</v>
      </c>
      <c r="BS205" s="103">
        <f t="shared" si="577"/>
        <v>0</v>
      </c>
      <c r="BT205" s="103"/>
      <c r="BU205" s="103"/>
      <c r="BV205" s="103"/>
      <c r="BW205" s="103"/>
      <c r="BX205" s="103"/>
      <c r="BY205" s="103"/>
      <c r="BZ205" s="103">
        <f t="shared" si="577"/>
        <v>0</v>
      </c>
      <c r="CA205" s="103">
        <f t="shared" si="577"/>
        <v>0</v>
      </c>
      <c r="CB205" s="103">
        <f t="shared" si="577"/>
        <v>10000000</v>
      </c>
      <c r="CC205" s="103">
        <f t="shared" si="577"/>
        <v>0</v>
      </c>
      <c r="CD205" s="164">
        <f>SUM(CD204)</f>
        <v>1</v>
      </c>
      <c r="CE205" s="1081">
        <f>SUM(AY205-BZ205)</f>
        <v>0</v>
      </c>
      <c r="CF205" s="1081">
        <f>35000*5</f>
        <v>175000</v>
      </c>
      <c r="CG205" s="1083">
        <f t="shared" ref="CG205" si="578">SUM(CE205-CF205)</f>
        <v>-175000</v>
      </c>
      <c r="CH205" s="1084"/>
      <c r="CI205" s="862"/>
      <c r="CJ205" s="862"/>
      <c r="CK205" s="862"/>
      <c r="CL205" s="862"/>
      <c r="CM205" s="862"/>
      <c r="CN205" s="862"/>
      <c r="CO205" s="862"/>
      <c r="CP205" s="862"/>
      <c r="CQ205" s="1081">
        <f>SUM(AX205*12.5%)</f>
        <v>0</v>
      </c>
      <c r="CR205" s="862"/>
      <c r="CS205" s="862"/>
      <c r="CT205" s="862"/>
      <c r="CU205" s="73">
        <f t="shared" ref="CU205:CU206" si="579">SUM(CI205:CT205)</f>
        <v>0</v>
      </c>
      <c r="CV205" s="862"/>
      <c r="CW205" s="862"/>
      <c r="CX205" s="862"/>
      <c r="CY205" s="862"/>
      <c r="CZ205" s="862"/>
      <c r="DA205" s="862"/>
      <c r="DB205" s="862"/>
      <c r="DC205" s="862"/>
      <c r="DD205" s="1081"/>
      <c r="DE205" s="862"/>
      <c r="DF205" s="862"/>
      <c r="DG205" s="862"/>
      <c r="DH205" s="73">
        <f t="shared" si="576"/>
        <v>0</v>
      </c>
    </row>
    <row r="206" spans="1:118" s="20" customFormat="1" ht="24.75" customHeight="1" x14ac:dyDescent="0.2">
      <c r="A206" s="50"/>
      <c r="D206" s="223"/>
      <c r="E206" s="50"/>
      <c r="F206" s="50"/>
      <c r="G206" s="50"/>
      <c r="H206" s="50"/>
      <c r="I206" s="50"/>
      <c r="J206" s="50"/>
      <c r="K206" s="50"/>
      <c r="L206" s="50"/>
      <c r="M206" s="50"/>
      <c r="N206" s="165"/>
      <c r="O206" s="50"/>
      <c r="P206" s="50"/>
      <c r="Q206" s="50"/>
      <c r="R206" s="50"/>
      <c r="S206" s="50"/>
      <c r="T206" s="50"/>
      <c r="U206" s="50"/>
      <c r="V206" s="50"/>
      <c r="W206" s="50"/>
      <c r="AI206" s="40"/>
      <c r="AJ206" s="40"/>
      <c r="AK206" s="40"/>
      <c r="AL206" s="40"/>
      <c r="AM206" s="40"/>
      <c r="AN206" s="40"/>
      <c r="AO206" s="40"/>
      <c r="BH206" s="51"/>
      <c r="BS206" s="40"/>
      <c r="BT206" s="40"/>
      <c r="BU206" s="40"/>
      <c r="BV206" s="40"/>
      <c r="BW206" s="40"/>
      <c r="BX206" s="40"/>
      <c r="BY206" s="40"/>
      <c r="BZ206" s="52">
        <f>SUM(BH205+BZ205)</f>
        <v>10000000</v>
      </c>
      <c r="CA206" s="53">
        <f>AP205-BH205-BZ205</f>
        <v>0</v>
      </c>
      <c r="CB206" s="54">
        <f>SUM(CC205+BH205+BZ205)</f>
        <v>10000000</v>
      </c>
      <c r="CC206" s="55">
        <f>SUM(CA205)</f>
        <v>0</v>
      </c>
      <c r="CD206" s="40" t="s">
        <v>38</v>
      </c>
      <c r="CE206" s="1119"/>
      <c r="CF206" s="1119"/>
      <c r="CG206" s="1120"/>
      <c r="CH206" s="1117"/>
      <c r="CI206" s="1117"/>
      <c r="CJ206" s="1117"/>
      <c r="CK206" s="1117"/>
      <c r="CL206" s="1117"/>
      <c r="CM206" s="1117"/>
      <c r="CN206" s="1117"/>
      <c r="CO206" s="1117"/>
      <c r="CP206" s="1117"/>
      <c r="CQ206" s="1119"/>
      <c r="CR206" s="1117"/>
      <c r="CS206" s="1117"/>
      <c r="CT206" s="1117"/>
      <c r="CU206" s="1118">
        <f t="shared" si="579"/>
        <v>0</v>
      </c>
      <c r="CV206" s="1117"/>
      <c r="CW206" s="1117"/>
      <c r="CX206" s="1117"/>
      <c r="CY206" s="1117"/>
      <c r="CZ206" s="1117"/>
      <c r="DA206" s="1117"/>
      <c r="DB206" s="1117"/>
      <c r="DC206" s="1117"/>
      <c r="DD206" s="1119"/>
      <c r="DE206" s="1117"/>
      <c r="DF206" s="1117"/>
      <c r="DG206" s="1117"/>
      <c r="DH206" s="1118"/>
    </row>
    <row r="207" spans="1:118" s="20" customFormat="1" ht="24.75" customHeight="1" x14ac:dyDescent="0.2">
      <c r="A207" s="50"/>
      <c r="D207" s="223"/>
      <c r="E207" s="50"/>
      <c r="F207" s="50"/>
      <c r="G207" s="50"/>
      <c r="H207" s="50"/>
      <c r="I207" s="50"/>
      <c r="J207" s="50"/>
      <c r="K207" s="50"/>
      <c r="L207" s="50"/>
      <c r="M207" s="50"/>
      <c r="N207" s="165"/>
      <c r="O207" s="50"/>
      <c r="P207" s="50"/>
      <c r="Q207" s="50"/>
      <c r="R207" s="50"/>
      <c r="S207" s="50"/>
      <c r="T207" s="50"/>
      <c r="U207" s="50"/>
      <c r="V207" s="50"/>
      <c r="W207" s="50"/>
      <c r="AI207" s="40"/>
      <c r="AJ207" s="40"/>
      <c r="AK207" s="40"/>
      <c r="AL207" s="40"/>
      <c r="AM207" s="40"/>
      <c r="AN207" s="40"/>
      <c r="AO207" s="40"/>
      <c r="BH207" s="40"/>
      <c r="BI207" s="123">
        <f t="shared" ref="BI207:BS207" si="580">SUM(AQ205+BI205)</f>
        <v>10000000</v>
      </c>
      <c r="BJ207" s="123">
        <f t="shared" si="580"/>
        <v>0</v>
      </c>
      <c r="BK207" s="123">
        <f t="shared" si="580"/>
        <v>0</v>
      </c>
      <c r="BL207" s="123">
        <f t="shared" si="580"/>
        <v>0</v>
      </c>
      <c r="BM207" s="123">
        <f t="shared" si="580"/>
        <v>0</v>
      </c>
      <c r="BN207" s="123">
        <f t="shared" si="580"/>
        <v>0</v>
      </c>
      <c r="BO207" s="123">
        <f t="shared" si="580"/>
        <v>0</v>
      </c>
      <c r="BP207" s="123">
        <f t="shared" si="580"/>
        <v>0</v>
      </c>
      <c r="BQ207" s="123">
        <f t="shared" si="580"/>
        <v>0</v>
      </c>
      <c r="BR207" s="123">
        <f t="shared" si="580"/>
        <v>0</v>
      </c>
      <c r="BS207" s="123">
        <f t="shared" si="580"/>
        <v>0</v>
      </c>
      <c r="BT207" s="123"/>
      <c r="BU207" s="123"/>
      <c r="BV207" s="123"/>
      <c r="BW207" s="123"/>
      <c r="BX207" s="123"/>
      <c r="BY207" s="123"/>
      <c r="BZ207" s="123">
        <f>SUM(BI207:BY207)</f>
        <v>10000000</v>
      </c>
      <c r="CA207" s="40"/>
      <c r="CB207" s="56"/>
      <c r="CC207" s="57">
        <f>SUM(CC205-CC206)</f>
        <v>0</v>
      </c>
      <c r="CD207" s="40" t="s">
        <v>37</v>
      </c>
      <c r="CE207" s="171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</row>
    <row r="208" spans="1:118" s="20" customFormat="1" ht="24.75" customHeight="1" x14ac:dyDescent="0.2">
      <c r="A208" s="50"/>
      <c r="D208" s="223"/>
      <c r="E208" s="50"/>
      <c r="F208" s="50"/>
      <c r="G208" s="50"/>
      <c r="H208" s="50"/>
      <c r="I208" s="50"/>
      <c r="J208" s="50"/>
      <c r="K208" s="50"/>
      <c r="L208" s="50"/>
      <c r="M208" s="50"/>
      <c r="N208" s="165"/>
      <c r="O208" s="50"/>
      <c r="P208" s="50"/>
      <c r="Q208" s="50"/>
      <c r="R208" s="50"/>
      <c r="S208" s="50"/>
      <c r="T208" s="50"/>
      <c r="U208" s="50"/>
      <c r="V208" s="50"/>
      <c r="W208" s="50"/>
      <c r="AI208" s="40"/>
      <c r="AJ208" s="40"/>
      <c r="AK208" s="40"/>
      <c r="AL208" s="40"/>
      <c r="AM208" s="40"/>
      <c r="AN208" s="40"/>
      <c r="AO208" s="40"/>
      <c r="BH208" s="40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40"/>
      <c r="CB208" s="56"/>
      <c r="CC208" s="57"/>
      <c r="CD208" s="40"/>
      <c r="CE208" s="171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</row>
    <row r="209" spans="1:101" s="20" customFormat="1" ht="24.75" customHeight="1" x14ac:dyDescent="0.2">
      <c r="A209" s="50"/>
      <c r="D209" s="223"/>
      <c r="E209" s="50"/>
      <c r="F209" s="50"/>
      <c r="G209" s="50"/>
      <c r="H209" s="50"/>
      <c r="I209" s="50"/>
      <c r="J209" s="50"/>
      <c r="K209" s="50"/>
      <c r="L209" s="50"/>
      <c r="M209" s="50"/>
      <c r="N209" s="165"/>
      <c r="O209" s="50"/>
      <c r="P209" s="50"/>
      <c r="Q209" s="50"/>
      <c r="R209" s="50"/>
      <c r="S209" s="50"/>
      <c r="T209" s="50"/>
      <c r="U209" s="50"/>
      <c r="V209" s="50"/>
      <c r="W209" s="50"/>
      <c r="AI209" s="40"/>
      <c r="AJ209" s="40"/>
      <c r="AK209" s="40"/>
      <c r="AL209" s="40"/>
      <c r="AM209" s="40"/>
      <c r="AN209" s="40"/>
      <c r="AO209" s="40"/>
      <c r="BH209" s="40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40"/>
      <c r="CB209" s="56"/>
      <c r="CC209" s="57"/>
      <c r="CD209" s="40"/>
      <c r="CE209" s="171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</row>
    <row r="210" spans="1:101" s="20" customFormat="1" ht="24.75" customHeight="1" x14ac:dyDescent="0.2">
      <c r="A210" s="50"/>
      <c r="D210" s="223"/>
      <c r="E210" s="50"/>
      <c r="F210" s="50"/>
      <c r="G210" s="50"/>
      <c r="H210" s="50"/>
      <c r="I210" s="50"/>
      <c r="J210" s="50"/>
      <c r="K210" s="50"/>
      <c r="L210" s="50"/>
      <c r="M210" s="50"/>
      <c r="N210" s="165"/>
      <c r="O210" s="50"/>
      <c r="P210" s="50"/>
      <c r="Q210" s="50"/>
      <c r="R210" s="50"/>
      <c r="S210" s="50"/>
      <c r="T210" s="50"/>
      <c r="U210" s="50"/>
      <c r="V210" s="50"/>
      <c r="W210" s="50"/>
      <c r="AI210" s="40"/>
      <c r="AJ210" s="40"/>
      <c r="AK210" s="40"/>
      <c r="AL210" s="40"/>
      <c r="AM210" s="40"/>
      <c r="AN210" s="40"/>
      <c r="AO210" s="40"/>
      <c r="BH210" s="40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40"/>
      <c r="CB210" s="56"/>
      <c r="CC210" s="57"/>
      <c r="CD210" s="40"/>
      <c r="CE210" s="171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</row>
    <row r="211" spans="1:101" s="20" customFormat="1" ht="24.75" customHeight="1" x14ac:dyDescent="0.2">
      <c r="A211" s="50"/>
      <c r="D211" s="223"/>
      <c r="E211" s="50"/>
      <c r="F211" s="50"/>
      <c r="G211" s="50"/>
      <c r="H211" s="50"/>
      <c r="I211" s="50"/>
      <c r="J211" s="50"/>
      <c r="K211" s="50"/>
      <c r="L211" s="50"/>
      <c r="M211" s="50"/>
      <c r="N211" s="165"/>
      <c r="O211" s="50"/>
      <c r="P211" s="50"/>
      <c r="Q211" s="50"/>
      <c r="R211" s="50"/>
      <c r="S211" s="50"/>
      <c r="T211" s="50"/>
      <c r="U211" s="50"/>
      <c r="V211" s="50"/>
      <c r="W211" s="50"/>
      <c r="AI211" s="40"/>
      <c r="AJ211" s="40"/>
      <c r="AK211" s="40"/>
      <c r="AL211" s="40"/>
      <c r="AM211" s="40"/>
      <c r="AN211" s="40"/>
      <c r="AO211" s="40"/>
      <c r="BH211" s="40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40"/>
      <c r="CB211" s="56"/>
      <c r="CC211" s="57"/>
      <c r="CD211" s="40"/>
      <c r="CE211" s="171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</row>
    <row r="212" spans="1:101" s="20" customFormat="1" ht="24.75" customHeight="1" x14ac:dyDescent="0.2">
      <c r="A212" s="50"/>
      <c r="D212" s="223"/>
      <c r="E212" s="50"/>
      <c r="F212" s="50"/>
      <c r="G212" s="50"/>
      <c r="H212" s="50"/>
      <c r="I212" s="50"/>
      <c r="J212" s="50"/>
      <c r="K212" s="50"/>
      <c r="L212" s="50"/>
      <c r="M212" s="50"/>
      <c r="N212" s="165"/>
      <c r="O212" s="50"/>
      <c r="P212" s="50"/>
      <c r="Q212" s="50"/>
      <c r="R212" s="50"/>
      <c r="S212" s="50"/>
      <c r="T212" s="50"/>
      <c r="U212" s="50"/>
      <c r="V212" s="50"/>
      <c r="W212" s="50"/>
      <c r="AI212" s="40"/>
      <c r="AJ212" s="40"/>
      <c r="AK212" s="40"/>
      <c r="AL212" s="40"/>
      <c r="AM212" s="40"/>
      <c r="AN212" s="40"/>
      <c r="AO212" s="40"/>
      <c r="BH212" s="40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40"/>
      <c r="CB212" s="56"/>
      <c r="CC212" s="57"/>
      <c r="CD212" s="40"/>
      <c r="CE212" s="171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</row>
    <row r="213" spans="1:101" s="20" customFormat="1" ht="24.75" customHeight="1" x14ac:dyDescent="0.2">
      <c r="A213" s="50"/>
      <c r="D213" s="223"/>
      <c r="E213" s="50"/>
      <c r="F213" s="50"/>
      <c r="G213" s="50"/>
      <c r="H213" s="50"/>
      <c r="I213" s="50"/>
      <c r="J213" s="50"/>
      <c r="K213" s="50"/>
      <c r="L213" s="50"/>
      <c r="M213" s="50"/>
      <c r="N213" s="165"/>
      <c r="O213" s="50"/>
      <c r="P213" s="50"/>
      <c r="Q213" s="50"/>
      <c r="R213" s="50"/>
      <c r="S213" s="50"/>
      <c r="T213" s="50"/>
      <c r="U213" s="50"/>
      <c r="V213" s="50"/>
      <c r="W213" s="50"/>
      <c r="AI213" s="40"/>
      <c r="AJ213" s="40"/>
      <c r="AK213" s="40"/>
      <c r="AL213" s="40"/>
      <c r="AM213" s="40"/>
      <c r="AN213" s="40"/>
      <c r="AO213" s="40"/>
      <c r="BH213" s="40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40"/>
      <c r="CB213" s="56"/>
      <c r="CC213" s="57"/>
      <c r="CD213" s="40"/>
      <c r="CE213" s="171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</row>
    <row r="214" spans="1:101" s="20" customFormat="1" ht="24.75" customHeight="1" x14ac:dyDescent="0.2">
      <c r="A214" s="50"/>
      <c r="D214" s="223"/>
      <c r="E214" s="50"/>
      <c r="F214" s="50"/>
      <c r="G214" s="50"/>
      <c r="H214" s="50"/>
      <c r="I214" s="50"/>
      <c r="J214" s="50"/>
      <c r="K214" s="50"/>
      <c r="L214" s="50"/>
      <c r="M214" s="50"/>
      <c r="N214" s="165"/>
      <c r="O214" s="50"/>
      <c r="P214" s="50"/>
      <c r="Q214" s="50"/>
      <c r="R214" s="50"/>
      <c r="S214" s="50"/>
      <c r="T214" s="50"/>
      <c r="U214" s="50"/>
      <c r="V214" s="50"/>
      <c r="W214" s="50"/>
      <c r="AI214" s="40"/>
      <c r="AJ214" s="40"/>
      <c r="AK214" s="40"/>
      <c r="AL214" s="40"/>
      <c r="AM214" s="40"/>
      <c r="AN214" s="40"/>
      <c r="AO214" s="40"/>
      <c r="BH214" s="40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40"/>
      <c r="CB214" s="56"/>
      <c r="CC214" s="57"/>
      <c r="CD214" s="40"/>
      <c r="CE214" s="171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</row>
    <row r="215" spans="1:101" s="20" customFormat="1" ht="24.75" customHeight="1" x14ac:dyDescent="0.2">
      <c r="A215" s="50"/>
      <c r="D215" s="223"/>
      <c r="E215" s="50"/>
      <c r="F215" s="50"/>
      <c r="G215" s="50"/>
      <c r="H215" s="50"/>
      <c r="I215" s="50"/>
      <c r="J215" s="50"/>
      <c r="K215" s="50"/>
      <c r="L215" s="50"/>
      <c r="M215" s="50"/>
      <c r="N215" s="165"/>
      <c r="O215" s="50"/>
      <c r="P215" s="50"/>
      <c r="Q215" s="50"/>
      <c r="R215" s="50"/>
      <c r="S215" s="50"/>
      <c r="T215" s="50"/>
      <c r="U215" s="50"/>
      <c r="V215" s="50"/>
      <c r="W215" s="50"/>
      <c r="AI215" s="40"/>
      <c r="AJ215" s="40"/>
      <c r="AK215" s="40"/>
      <c r="AL215" s="40"/>
      <c r="AM215" s="40"/>
      <c r="AN215" s="40"/>
      <c r="AO215" s="40"/>
      <c r="BH215" s="40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40"/>
      <c r="CB215" s="56"/>
      <c r="CC215" s="57"/>
      <c r="CD215" s="40"/>
      <c r="CE215" s="171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</row>
    <row r="216" spans="1:101" s="20" customFormat="1" ht="24.75" customHeight="1" x14ac:dyDescent="0.2">
      <c r="A216" s="50"/>
      <c r="D216" s="223"/>
      <c r="E216" s="50"/>
      <c r="F216" s="50"/>
      <c r="G216" s="50"/>
      <c r="H216" s="50"/>
      <c r="I216" s="50"/>
      <c r="J216" s="50"/>
      <c r="K216" s="50"/>
      <c r="L216" s="50"/>
      <c r="M216" s="50"/>
      <c r="N216" s="165"/>
      <c r="O216" s="50"/>
      <c r="P216" s="50"/>
      <c r="Q216" s="50"/>
      <c r="R216" s="50"/>
      <c r="S216" s="50"/>
      <c r="T216" s="50"/>
      <c r="U216" s="50"/>
      <c r="V216" s="50"/>
      <c r="W216" s="50"/>
      <c r="AI216" s="40"/>
      <c r="AJ216" s="40"/>
      <c r="AK216" s="40"/>
      <c r="AL216" s="40"/>
      <c r="AM216" s="40"/>
      <c r="AN216" s="40"/>
      <c r="AO216" s="40"/>
      <c r="BH216" s="40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40"/>
      <c r="CB216" s="56"/>
      <c r="CC216" s="57"/>
      <c r="CD216" s="40"/>
      <c r="CE216" s="171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</row>
    <row r="217" spans="1:101" s="20" customFormat="1" ht="24.75" customHeight="1" x14ac:dyDescent="0.2">
      <c r="A217" s="50"/>
      <c r="D217" s="223"/>
      <c r="E217" s="50"/>
      <c r="F217" s="50"/>
      <c r="G217" s="50"/>
      <c r="H217" s="50"/>
      <c r="I217" s="50"/>
      <c r="J217" s="50"/>
      <c r="K217" s="50"/>
      <c r="L217" s="50"/>
      <c r="M217" s="50"/>
      <c r="N217" s="165"/>
      <c r="O217" s="50"/>
      <c r="P217" s="50"/>
      <c r="Q217" s="50"/>
      <c r="R217" s="50"/>
      <c r="S217" s="50"/>
      <c r="T217" s="50"/>
      <c r="U217" s="50"/>
      <c r="V217" s="50"/>
      <c r="W217" s="50"/>
      <c r="AI217" s="40"/>
      <c r="AJ217" s="40"/>
      <c r="AK217" s="40"/>
      <c r="AL217" s="40"/>
      <c r="AM217" s="40"/>
      <c r="AN217" s="40"/>
      <c r="AO217" s="40"/>
      <c r="BH217" s="40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40"/>
      <c r="CB217" s="56"/>
      <c r="CC217" s="57"/>
      <c r="CD217" s="40"/>
      <c r="CE217" s="171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</row>
    <row r="218" spans="1:101" s="20" customFormat="1" ht="24.75" customHeight="1" x14ac:dyDescent="0.2">
      <c r="A218" s="50"/>
      <c r="D218" s="223"/>
      <c r="E218" s="50"/>
      <c r="F218" s="50"/>
      <c r="G218" s="50"/>
      <c r="H218" s="50"/>
      <c r="I218" s="50"/>
      <c r="J218" s="50"/>
      <c r="K218" s="50"/>
      <c r="L218" s="50"/>
      <c r="M218" s="50"/>
      <c r="N218" s="165"/>
      <c r="O218" s="50"/>
      <c r="P218" s="50"/>
      <c r="Q218" s="50"/>
      <c r="R218" s="50"/>
      <c r="S218" s="50"/>
      <c r="T218" s="50"/>
      <c r="U218" s="50"/>
      <c r="V218" s="50"/>
      <c r="W218" s="50"/>
      <c r="AI218" s="40"/>
      <c r="AJ218" s="40"/>
      <c r="AK218" s="40"/>
      <c r="AL218" s="40"/>
      <c r="AM218" s="40"/>
      <c r="AN218" s="40"/>
      <c r="AO218" s="40"/>
      <c r="BH218" s="40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40"/>
      <c r="CB218" s="56"/>
      <c r="CC218" s="57"/>
      <c r="CD218" s="40"/>
      <c r="CE218" s="171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</row>
    <row r="219" spans="1:101" s="20" customFormat="1" ht="24.75" customHeight="1" x14ac:dyDescent="0.2">
      <c r="A219" s="50"/>
      <c r="D219" s="223"/>
      <c r="E219" s="50"/>
      <c r="F219" s="50"/>
      <c r="G219" s="50"/>
      <c r="H219" s="50"/>
      <c r="I219" s="50"/>
      <c r="J219" s="50"/>
      <c r="K219" s="50"/>
      <c r="L219" s="50"/>
      <c r="M219" s="50"/>
      <c r="N219" s="165"/>
      <c r="O219" s="50"/>
      <c r="P219" s="50"/>
      <c r="Q219" s="50"/>
      <c r="R219" s="50"/>
      <c r="S219" s="50"/>
      <c r="T219" s="50"/>
      <c r="U219" s="50"/>
      <c r="V219" s="50"/>
      <c r="W219" s="50"/>
      <c r="AI219" s="40"/>
      <c r="AJ219" s="40"/>
      <c r="AK219" s="40"/>
      <c r="AL219" s="40"/>
      <c r="AM219" s="40"/>
      <c r="AN219" s="40"/>
      <c r="AO219" s="40"/>
      <c r="BH219" s="40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40"/>
      <c r="CB219" s="56"/>
      <c r="CC219" s="57"/>
      <c r="CD219" s="40"/>
      <c r="CE219" s="171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</row>
    <row r="220" spans="1:101" s="6" customFormat="1" ht="15.75" x14ac:dyDescent="0.2">
      <c r="A220" s="58"/>
      <c r="C220" s="58"/>
      <c r="D220" s="241"/>
      <c r="E220" s="8"/>
      <c r="F220" s="8"/>
      <c r="G220" s="8"/>
      <c r="H220" s="8"/>
      <c r="I220" s="8"/>
      <c r="J220" s="8"/>
      <c r="K220" s="8"/>
      <c r="L220" s="8"/>
      <c r="M220" s="8"/>
      <c r="N220" s="1269"/>
      <c r="O220" s="8"/>
      <c r="P220" s="8"/>
      <c r="Q220" s="8"/>
      <c r="R220" s="8"/>
      <c r="S220" s="8"/>
      <c r="T220" s="8"/>
      <c r="U220" s="8"/>
      <c r="V220" s="50"/>
      <c r="W220" s="8"/>
      <c r="AI220" s="66"/>
      <c r="AJ220" s="66"/>
      <c r="AK220" s="66"/>
      <c r="AL220" s="66"/>
      <c r="AM220" s="66"/>
      <c r="AN220" s="66"/>
      <c r="AO220" s="66"/>
      <c r="AP220" s="1310"/>
      <c r="BH220" s="67"/>
      <c r="BS220" s="66"/>
      <c r="BT220" s="66"/>
      <c r="BU220" s="66"/>
      <c r="BV220" s="66"/>
      <c r="BW220" s="66"/>
      <c r="BX220" s="66"/>
      <c r="BY220" s="66"/>
      <c r="BZ220" s="67"/>
      <c r="CA220" s="67"/>
      <c r="CB220" s="185"/>
      <c r="CC220" s="185"/>
      <c r="CE220" s="170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</row>
    <row r="221" spans="1:101" s="6" customFormat="1" ht="15.75" x14ac:dyDescent="0.2">
      <c r="A221" s="58"/>
      <c r="C221" s="58"/>
      <c r="D221" s="241"/>
      <c r="E221" s="8"/>
      <c r="F221" s="8"/>
      <c r="G221" s="8"/>
      <c r="H221" s="8"/>
      <c r="I221" s="8"/>
      <c r="J221" s="8"/>
      <c r="K221" s="8"/>
      <c r="L221" s="8"/>
      <c r="M221" s="8"/>
      <c r="N221" s="1269"/>
      <c r="O221" s="8"/>
      <c r="P221" s="8"/>
      <c r="Q221" s="8"/>
      <c r="R221" s="8"/>
      <c r="S221" s="8"/>
      <c r="T221" s="8"/>
      <c r="U221" s="8"/>
      <c r="V221" s="50"/>
      <c r="W221" s="8"/>
      <c r="AI221" s="66"/>
      <c r="AJ221" s="66"/>
      <c r="AK221" s="66"/>
      <c r="AL221" s="66"/>
      <c r="AM221" s="66"/>
      <c r="AN221" s="66"/>
      <c r="AO221" s="66"/>
      <c r="AP221" s="1310"/>
      <c r="BH221" s="67"/>
      <c r="BS221" s="66"/>
      <c r="BT221" s="66"/>
      <c r="BU221" s="66"/>
      <c r="BV221" s="66"/>
      <c r="BW221" s="66"/>
      <c r="BX221" s="66"/>
      <c r="BY221" s="66"/>
      <c r="BZ221" s="67"/>
      <c r="CA221" s="67"/>
      <c r="CB221" s="185"/>
      <c r="CC221" s="185"/>
      <c r="CE221" s="170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</row>
    <row r="222" spans="1:101" s="6" customFormat="1" ht="15.75" x14ac:dyDescent="0.2">
      <c r="A222" s="58"/>
      <c r="C222" s="58"/>
      <c r="D222" s="241"/>
      <c r="E222" s="8"/>
      <c r="F222" s="8"/>
      <c r="G222" s="8"/>
      <c r="H222" s="8"/>
      <c r="I222" s="8"/>
      <c r="J222" s="8"/>
      <c r="K222" s="8"/>
      <c r="L222" s="8"/>
      <c r="M222" s="8"/>
      <c r="N222" s="1269"/>
      <c r="O222" s="8"/>
      <c r="P222" s="8"/>
      <c r="Q222" s="8"/>
      <c r="R222" s="8"/>
      <c r="S222" s="8"/>
      <c r="T222" s="8"/>
      <c r="U222" s="8"/>
      <c r="V222" s="50"/>
      <c r="W222" s="8"/>
      <c r="AI222" s="66"/>
      <c r="AJ222" s="66"/>
      <c r="AK222" s="66"/>
      <c r="AL222" s="66"/>
      <c r="AM222" s="66"/>
      <c r="AN222" s="66"/>
      <c r="AO222" s="66"/>
      <c r="AP222" s="1310"/>
      <c r="BH222" s="67"/>
      <c r="BS222" s="66"/>
      <c r="BT222" s="66"/>
      <c r="BU222" s="66"/>
      <c r="BV222" s="66"/>
      <c r="BW222" s="66"/>
      <c r="BX222" s="66"/>
      <c r="BY222" s="66"/>
      <c r="BZ222" s="67"/>
      <c r="CA222" s="67"/>
      <c r="CB222" s="185"/>
      <c r="CC222" s="185"/>
      <c r="CE222" s="170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</row>
    <row r="223" spans="1:101" s="6" customFormat="1" ht="15.75" x14ac:dyDescent="0.2">
      <c r="A223" s="58"/>
      <c r="C223" s="58"/>
      <c r="D223" s="241"/>
      <c r="E223" s="8"/>
      <c r="F223" s="8"/>
      <c r="G223" s="8"/>
      <c r="H223" s="8"/>
      <c r="I223" s="8"/>
      <c r="J223" s="8"/>
      <c r="K223" s="8"/>
      <c r="L223" s="8"/>
      <c r="M223" s="8"/>
      <c r="N223" s="1269"/>
      <c r="O223" s="8"/>
      <c r="P223" s="8"/>
      <c r="Q223" s="8"/>
      <c r="R223" s="8"/>
      <c r="S223" s="8"/>
      <c r="T223" s="8"/>
      <c r="U223" s="8"/>
      <c r="V223" s="50"/>
      <c r="W223" s="8"/>
      <c r="AI223" s="66"/>
      <c r="AJ223" s="66"/>
      <c r="AK223" s="66"/>
      <c r="AL223" s="66"/>
      <c r="AM223" s="66"/>
      <c r="AN223" s="66"/>
      <c r="AO223" s="66"/>
      <c r="AP223" s="1310"/>
      <c r="BH223" s="67"/>
      <c r="BS223" s="66"/>
      <c r="BT223" s="66"/>
      <c r="BU223" s="66"/>
      <c r="BV223" s="66"/>
      <c r="BW223" s="66"/>
      <c r="BX223" s="66"/>
      <c r="BY223" s="66"/>
      <c r="BZ223" s="67"/>
      <c r="CA223" s="67"/>
      <c r="CB223" s="185"/>
      <c r="CC223" s="185"/>
      <c r="CE223" s="170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</row>
    <row r="224" spans="1:101" s="6" customFormat="1" ht="15.75" x14ac:dyDescent="0.2">
      <c r="A224" s="58"/>
      <c r="C224" s="58"/>
      <c r="D224" s="241"/>
      <c r="E224" s="8"/>
      <c r="F224" s="8"/>
      <c r="G224" s="8"/>
      <c r="H224" s="8"/>
      <c r="I224" s="8"/>
      <c r="J224" s="8"/>
      <c r="K224" s="8"/>
      <c r="L224" s="8"/>
      <c r="M224" s="8"/>
      <c r="N224" s="1269"/>
      <c r="O224" s="8"/>
      <c r="P224" s="8"/>
      <c r="Q224" s="8"/>
      <c r="R224" s="8"/>
      <c r="S224" s="8"/>
      <c r="T224" s="8"/>
      <c r="U224" s="8"/>
      <c r="V224" s="50"/>
      <c r="W224" s="8"/>
      <c r="AI224" s="66"/>
      <c r="AJ224" s="66"/>
      <c r="AK224" s="66"/>
      <c r="AL224" s="66"/>
      <c r="AM224" s="66"/>
      <c r="AN224" s="66"/>
      <c r="AO224" s="66"/>
      <c r="AP224" s="1310"/>
      <c r="BH224" s="67"/>
      <c r="BS224" s="66"/>
      <c r="BT224" s="66"/>
      <c r="BU224" s="66"/>
      <c r="BV224" s="66"/>
      <c r="BW224" s="66"/>
      <c r="BX224" s="66"/>
      <c r="BY224" s="66"/>
      <c r="BZ224" s="67"/>
      <c r="CA224" s="67"/>
      <c r="CB224" s="185"/>
      <c r="CC224" s="185"/>
      <c r="CE224" s="170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</row>
    <row r="225" spans="1:100" s="6" customFormat="1" ht="15.75" x14ac:dyDescent="0.2">
      <c r="A225" s="58"/>
      <c r="C225" s="58"/>
      <c r="D225" s="241"/>
      <c r="E225" s="8"/>
      <c r="F225" s="8"/>
      <c r="G225" s="8"/>
      <c r="H225" s="8"/>
      <c r="I225" s="8"/>
      <c r="J225" s="8"/>
      <c r="K225" s="8"/>
      <c r="L225" s="8"/>
      <c r="M225" s="8"/>
      <c r="N225" s="1269"/>
      <c r="O225" s="8"/>
      <c r="P225" s="8"/>
      <c r="Q225" s="8"/>
      <c r="R225" s="8"/>
      <c r="S225" s="8"/>
      <c r="T225" s="8"/>
      <c r="U225" s="8"/>
      <c r="V225" s="50"/>
      <c r="W225" s="8"/>
      <c r="AI225" s="66"/>
      <c r="AJ225" s="66"/>
      <c r="AK225" s="66"/>
      <c r="AL225" s="66"/>
      <c r="AM225" s="66"/>
      <c r="AN225" s="66"/>
      <c r="AO225" s="66"/>
      <c r="AP225" s="1310"/>
      <c r="BH225" s="67"/>
      <c r="BS225" s="66"/>
      <c r="BT225" s="66"/>
      <c r="BU225" s="66"/>
      <c r="BV225" s="66"/>
      <c r="BW225" s="66"/>
      <c r="BX225" s="66"/>
      <c r="BY225" s="66"/>
      <c r="BZ225" s="67"/>
      <c r="CA225" s="67"/>
      <c r="CB225" s="185"/>
      <c r="CC225" s="185"/>
      <c r="CE225" s="170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</row>
    <row r="226" spans="1:100" s="6" customFormat="1" ht="15.75" x14ac:dyDescent="0.2">
      <c r="A226" s="58"/>
      <c r="C226" s="58"/>
      <c r="D226" s="241"/>
      <c r="E226" s="8"/>
      <c r="F226" s="8"/>
      <c r="G226" s="8"/>
      <c r="H226" s="8"/>
      <c r="I226" s="8"/>
      <c r="J226" s="8"/>
      <c r="K226" s="8"/>
      <c r="L226" s="8"/>
      <c r="M226" s="8"/>
      <c r="N226" s="1269"/>
      <c r="O226" s="8"/>
      <c r="P226" s="8"/>
      <c r="Q226" s="8"/>
      <c r="R226" s="8"/>
      <c r="S226" s="8"/>
      <c r="T226" s="8"/>
      <c r="U226" s="8"/>
      <c r="V226" s="50"/>
      <c r="W226" s="8"/>
      <c r="AI226" s="66"/>
      <c r="AJ226" s="66"/>
      <c r="AK226" s="66"/>
      <c r="AL226" s="66"/>
      <c r="AM226" s="66"/>
      <c r="AN226" s="66"/>
      <c r="AO226" s="66"/>
      <c r="AP226" s="1310"/>
      <c r="BH226" s="67"/>
      <c r="BS226" s="66"/>
      <c r="BT226" s="66"/>
      <c r="BU226" s="66"/>
      <c r="BV226" s="66"/>
      <c r="BW226" s="66"/>
      <c r="BX226" s="66"/>
      <c r="BY226" s="66"/>
      <c r="BZ226" s="67"/>
      <c r="CA226" s="67"/>
      <c r="CB226" s="185"/>
      <c r="CC226" s="185"/>
      <c r="CE226" s="170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</row>
    <row r="227" spans="1:100" s="6" customFormat="1" ht="15.75" x14ac:dyDescent="0.2">
      <c r="A227" s="58"/>
      <c r="C227" s="58"/>
      <c r="D227" s="241"/>
      <c r="E227" s="8"/>
      <c r="F227" s="8"/>
      <c r="G227" s="8"/>
      <c r="H227" s="8"/>
      <c r="I227" s="8"/>
      <c r="J227" s="8"/>
      <c r="K227" s="8"/>
      <c r="L227" s="8"/>
      <c r="M227" s="8"/>
      <c r="N227" s="1269"/>
      <c r="O227" s="8"/>
      <c r="P227" s="8"/>
      <c r="Q227" s="8"/>
      <c r="R227" s="8"/>
      <c r="S227" s="8"/>
      <c r="T227" s="8"/>
      <c r="U227" s="8"/>
      <c r="V227" s="50"/>
      <c r="W227" s="8"/>
      <c r="AI227" s="66"/>
      <c r="AJ227" s="66"/>
      <c r="AK227" s="66"/>
      <c r="AL227" s="66"/>
      <c r="AM227" s="66"/>
      <c r="AN227" s="66"/>
      <c r="AO227" s="66"/>
      <c r="AP227" s="1310"/>
      <c r="BH227" s="67"/>
      <c r="BS227" s="66"/>
      <c r="BT227" s="66"/>
      <c r="BU227" s="66"/>
      <c r="BV227" s="66"/>
      <c r="BW227" s="66"/>
      <c r="BX227" s="66"/>
      <c r="BY227" s="66"/>
      <c r="BZ227" s="67"/>
      <c r="CA227" s="67"/>
      <c r="CB227" s="185"/>
      <c r="CC227" s="185"/>
      <c r="CE227" s="170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</row>
    <row r="228" spans="1:100" s="6" customFormat="1" ht="15.75" x14ac:dyDescent="0.2">
      <c r="A228" s="58"/>
      <c r="C228" s="58"/>
      <c r="D228" s="241"/>
      <c r="E228" s="8"/>
      <c r="F228" s="8"/>
      <c r="G228" s="8"/>
      <c r="H228" s="8"/>
      <c r="I228" s="8"/>
      <c r="J228" s="8"/>
      <c r="K228" s="8"/>
      <c r="L228" s="8"/>
      <c r="M228" s="8"/>
      <c r="N228" s="1269"/>
      <c r="O228" s="8"/>
      <c r="P228" s="8"/>
      <c r="Q228" s="8"/>
      <c r="R228" s="8"/>
      <c r="S228" s="8"/>
      <c r="T228" s="8"/>
      <c r="U228" s="8"/>
      <c r="V228" s="50"/>
      <c r="W228" s="8"/>
      <c r="AI228" s="66"/>
      <c r="AJ228" s="66"/>
      <c r="AK228" s="66"/>
      <c r="AL228" s="66"/>
      <c r="AM228" s="66"/>
      <c r="AN228" s="66"/>
      <c r="AO228" s="66"/>
      <c r="AP228" s="1310"/>
      <c r="BH228" s="67"/>
      <c r="BS228" s="66"/>
      <c r="BT228" s="66"/>
      <c r="BU228" s="66"/>
      <c r="BV228" s="66"/>
      <c r="BW228" s="66"/>
      <c r="BX228" s="66"/>
      <c r="BY228" s="66"/>
      <c r="BZ228" s="67"/>
      <c r="CA228" s="67"/>
      <c r="CB228" s="185"/>
      <c r="CC228" s="185"/>
      <c r="CE228" s="170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</row>
    <row r="229" spans="1:100" s="6" customFormat="1" ht="15.75" x14ac:dyDescent="0.2">
      <c r="A229" s="58"/>
      <c r="C229" s="58"/>
      <c r="D229" s="241"/>
      <c r="E229" s="8"/>
      <c r="F229" s="8"/>
      <c r="G229" s="8"/>
      <c r="H229" s="8"/>
      <c r="I229" s="8"/>
      <c r="J229" s="8"/>
      <c r="K229" s="8"/>
      <c r="L229" s="8"/>
      <c r="M229" s="8"/>
      <c r="N229" s="1269"/>
      <c r="O229" s="8"/>
      <c r="P229" s="8"/>
      <c r="Q229" s="8"/>
      <c r="R229" s="8"/>
      <c r="S229" s="8"/>
      <c r="T229" s="8"/>
      <c r="U229" s="8"/>
      <c r="V229" s="50"/>
      <c r="W229" s="8"/>
      <c r="AI229" s="66"/>
      <c r="AJ229" s="66"/>
      <c r="AK229" s="66"/>
      <c r="AL229" s="66"/>
      <c r="AM229" s="66"/>
      <c r="AN229" s="66"/>
      <c r="AO229" s="66"/>
      <c r="AP229" s="1310"/>
      <c r="BH229" s="67"/>
      <c r="BS229" s="66"/>
      <c r="BT229" s="66"/>
      <c r="BU229" s="66"/>
      <c r="BV229" s="66"/>
      <c r="BW229" s="66"/>
      <c r="BX229" s="66"/>
      <c r="BY229" s="66"/>
      <c r="BZ229" s="67"/>
      <c r="CA229" s="67"/>
      <c r="CB229" s="185"/>
      <c r="CC229" s="185"/>
      <c r="CE229" s="170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</row>
    <row r="230" spans="1:100" s="6" customFormat="1" ht="15.75" x14ac:dyDescent="0.2">
      <c r="A230" s="58"/>
      <c r="C230" s="58"/>
      <c r="D230" s="241"/>
      <c r="E230" s="8"/>
      <c r="F230" s="8"/>
      <c r="G230" s="8"/>
      <c r="H230" s="8"/>
      <c r="I230" s="8"/>
      <c r="J230" s="8"/>
      <c r="K230" s="8"/>
      <c r="L230" s="8"/>
      <c r="M230" s="8"/>
      <c r="N230" s="1269"/>
      <c r="O230" s="8"/>
      <c r="P230" s="8"/>
      <c r="Q230" s="8"/>
      <c r="R230" s="8"/>
      <c r="S230" s="8"/>
      <c r="T230" s="8"/>
      <c r="U230" s="8"/>
      <c r="V230" s="50"/>
      <c r="W230" s="8"/>
      <c r="AI230" s="66"/>
      <c r="AJ230" s="66"/>
      <c r="AK230" s="66"/>
      <c r="AL230" s="66"/>
      <c r="AM230" s="66"/>
      <c r="AN230" s="66"/>
      <c r="AO230" s="66"/>
      <c r="AP230" s="1310"/>
      <c r="BH230" s="67"/>
      <c r="BS230" s="66"/>
      <c r="BT230" s="66"/>
      <c r="BU230" s="66"/>
      <c r="BV230" s="66"/>
      <c r="BW230" s="66"/>
      <c r="BX230" s="66"/>
      <c r="BY230" s="66"/>
      <c r="BZ230" s="67"/>
      <c r="CA230" s="67"/>
      <c r="CB230" s="185"/>
      <c r="CC230" s="185"/>
      <c r="CE230" s="170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</row>
    <row r="231" spans="1:100" s="6" customFormat="1" ht="15.75" x14ac:dyDescent="0.2">
      <c r="A231" s="58"/>
      <c r="C231" s="58"/>
      <c r="D231" s="241"/>
      <c r="E231" s="8"/>
      <c r="F231" s="8"/>
      <c r="G231" s="8"/>
      <c r="H231" s="8"/>
      <c r="I231" s="8"/>
      <c r="J231" s="8"/>
      <c r="K231" s="8"/>
      <c r="L231" s="8"/>
      <c r="M231" s="8"/>
      <c r="N231" s="1269"/>
      <c r="O231" s="8"/>
      <c r="P231" s="8"/>
      <c r="Q231" s="8"/>
      <c r="R231" s="8"/>
      <c r="S231" s="8"/>
      <c r="T231" s="8"/>
      <c r="U231" s="8"/>
      <c r="V231" s="50"/>
      <c r="W231" s="8"/>
      <c r="AI231" s="66"/>
      <c r="AJ231" s="66"/>
      <c r="AK231" s="66"/>
      <c r="AL231" s="66"/>
      <c r="AM231" s="66"/>
      <c r="AN231" s="66"/>
      <c r="AO231" s="66"/>
      <c r="AP231" s="1310"/>
      <c r="BH231" s="67"/>
      <c r="BS231" s="66"/>
      <c r="BT231" s="66"/>
      <c r="BU231" s="66"/>
      <c r="BV231" s="66"/>
      <c r="BW231" s="66"/>
      <c r="BX231" s="66"/>
      <c r="BY231" s="66"/>
      <c r="BZ231" s="67"/>
      <c r="CA231" s="67"/>
      <c r="CB231" s="185"/>
      <c r="CC231" s="185"/>
      <c r="CE231" s="170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</row>
    <row r="232" spans="1:100" s="6" customFormat="1" ht="15.75" x14ac:dyDescent="0.2">
      <c r="A232" s="58"/>
      <c r="C232" s="58"/>
      <c r="D232" s="241"/>
      <c r="E232" s="8"/>
      <c r="F232" s="8"/>
      <c r="G232" s="8"/>
      <c r="H232" s="8"/>
      <c r="I232" s="8"/>
      <c r="J232" s="8"/>
      <c r="K232" s="8"/>
      <c r="L232" s="8"/>
      <c r="M232" s="8"/>
      <c r="N232" s="1269"/>
      <c r="O232" s="8"/>
      <c r="P232" s="8"/>
      <c r="Q232" s="8"/>
      <c r="R232" s="8"/>
      <c r="S232" s="8"/>
      <c r="T232" s="8"/>
      <c r="U232" s="8"/>
      <c r="V232" s="50"/>
      <c r="W232" s="8"/>
      <c r="AI232" s="66"/>
      <c r="AJ232" s="66"/>
      <c r="AK232" s="66"/>
      <c r="AL232" s="66"/>
      <c r="AM232" s="66"/>
      <c r="AN232" s="66"/>
      <c r="AO232" s="66"/>
      <c r="AP232" s="1310"/>
      <c r="BH232" s="67"/>
      <c r="BS232" s="66"/>
      <c r="BT232" s="66"/>
      <c r="BU232" s="66"/>
      <c r="BV232" s="66"/>
      <c r="BW232" s="66"/>
      <c r="BX232" s="66"/>
      <c r="BY232" s="66"/>
      <c r="BZ232" s="67"/>
      <c r="CA232" s="67"/>
      <c r="CB232" s="185"/>
      <c r="CC232" s="185"/>
      <c r="CE232" s="170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</row>
    <row r="233" spans="1:100" s="6" customFormat="1" ht="15.75" x14ac:dyDescent="0.2">
      <c r="A233" s="58"/>
      <c r="C233" s="58"/>
      <c r="D233" s="241"/>
      <c r="E233" s="8"/>
      <c r="F233" s="8"/>
      <c r="G233" s="8"/>
      <c r="H233" s="8"/>
      <c r="I233" s="8"/>
      <c r="J233" s="8"/>
      <c r="K233" s="8"/>
      <c r="L233" s="8"/>
      <c r="M233" s="8"/>
      <c r="N233" s="1269"/>
      <c r="O233" s="8"/>
      <c r="P233" s="8"/>
      <c r="Q233" s="8"/>
      <c r="R233" s="8"/>
      <c r="S233" s="8"/>
      <c r="T233" s="8"/>
      <c r="U233" s="8"/>
      <c r="V233" s="50"/>
      <c r="W233" s="8"/>
      <c r="AI233" s="66"/>
      <c r="AJ233" s="66"/>
      <c r="AK233" s="66"/>
      <c r="AL233" s="66"/>
      <c r="AM233" s="66"/>
      <c r="AN233" s="66"/>
      <c r="AO233" s="66"/>
      <c r="AP233" s="1310"/>
      <c r="BH233" s="67"/>
      <c r="BS233" s="66"/>
      <c r="BT233" s="66"/>
      <c r="BU233" s="66"/>
      <c r="BV233" s="66"/>
      <c r="BW233" s="66"/>
      <c r="BX233" s="66"/>
      <c r="BY233" s="66"/>
      <c r="BZ233" s="67"/>
      <c r="CA233" s="67"/>
      <c r="CB233" s="185"/>
      <c r="CC233" s="185"/>
      <c r="CE233" s="170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</row>
    <row r="234" spans="1:100" s="6" customFormat="1" ht="15.75" x14ac:dyDescent="0.2">
      <c r="A234" s="58"/>
      <c r="C234" s="58"/>
      <c r="D234" s="241"/>
      <c r="E234" s="8"/>
      <c r="F234" s="8"/>
      <c r="G234" s="8"/>
      <c r="H234" s="8"/>
      <c r="I234" s="8"/>
      <c r="J234" s="8"/>
      <c r="K234" s="8"/>
      <c r="L234" s="8"/>
      <c r="M234" s="8"/>
      <c r="N234" s="1269"/>
      <c r="O234" s="8"/>
      <c r="P234" s="8"/>
      <c r="Q234" s="8"/>
      <c r="R234" s="8"/>
      <c r="S234" s="8"/>
      <c r="T234" s="8"/>
      <c r="U234" s="8"/>
      <c r="V234" s="50"/>
      <c r="W234" s="8"/>
      <c r="AI234" s="66"/>
      <c r="AJ234" s="66"/>
      <c r="AK234" s="66"/>
      <c r="AL234" s="66"/>
      <c r="AM234" s="66"/>
      <c r="AN234" s="66"/>
      <c r="AO234" s="66"/>
      <c r="AP234" s="1310"/>
      <c r="BH234" s="67"/>
      <c r="BS234" s="66"/>
      <c r="BT234" s="66"/>
      <c r="BU234" s="66"/>
      <c r="BV234" s="66"/>
      <c r="BW234" s="66"/>
      <c r="BX234" s="66"/>
      <c r="BY234" s="66"/>
      <c r="BZ234" s="67"/>
      <c r="CA234" s="67"/>
      <c r="CB234" s="185"/>
      <c r="CC234" s="185"/>
      <c r="CE234" s="170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</row>
    <row r="235" spans="1:100" s="6" customFormat="1" ht="15.75" x14ac:dyDescent="0.2">
      <c r="A235" s="58"/>
      <c r="C235" s="58"/>
      <c r="D235" s="241"/>
      <c r="E235" s="8"/>
      <c r="F235" s="8"/>
      <c r="G235" s="8"/>
      <c r="H235" s="8"/>
      <c r="I235" s="8"/>
      <c r="J235" s="8"/>
      <c r="K235" s="8"/>
      <c r="L235" s="8"/>
      <c r="M235" s="8"/>
      <c r="N235" s="1269"/>
      <c r="O235" s="8"/>
      <c r="P235" s="8"/>
      <c r="Q235" s="8"/>
      <c r="R235" s="8"/>
      <c r="S235" s="8"/>
      <c r="T235" s="8"/>
      <c r="U235" s="8"/>
      <c r="V235" s="50"/>
      <c r="W235" s="8"/>
      <c r="AI235" s="66"/>
      <c r="AJ235" s="66"/>
      <c r="AK235" s="66"/>
      <c r="AL235" s="66"/>
      <c r="AM235" s="66"/>
      <c r="AN235" s="66"/>
      <c r="AO235" s="66"/>
      <c r="AP235" s="1310"/>
      <c r="BH235" s="67"/>
      <c r="BS235" s="66"/>
      <c r="BT235" s="66"/>
      <c r="BU235" s="66"/>
      <c r="BV235" s="66"/>
      <c r="BW235" s="66"/>
      <c r="BX235" s="66"/>
      <c r="BY235" s="66"/>
      <c r="BZ235" s="67"/>
      <c r="CA235" s="67"/>
      <c r="CB235" s="185"/>
      <c r="CC235" s="185"/>
      <c r="CE235" s="170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</row>
    <row r="236" spans="1:100" s="6" customFormat="1" ht="15.75" x14ac:dyDescent="0.2">
      <c r="A236" s="58"/>
      <c r="C236" s="58"/>
      <c r="D236" s="241"/>
      <c r="E236" s="8"/>
      <c r="F236" s="8"/>
      <c r="G236" s="8"/>
      <c r="H236" s="8"/>
      <c r="I236" s="8"/>
      <c r="J236" s="8"/>
      <c r="K236" s="8"/>
      <c r="L236" s="8"/>
      <c r="M236" s="8"/>
      <c r="N236" s="1269"/>
      <c r="O236" s="8"/>
      <c r="P236" s="8"/>
      <c r="Q236" s="8"/>
      <c r="R236" s="8"/>
      <c r="S236" s="8"/>
      <c r="T236" s="8"/>
      <c r="U236" s="8"/>
      <c r="V236" s="50"/>
      <c r="W236" s="8"/>
      <c r="AI236" s="66"/>
      <c r="AJ236" s="66"/>
      <c r="AK236" s="66"/>
      <c r="AL236" s="66"/>
      <c r="AM236" s="66"/>
      <c r="AN236" s="66"/>
      <c r="AO236" s="66"/>
      <c r="AP236" s="1310"/>
      <c r="BH236" s="67"/>
      <c r="BS236" s="66"/>
      <c r="BT236" s="66"/>
      <c r="BU236" s="66"/>
      <c r="BV236" s="66"/>
      <c r="BW236" s="66"/>
      <c r="BX236" s="66"/>
      <c r="BY236" s="66"/>
      <c r="BZ236" s="67"/>
      <c r="CA236" s="67"/>
      <c r="CB236" s="185"/>
      <c r="CC236" s="185"/>
      <c r="CE236" s="170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</row>
    <row r="237" spans="1:100" s="6" customFormat="1" ht="15.75" x14ac:dyDescent="0.2">
      <c r="A237" s="58"/>
      <c r="C237" s="58"/>
      <c r="D237" s="241"/>
      <c r="E237" s="8"/>
      <c r="F237" s="8"/>
      <c r="G237" s="8"/>
      <c r="H237" s="8"/>
      <c r="I237" s="8"/>
      <c r="J237" s="8"/>
      <c r="K237" s="8"/>
      <c r="L237" s="8"/>
      <c r="M237" s="8"/>
      <c r="N237" s="1269"/>
      <c r="O237" s="8"/>
      <c r="P237" s="8"/>
      <c r="Q237" s="8"/>
      <c r="R237" s="8"/>
      <c r="S237" s="8"/>
      <c r="T237" s="8"/>
      <c r="U237" s="8"/>
      <c r="V237" s="50"/>
      <c r="W237" s="8"/>
      <c r="AI237" s="66"/>
      <c r="AJ237" s="66"/>
      <c r="AK237" s="66"/>
      <c r="AL237" s="66"/>
      <c r="AM237" s="66"/>
      <c r="AN237" s="66"/>
      <c r="AO237" s="66"/>
      <c r="AP237" s="1310"/>
      <c r="BH237" s="67"/>
      <c r="BS237" s="66"/>
      <c r="BT237" s="66"/>
      <c r="BU237" s="66"/>
      <c r="BV237" s="66"/>
      <c r="BW237" s="66"/>
      <c r="BX237" s="66"/>
      <c r="BY237" s="66"/>
      <c r="BZ237" s="67"/>
      <c r="CA237" s="67"/>
      <c r="CB237" s="185"/>
      <c r="CC237" s="185"/>
      <c r="CE237" s="170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</row>
    <row r="238" spans="1:100" s="6" customFormat="1" ht="15.75" x14ac:dyDescent="0.2">
      <c r="A238" s="58"/>
      <c r="C238" s="58"/>
      <c r="D238" s="241"/>
      <c r="E238" s="8"/>
      <c r="F238" s="8"/>
      <c r="G238" s="8"/>
      <c r="H238" s="8"/>
      <c r="I238" s="8"/>
      <c r="J238" s="8"/>
      <c r="K238" s="8"/>
      <c r="L238" s="8"/>
      <c r="M238" s="8"/>
      <c r="N238" s="1269"/>
      <c r="O238" s="8"/>
      <c r="P238" s="8"/>
      <c r="Q238" s="8"/>
      <c r="R238" s="8"/>
      <c r="S238" s="8"/>
      <c r="T238" s="8"/>
      <c r="U238" s="8"/>
      <c r="V238" s="50"/>
      <c r="W238" s="8"/>
      <c r="AI238" s="66"/>
      <c r="AJ238" s="66"/>
      <c r="AK238" s="66"/>
      <c r="AL238" s="66"/>
      <c r="AM238" s="66"/>
      <c r="AN238" s="66"/>
      <c r="AO238" s="66"/>
      <c r="AP238" s="1310"/>
      <c r="BH238" s="67"/>
      <c r="BS238" s="66"/>
      <c r="BT238" s="66"/>
      <c r="BU238" s="66"/>
      <c r="BV238" s="66"/>
      <c r="BW238" s="66"/>
      <c r="BX238" s="66"/>
      <c r="BY238" s="66"/>
      <c r="BZ238" s="67"/>
      <c r="CA238" s="67"/>
      <c r="CB238" s="185"/>
      <c r="CC238" s="185"/>
      <c r="CE238" s="170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</row>
    <row r="239" spans="1:100" s="6" customFormat="1" ht="15.75" x14ac:dyDescent="0.2">
      <c r="A239" s="58"/>
      <c r="C239" s="58"/>
      <c r="D239" s="241"/>
      <c r="E239" s="8"/>
      <c r="F239" s="8"/>
      <c r="G239" s="8"/>
      <c r="H239" s="8"/>
      <c r="I239" s="8"/>
      <c r="J239" s="8"/>
      <c r="K239" s="8"/>
      <c r="L239" s="8"/>
      <c r="M239" s="8"/>
      <c r="N239" s="1269"/>
      <c r="O239" s="8"/>
      <c r="P239" s="8"/>
      <c r="Q239" s="8"/>
      <c r="R239" s="8"/>
      <c r="S239" s="8"/>
      <c r="T239" s="8"/>
      <c r="U239" s="8"/>
      <c r="V239" s="50"/>
      <c r="W239" s="8"/>
      <c r="AI239" s="66"/>
      <c r="AJ239" s="66"/>
      <c r="AK239" s="66"/>
      <c r="AL239" s="66"/>
      <c r="AM239" s="66"/>
      <c r="AN239" s="66"/>
      <c r="AO239" s="66"/>
      <c r="AP239" s="1310"/>
      <c r="BH239" s="67"/>
      <c r="BS239" s="66"/>
      <c r="BT239" s="66"/>
      <c r="BU239" s="66"/>
      <c r="BV239" s="66"/>
      <c r="BW239" s="66"/>
      <c r="BX239" s="66"/>
      <c r="BY239" s="66"/>
      <c r="BZ239" s="67"/>
      <c r="CA239" s="67"/>
      <c r="CB239" s="185"/>
      <c r="CC239" s="185"/>
      <c r="CE239" s="170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</row>
    <row r="240" spans="1:100" s="6" customFormat="1" ht="15.75" x14ac:dyDescent="0.2">
      <c r="A240" s="58"/>
      <c r="C240" s="58"/>
      <c r="D240" s="241"/>
      <c r="E240" s="8"/>
      <c r="F240" s="8"/>
      <c r="G240" s="8"/>
      <c r="H240" s="8"/>
      <c r="I240" s="8"/>
      <c r="J240" s="8"/>
      <c r="K240" s="8"/>
      <c r="L240" s="8"/>
      <c r="M240" s="8"/>
      <c r="N240" s="1269"/>
      <c r="O240" s="8"/>
      <c r="P240" s="8"/>
      <c r="Q240" s="8"/>
      <c r="R240" s="8"/>
      <c r="S240" s="8"/>
      <c r="T240" s="8"/>
      <c r="U240" s="8"/>
      <c r="V240" s="50"/>
      <c r="W240" s="8"/>
      <c r="AI240" s="66"/>
      <c r="AJ240" s="66"/>
      <c r="AK240" s="66"/>
      <c r="AL240" s="66"/>
      <c r="AM240" s="66"/>
      <c r="AN240" s="66"/>
      <c r="AO240" s="66"/>
      <c r="AP240" s="1310"/>
      <c r="BH240" s="67"/>
      <c r="BS240" s="66"/>
      <c r="BT240" s="66"/>
      <c r="BU240" s="66"/>
      <c r="BV240" s="66"/>
      <c r="BW240" s="66"/>
      <c r="BX240" s="66"/>
      <c r="BY240" s="66"/>
      <c r="BZ240" s="67"/>
      <c r="CA240" s="67"/>
      <c r="CB240" s="185"/>
      <c r="CC240" s="185"/>
      <c r="CE240" s="170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</row>
    <row r="241" spans="1:100" s="6" customFormat="1" ht="15.75" x14ac:dyDescent="0.2">
      <c r="A241" s="58"/>
      <c r="C241" s="58"/>
      <c r="D241" s="241"/>
      <c r="E241" s="8"/>
      <c r="F241" s="8"/>
      <c r="G241" s="8"/>
      <c r="H241" s="8"/>
      <c r="I241" s="8"/>
      <c r="J241" s="8"/>
      <c r="K241" s="8"/>
      <c r="L241" s="8"/>
      <c r="M241" s="8"/>
      <c r="N241" s="1269"/>
      <c r="O241" s="8"/>
      <c r="P241" s="8"/>
      <c r="Q241" s="8"/>
      <c r="R241" s="8"/>
      <c r="S241" s="8"/>
      <c r="T241" s="8"/>
      <c r="U241" s="8"/>
      <c r="V241" s="50"/>
      <c r="W241" s="8"/>
      <c r="AI241" s="66"/>
      <c r="AJ241" s="66"/>
      <c r="AK241" s="66"/>
      <c r="AL241" s="66"/>
      <c r="AM241" s="66"/>
      <c r="AN241" s="66"/>
      <c r="AO241" s="66"/>
      <c r="AP241" s="1310"/>
      <c r="BH241" s="67"/>
      <c r="BS241" s="66"/>
      <c r="BT241" s="66"/>
      <c r="BU241" s="66"/>
      <c r="BV241" s="66"/>
      <c r="BW241" s="66"/>
      <c r="BX241" s="66"/>
      <c r="BY241" s="66"/>
      <c r="BZ241" s="67"/>
      <c r="CA241" s="67"/>
      <c r="CB241" s="185"/>
      <c r="CC241" s="185"/>
      <c r="CE241" s="170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</row>
    <row r="242" spans="1:100" s="6" customFormat="1" ht="15.75" x14ac:dyDescent="0.2">
      <c r="A242" s="58"/>
      <c r="C242" s="58"/>
      <c r="D242" s="241"/>
      <c r="E242" s="8"/>
      <c r="F242" s="8"/>
      <c r="G242" s="8"/>
      <c r="H242" s="8"/>
      <c r="I242" s="8"/>
      <c r="J242" s="8"/>
      <c r="K242" s="8"/>
      <c r="L242" s="8"/>
      <c r="M242" s="8"/>
      <c r="N242" s="1269"/>
      <c r="O242" s="8"/>
      <c r="P242" s="8"/>
      <c r="Q242" s="8"/>
      <c r="R242" s="8"/>
      <c r="S242" s="8"/>
      <c r="T242" s="8"/>
      <c r="U242" s="8"/>
      <c r="V242" s="50"/>
      <c r="W242" s="8"/>
      <c r="AI242" s="66"/>
      <c r="AJ242" s="66"/>
      <c r="AK242" s="66"/>
      <c r="AL242" s="66"/>
      <c r="AM242" s="66"/>
      <c r="AN242" s="66"/>
      <c r="AO242" s="66"/>
      <c r="AP242" s="1310"/>
      <c r="BH242" s="67"/>
      <c r="BS242" s="66"/>
      <c r="BT242" s="66"/>
      <c r="BU242" s="66"/>
      <c r="BV242" s="66"/>
      <c r="BW242" s="66"/>
      <c r="BX242" s="66"/>
      <c r="BY242" s="66"/>
      <c r="BZ242" s="67"/>
      <c r="CA242" s="67"/>
      <c r="CB242" s="185"/>
      <c r="CC242" s="185"/>
      <c r="CE242" s="170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</row>
    <row r="243" spans="1:100" s="6" customFormat="1" ht="15.75" x14ac:dyDescent="0.2">
      <c r="A243" s="58"/>
      <c r="C243" s="58"/>
      <c r="D243" s="241"/>
      <c r="E243" s="8"/>
      <c r="F243" s="8"/>
      <c r="G243" s="8"/>
      <c r="H243" s="8"/>
      <c r="I243" s="8"/>
      <c r="J243" s="8"/>
      <c r="K243" s="8"/>
      <c r="L243" s="8"/>
      <c r="M243" s="8"/>
      <c r="N243" s="1269"/>
      <c r="O243" s="8"/>
      <c r="P243" s="8"/>
      <c r="Q243" s="8"/>
      <c r="R243" s="8"/>
      <c r="S243" s="8"/>
      <c r="T243" s="8"/>
      <c r="U243" s="8"/>
      <c r="V243" s="50"/>
      <c r="W243" s="8"/>
      <c r="AI243" s="66"/>
      <c r="AJ243" s="66"/>
      <c r="AK243" s="66"/>
      <c r="AL243" s="66"/>
      <c r="AM243" s="66"/>
      <c r="AN243" s="66"/>
      <c r="AO243" s="66"/>
      <c r="AP243" s="1310"/>
      <c r="BH243" s="67"/>
      <c r="BS243" s="66"/>
      <c r="BT243" s="66"/>
      <c r="BU243" s="66"/>
      <c r="BV243" s="66"/>
      <c r="BW243" s="66"/>
      <c r="BX243" s="66"/>
      <c r="BY243" s="66"/>
      <c r="BZ243" s="67"/>
      <c r="CA243" s="67"/>
      <c r="CB243" s="185"/>
      <c r="CC243" s="185"/>
      <c r="CE243" s="170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</row>
    <row r="244" spans="1:100" s="6" customFormat="1" ht="15.75" x14ac:dyDescent="0.2">
      <c r="A244" s="58"/>
      <c r="C244" s="58"/>
      <c r="D244" s="241"/>
      <c r="E244" s="8"/>
      <c r="F244" s="8"/>
      <c r="G244" s="8"/>
      <c r="H244" s="8"/>
      <c r="I244" s="8"/>
      <c r="J244" s="8"/>
      <c r="K244" s="8"/>
      <c r="L244" s="8"/>
      <c r="M244" s="8"/>
      <c r="N244" s="1269"/>
      <c r="O244" s="8"/>
      <c r="P244" s="8"/>
      <c r="Q244" s="8"/>
      <c r="R244" s="8"/>
      <c r="S244" s="8"/>
      <c r="T244" s="8"/>
      <c r="U244" s="8"/>
      <c r="V244" s="50"/>
      <c r="W244" s="8"/>
      <c r="AI244" s="66"/>
      <c r="AJ244" s="66"/>
      <c r="AK244" s="66"/>
      <c r="AL244" s="66"/>
      <c r="AM244" s="66"/>
      <c r="AN244" s="66"/>
      <c r="AO244" s="66"/>
      <c r="AP244" s="1310"/>
      <c r="BH244" s="67"/>
      <c r="BS244" s="66"/>
      <c r="BT244" s="66"/>
      <c r="BU244" s="66"/>
      <c r="BV244" s="66"/>
      <c r="BW244" s="66"/>
      <c r="BX244" s="66"/>
      <c r="BY244" s="66"/>
      <c r="BZ244" s="67"/>
      <c r="CA244" s="67"/>
      <c r="CB244" s="185"/>
      <c r="CC244" s="185"/>
      <c r="CE244" s="170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</row>
    <row r="245" spans="1:100" s="6" customFormat="1" ht="15.75" x14ac:dyDescent="0.2">
      <c r="A245" s="58"/>
      <c r="C245" s="58"/>
      <c r="D245" s="241"/>
      <c r="E245" s="8"/>
      <c r="F245" s="8"/>
      <c r="G245" s="8"/>
      <c r="H245" s="8"/>
      <c r="I245" s="8"/>
      <c r="J245" s="8"/>
      <c r="K245" s="8"/>
      <c r="L245" s="8"/>
      <c r="M245" s="8"/>
      <c r="N245" s="1269"/>
      <c r="O245" s="8"/>
      <c r="P245" s="8"/>
      <c r="Q245" s="8"/>
      <c r="R245" s="8"/>
      <c r="S245" s="8"/>
      <c r="T245" s="8"/>
      <c r="U245" s="8"/>
      <c r="V245" s="50"/>
      <c r="W245" s="8"/>
      <c r="AI245" s="66"/>
      <c r="AJ245" s="66"/>
      <c r="AK245" s="66"/>
      <c r="AL245" s="66"/>
      <c r="AM245" s="66"/>
      <c r="AN245" s="66"/>
      <c r="AO245" s="66"/>
      <c r="AP245" s="1310"/>
      <c r="BH245" s="67"/>
      <c r="BS245" s="66"/>
      <c r="BT245" s="66"/>
      <c r="BU245" s="66"/>
      <c r="BV245" s="66"/>
      <c r="BW245" s="66"/>
      <c r="BX245" s="66"/>
      <c r="BY245" s="66"/>
      <c r="BZ245" s="67"/>
      <c r="CA245" s="67"/>
      <c r="CB245" s="185"/>
      <c r="CC245" s="185"/>
      <c r="CE245" s="170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</row>
    <row r="246" spans="1:100" s="6" customFormat="1" ht="15.75" x14ac:dyDescent="0.2">
      <c r="A246" s="58"/>
      <c r="C246" s="58"/>
      <c r="D246" s="241"/>
      <c r="E246" s="8"/>
      <c r="F246" s="8"/>
      <c r="G246" s="8"/>
      <c r="H246" s="8"/>
      <c r="I246" s="8"/>
      <c r="J246" s="8"/>
      <c r="K246" s="8"/>
      <c r="L246" s="8"/>
      <c r="M246" s="8"/>
      <c r="N246" s="1269"/>
      <c r="O246" s="8"/>
      <c r="P246" s="8"/>
      <c r="Q246" s="8"/>
      <c r="R246" s="8"/>
      <c r="S246" s="8"/>
      <c r="T246" s="8"/>
      <c r="U246" s="8"/>
      <c r="V246" s="50"/>
      <c r="W246" s="8"/>
      <c r="AI246" s="66"/>
      <c r="AJ246" s="66"/>
      <c r="AK246" s="66"/>
      <c r="AL246" s="66"/>
      <c r="AM246" s="66"/>
      <c r="AN246" s="66"/>
      <c r="AO246" s="66"/>
      <c r="AP246" s="1310"/>
      <c r="BH246" s="67"/>
      <c r="BS246" s="66"/>
      <c r="BT246" s="66"/>
      <c r="BU246" s="66"/>
      <c r="BV246" s="66"/>
      <c r="BW246" s="66"/>
      <c r="BX246" s="66"/>
      <c r="BY246" s="66"/>
      <c r="BZ246" s="67"/>
      <c r="CA246" s="67"/>
      <c r="CB246" s="185"/>
      <c r="CC246" s="185"/>
      <c r="CE246" s="170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</row>
    <row r="247" spans="1:100" s="6" customFormat="1" ht="15.75" x14ac:dyDescent="0.2">
      <c r="A247" s="58"/>
      <c r="C247" s="58"/>
      <c r="D247" s="241"/>
      <c r="E247" s="8"/>
      <c r="F247" s="8"/>
      <c r="G247" s="8"/>
      <c r="H247" s="8"/>
      <c r="I247" s="8"/>
      <c r="J247" s="8"/>
      <c r="K247" s="8"/>
      <c r="L247" s="8"/>
      <c r="M247" s="8"/>
      <c r="N247" s="1269"/>
      <c r="O247" s="8"/>
      <c r="P247" s="8"/>
      <c r="Q247" s="8"/>
      <c r="R247" s="8"/>
      <c r="S247" s="8"/>
      <c r="T247" s="8"/>
      <c r="U247" s="8"/>
      <c r="V247" s="50"/>
      <c r="W247" s="8"/>
      <c r="AI247" s="66"/>
      <c r="AJ247" s="66"/>
      <c r="AK247" s="66"/>
      <c r="AL247" s="66"/>
      <c r="AM247" s="66"/>
      <c r="AN247" s="66"/>
      <c r="AO247" s="66"/>
      <c r="AP247" s="1310"/>
      <c r="BH247" s="67"/>
      <c r="BS247" s="66"/>
      <c r="BT247" s="66"/>
      <c r="BU247" s="66"/>
      <c r="BV247" s="66"/>
      <c r="BW247" s="66"/>
      <c r="BX247" s="66"/>
      <c r="BY247" s="66"/>
      <c r="BZ247" s="67"/>
      <c r="CA247" s="67"/>
      <c r="CB247" s="185"/>
      <c r="CC247" s="185"/>
      <c r="CE247" s="170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</row>
    <row r="248" spans="1:100" s="6" customFormat="1" ht="15.75" x14ac:dyDescent="0.2">
      <c r="A248" s="58"/>
      <c r="C248" s="58"/>
      <c r="D248" s="241"/>
      <c r="E248" s="8"/>
      <c r="F248" s="8"/>
      <c r="G248" s="8"/>
      <c r="H248" s="8"/>
      <c r="I248" s="8"/>
      <c r="J248" s="8"/>
      <c r="K248" s="8"/>
      <c r="L248" s="8"/>
      <c r="M248" s="8"/>
      <c r="N248" s="1269"/>
      <c r="O248" s="8"/>
      <c r="P248" s="8"/>
      <c r="Q248" s="8"/>
      <c r="R248" s="8"/>
      <c r="S248" s="8"/>
      <c r="T248" s="8"/>
      <c r="U248" s="8"/>
      <c r="V248" s="50"/>
      <c r="W248" s="8"/>
      <c r="AI248" s="66"/>
      <c r="AJ248" s="66"/>
      <c r="AK248" s="66"/>
      <c r="AL248" s="66"/>
      <c r="AM248" s="66"/>
      <c r="AN248" s="66"/>
      <c r="AO248" s="66"/>
      <c r="AP248" s="1310"/>
      <c r="BH248" s="67"/>
      <c r="BS248" s="66"/>
      <c r="BT248" s="66"/>
      <c r="BU248" s="66"/>
      <c r="BV248" s="66"/>
      <c r="BW248" s="66"/>
      <c r="BX248" s="66"/>
      <c r="BY248" s="66"/>
      <c r="BZ248" s="67"/>
      <c r="CA248" s="67"/>
      <c r="CB248" s="185"/>
      <c r="CC248" s="185"/>
      <c r="CE248" s="170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</row>
    <row r="249" spans="1:100" s="6" customFormat="1" ht="15.75" x14ac:dyDescent="0.2">
      <c r="A249" s="58"/>
      <c r="C249" s="58"/>
      <c r="D249" s="241"/>
      <c r="E249" s="8"/>
      <c r="F249" s="8"/>
      <c r="G249" s="8"/>
      <c r="H249" s="8"/>
      <c r="I249" s="8"/>
      <c r="J249" s="8"/>
      <c r="K249" s="8"/>
      <c r="L249" s="8"/>
      <c r="M249" s="8"/>
      <c r="N249" s="1269"/>
      <c r="O249" s="8"/>
      <c r="P249" s="8"/>
      <c r="Q249" s="8"/>
      <c r="R249" s="8"/>
      <c r="S249" s="8"/>
      <c r="T249" s="8"/>
      <c r="U249" s="8"/>
      <c r="V249" s="50"/>
      <c r="W249" s="8"/>
      <c r="AI249" s="66"/>
      <c r="AJ249" s="66"/>
      <c r="AK249" s="66"/>
      <c r="AL249" s="66"/>
      <c r="AM249" s="66"/>
      <c r="AN249" s="66"/>
      <c r="AO249" s="66"/>
      <c r="AP249" s="1310"/>
      <c r="BH249" s="67"/>
      <c r="BS249" s="66"/>
      <c r="BT249" s="66"/>
      <c r="BU249" s="66"/>
      <c r="BV249" s="66"/>
      <c r="BW249" s="66"/>
      <c r="BX249" s="66"/>
      <c r="BY249" s="66"/>
      <c r="BZ249" s="67"/>
      <c r="CA249" s="67"/>
      <c r="CB249" s="185"/>
      <c r="CC249" s="185"/>
      <c r="CE249" s="170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</row>
    <row r="250" spans="1:100" s="6" customFormat="1" ht="15.75" x14ac:dyDescent="0.2">
      <c r="A250" s="58"/>
      <c r="C250" s="58"/>
      <c r="D250" s="241"/>
      <c r="E250" s="8"/>
      <c r="F250" s="8"/>
      <c r="G250" s="8"/>
      <c r="H250" s="8"/>
      <c r="I250" s="8"/>
      <c r="J250" s="8"/>
      <c r="K250" s="8"/>
      <c r="L250" s="8"/>
      <c r="M250" s="8"/>
      <c r="N250" s="1269"/>
      <c r="O250" s="8"/>
      <c r="P250" s="8"/>
      <c r="Q250" s="8"/>
      <c r="R250" s="8"/>
      <c r="S250" s="8"/>
      <c r="T250" s="8"/>
      <c r="U250" s="8"/>
      <c r="V250" s="50"/>
      <c r="W250" s="8"/>
      <c r="AI250" s="66"/>
      <c r="AJ250" s="66"/>
      <c r="AK250" s="66"/>
      <c r="AL250" s="66"/>
      <c r="AM250" s="66"/>
      <c r="AN250" s="66"/>
      <c r="AO250" s="66"/>
      <c r="AP250" s="1310"/>
      <c r="BH250" s="67"/>
      <c r="BS250" s="66"/>
      <c r="BT250" s="66"/>
      <c r="BU250" s="66"/>
      <c r="BV250" s="66"/>
      <c r="BW250" s="66"/>
      <c r="BX250" s="66"/>
      <c r="BY250" s="66"/>
      <c r="BZ250" s="67"/>
      <c r="CA250" s="67"/>
      <c r="CB250" s="185"/>
      <c r="CC250" s="185"/>
      <c r="CE250" s="170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</row>
    <row r="251" spans="1:100" s="6" customFormat="1" ht="15.75" x14ac:dyDescent="0.2">
      <c r="A251" s="58"/>
      <c r="C251" s="58"/>
      <c r="D251" s="241"/>
      <c r="E251" s="8"/>
      <c r="F251" s="8"/>
      <c r="G251" s="8"/>
      <c r="H251" s="8"/>
      <c r="I251" s="8"/>
      <c r="J251" s="8"/>
      <c r="K251" s="8"/>
      <c r="L251" s="8"/>
      <c r="M251" s="8"/>
      <c r="N251" s="1269"/>
      <c r="O251" s="8"/>
      <c r="P251" s="8"/>
      <c r="Q251" s="8"/>
      <c r="R251" s="8"/>
      <c r="S251" s="8"/>
      <c r="T251" s="8"/>
      <c r="U251" s="8"/>
      <c r="V251" s="50"/>
      <c r="W251" s="8"/>
      <c r="AI251" s="66"/>
      <c r="AJ251" s="66"/>
      <c r="AK251" s="66"/>
      <c r="AL251" s="66"/>
      <c r="AM251" s="66"/>
      <c r="AN251" s="66"/>
      <c r="AO251" s="66"/>
      <c r="AP251" s="1310"/>
      <c r="BH251" s="67"/>
      <c r="BS251" s="66"/>
      <c r="BT251" s="66"/>
      <c r="BU251" s="66"/>
      <c r="BV251" s="66"/>
      <c r="BW251" s="66"/>
      <c r="BX251" s="66"/>
      <c r="BY251" s="66"/>
      <c r="BZ251" s="67"/>
      <c r="CA251" s="67"/>
      <c r="CB251" s="185"/>
      <c r="CC251" s="185"/>
      <c r="CE251" s="170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</row>
    <row r="252" spans="1:100" s="6" customFormat="1" ht="15.75" x14ac:dyDescent="0.2">
      <c r="A252" s="58"/>
      <c r="C252" s="58"/>
      <c r="D252" s="241"/>
      <c r="E252" s="8"/>
      <c r="F252" s="8"/>
      <c r="G252" s="8"/>
      <c r="H252" s="8"/>
      <c r="I252" s="8"/>
      <c r="J252" s="8"/>
      <c r="K252" s="8"/>
      <c r="L252" s="8"/>
      <c r="M252" s="8"/>
      <c r="N252" s="1269"/>
      <c r="O252" s="8"/>
      <c r="P252" s="8"/>
      <c r="Q252" s="8"/>
      <c r="R252" s="8"/>
      <c r="S252" s="8"/>
      <c r="T252" s="8"/>
      <c r="U252" s="8"/>
      <c r="V252" s="50"/>
      <c r="W252" s="8"/>
      <c r="AI252" s="66"/>
      <c r="AJ252" s="66"/>
      <c r="AK252" s="66"/>
      <c r="AL252" s="66"/>
      <c r="AM252" s="66"/>
      <c r="AN252" s="66"/>
      <c r="AO252" s="66"/>
      <c r="AP252" s="1310"/>
      <c r="BH252" s="67"/>
      <c r="BS252" s="66"/>
      <c r="BT252" s="66"/>
      <c r="BU252" s="66"/>
      <c r="BV252" s="66"/>
      <c r="BW252" s="66"/>
      <c r="BX252" s="66"/>
      <c r="BY252" s="66"/>
      <c r="BZ252" s="67"/>
      <c r="CA252" s="67"/>
      <c r="CB252" s="185"/>
      <c r="CC252" s="185"/>
      <c r="CE252" s="170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</row>
    <row r="253" spans="1:100" s="6" customFormat="1" ht="15.75" x14ac:dyDescent="0.2">
      <c r="A253" s="58"/>
      <c r="C253" s="58"/>
      <c r="D253" s="241"/>
      <c r="E253" s="8"/>
      <c r="F253" s="8"/>
      <c r="G253" s="8"/>
      <c r="H253" s="8"/>
      <c r="I253" s="8"/>
      <c r="J253" s="8"/>
      <c r="K253" s="8"/>
      <c r="L253" s="8"/>
      <c r="M253" s="8"/>
      <c r="N253" s="1269"/>
      <c r="O253" s="8"/>
      <c r="P253" s="8"/>
      <c r="Q253" s="8"/>
      <c r="R253" s="8"/>
      <c r="S253" s="8"/>
      <c r="T253" s="8"/>
      <c r="U253" s="8"/>
      <c r="V253" s="50"/>
      <c r="W253" s="8"/>
      <c r="AI253" s="66"/>
      <c r="AJ253" s="66"/>
      <c r="AK253" s="66"/>
      <c r="AL253" s="66"/>
      <c r="AM253" s="66"/>
      <c r="AN253" s="66"/>
      <c r="AO253" s="66"/>
      <c r="AP253" s="1310"/>
      <c r="BH253" s="67"/>
      <c r="BS253" s="66"/>
      <c r="BT253" s="66"/>
      <c r="BU253" s="66"/>
      <c r="BV253" s="66"/>
      <c r="BW253" s="66"/>
      <c r="BX253" s="66"/>
      <c r="BY253" s="66"/>
      <c r="BZ253" s="67"/>
      <c r="CA253" s="67"/>
      <c r="CB253" s="185"/>
      <c r="CC253" s="185"/>
      <c r="CE253" s="170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</row>
    <row r="254" spans="1:100" s="6" customFormat="1" ht="15.75" x14ac:dyDescent="0.2">
      <c r="A254" s="58"/>
      <c r="C254" s="58"/>
      <c r="D254" s="241"/>
      <c r="E254" s="8"/>
      <c r="F254" s="8"/>
      <c r="G254" s="8"/>
      <c r="H254" s="8"/>
      <c r="I254" s="8"/>
      <c r="J254" s="8"/>
      <c r="K254" s="8"/>
      <c r="L254" s="8"/>
      <c r="M254" s="8"/>
      <c r="N254" s="1269"/>
      <c r="O254" s="8"/>
      <c r="P254" s="8"/>
      <c r="Q254" s="8"/>
      <c r="R254" s="8"/>
      <c r="S254" s="8"/>
      <c r="T254" s="8"/>
      <c r="U254" s="8"/>
      <c r="V254" s="50"/>
      <c r="W254" s="8"/>
      <c r="AI254" s="66"/>
      <c r="AJ254" s="66"/>
      <c r="AK254" s="66"/>
      <c r="AL254" s="66"/>
      <c r="AM254" s="66"/>
      <c r="AN254" s="66"/>
      <c r="AO254" s="66"/>
      <c r="AP254" s="1310"/>
      <c r="BH254" s="67"/>
      <c r="BS254" s="66"/>
      <c r="BT254" s="66"/>
      <c r="BU254" s="66"/>
      <c r="BV254" s="66"/>
      <c r="BW254" s="66"/>
      <c r="BX254" s="66"/>
      <c r="BY254" s="66"/>
      <c r="BZ254" s="67"/>
      <c r="CA254" s="67"/>
      <c r="CB254" s="185"/>
      <c r="CC254" s="185"/>
      <c r="CE254" s="170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</row>
    <row r="255" spans="1:100" s="6" customFormat="1" ht="15.75" x14ac:dyDescent="0.2">
      <c r="A255" s="58"/>
      <c r="C255" s="58"/>
      <c r="D255" s="241"/>
      <c r="E255" s="8"/>
      <c r="F255" s="8"/>
      <c r="G255" s="8"/>
      <c r="H255" s="8"/>
      <c r="I255" s="8"/>
      <c r="J255" s="8"/>
      <c r="K255" s="8"/>
      <c r="L255" s="8"/>
      <c r="M255" s="8"/>
      <c r="N255" s="1269"/>
      <c r="O255" s="8"/>
      <c r="P255" s="8"/>
      <c r="Q255" s="8"/>
      <c r="R255" s="8"/>
      <c r="S255" s="8"/>
      <c r="T255" s="8"/>
      <c r="U255" s="8"/>
      <c r="V255" s="50"/>
      <c r="W255" s="8"/>
      <c r="AI255" s="66"/>
      <c r="AJ255" s="66"/>
      <c r="AK255" s="66"/>
      <c r="AL255" s="66"/>
      <c r="AM255" s="66"/>
      <c r="AN255" s="66"/>
      <c r="AO255" s="66"/>
      <c r="AP255" s="1310"/>
      <c r="BH255" s="67"/>
      <c r="BS255" s="66"/>
      <c r="BT255" s="66"/>
      <c r="BU255" s="66"/>
      <c r="BV255" s="66"/>
      <c r="BW255" s="66"/>
      <c r="BX255" s="66"/>
      <c r="BY255" s="66"/>
      <c r="BZ255" s="67"/>
      <c r="CA255" s="67"/>
      <c r="CB255" s="185"/>
      <c r="CC255" s="185"/>
      <c r="CE255" s="170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</row>
    <row r="256" spans="1:100" s="6" customFormat="1" ht="15.75" x14ac:dyDescent="0.2">
      <c r="A256" s="58"/>
      <c r="C256" s="58"/>
      <c r="D256" s="241"/>
      <c r="E256" s="8"/>
      <c r="F256" s="8"/>
      <c r="G256" s="8"/>
      <c r="H256" s="8"/>
      <c r="I256" s="8"/>
      <c r="J256" s="8"/>
      <c r="K256" s="8"/>
      <c r="L256" s="8"/>
      <c r="M256" s="8"/>
      <c r="N256" s="1269"/>
      <c r="O256" s="8"/>
      <c r="P256" s="8"/>
      <c r="Q256" s="8"/>
      <c r="R256" s="8"/>
      <c r="S256" s="8"/>
      <c r="T256" s="8"/>
      <c r="U256" s="8"/>
      <c r="V256" s="50"/>
      <c r="W256" s="8"/>
      <c r="AI256" s="66"/>
      <c r="AJ256" s="66"/>
      <c r="AK256" s="66"/>
      <c r="AL256" s="66"/>
      <c r="AM256" s="66"/>
      <c r="AN256" s="66"/>
      <c r="AO256" s="66"/>
      <c r="AP256" s="1310"/>
      <c r="BH256" s="67"/>
      <c r="BS256" s="66"/>
      <c r="BT256" s="66"/>
      <c r="BU256" s="66"/>
      <c r="BV256" s="66"/>
      <c r="BW256" s="66"/>
      <c r="BX256" s="66"/>
      <c r="BY256" s="66"/>
      <c r="BZ256" s="67"/>
      <c r="CA256" s="67"/>
      <c r="CB256" s="185"/>
      <c r="CC256" s="185"/>
      <c r="CE256" s="170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</row>
    <row r="257" spans="1:100" s="6" customFormat="1" ht="15.75" x14ac:dyDescent="0.2">
      <c r="A257" s="58"/>
      <c r="C257" s="58"/>
      <c r="D257" s="241"/>
      <c r="E257" s="8"/>
      <c r="F257" s="8"/>
      <c r="G257" s="8"/>
      <c r="H257" s="8"/>
      <c r="I257" s="8"/>
      <c r="J257" s="8"/>
      <c r="K257" s="8"/>
      <c r="L257" s="8"/>
      <c r="M257" s="8"/>
      <c r="N257" s="1269"/>
      <c r="O257" s="8"/>
      <c r="P257" s="8"/>
      <c r="Q257" s="8"/>
      <c r="R257" s="8"/>
      <c r="S257" s="8"/>
      <c r="T257" s="8"/>
      <c r="U257" s="8"/>
      <c r="V257" s="50"/>
      <c r="W257" s="8"/>
      <c r="AI257" s="66"/>
      <c r="AJ257" s="66"/>
      <c r="AK257" s="66"/>
      <c r="AL257" s="66"/>
      <c r="AM257" s="66"/>
      <c r="AN257" s="66"/>
      <c r="AO257" s="66"/>
      <c r="AP257" s="1310"/>
      <c r="BH257" s="67"/>
      <c r="BS257" s="66"/>
      <c r="BT257" s="66"/>
      <c r="BU257" s="66"/>
      <c r="BV257" s="66"/>
      <c r="BW257" s="66"/>
      <c r="BX257" s="66"/>
      <c r="BY257" s="66"/>
      <c r="BZ257" s="67"/>
      <c r="CA257" s="67"/>
      <c r="CB257" s="185"/>
      <c r="CC257" s="185"/>
      <c r="CE257" s="170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</row>
    <row r="258" spans="1:100" s="6" customFormat="1" ht="15.75" x14ac:dyDescent="0.2">
      <c r="A258" s="58"/>
      <c r="C258" s="58"/>
      <c r="D258" s="241"/>
      <c r="E258" s="8"/>
      <c r="F258" s="8"/>
      <c r="G258" s="8"/>
      <c r="H258" s="8"/>
      <c r="I258" s="8"/>
      <c r="J258" s="8"/>
      <c r="K258" s="8"/>
      <c r="L258" s="8"/>
      <c r="M258" s="8"/>
      <c r="N258" s="1269"/>
      <c r="O258" s="8"/>
      <c r="P258" s="8"/>
      <c r="Q258" s="8"/>
      <c r="R258" s="8"/>
      <c r="S258" s="8"/>
      <c r="T258" s="8"/>
      <c r="U258" s="8"/>
      <c r="V258" s="50"/>
      <c r="W258" s="8"/>
      <c r="AI258" s="66"/>
      <c r="AJ258" s="66"/>
      <c r="AK258" s="66"/>
      <c r="AL258" s="66"/>
      <c r="AM258" s="66"/>
      <c r="AN258" s="66"/>
      <c r="AO258" s="66"/>
      <c r="AP258" s="1310"/>
      <c r="BH258" s="67"/>
      <c r="BS258" s="66"/>
      <c r="BT258" s="66"/>
      <c r="BU258" s="66"/>
      <c r="BV258" s="66"/>
      <c r="BW258" s="66"/>
      <c r="BX258" s="66"/>
      <c r="BY258" s="66"/>
      <c r="BZ258" s="67"/>
      <c r="CA258" s="67"/>
      <c r="CB258" s="185"/>
      <c r="CC258" s="185"/>
      <c r="CE258" s="170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</row>
    <row r="259" spans="1:100" s="6" customFormat="1" ht="15.75" x14ac:dyDescent="0.2">
      <c r="A259" s="58"/>
      <c r="C259" s="58"/>
      <c r="D259" s="241"/>
      <c r="E259" s="8"/>
      <c r="F259" s="8"/>
      <c r="G259" s="8"/>
      <c r="H259" s="8"/>
      <c r="I259" s="8"/>
      <c r="J259" s="8"/>
      <c r="K259" s="8"/>
      <c r="L259" s="8"/>
      <c r="M259" s="8"/>
      <c r="N259" s="1269"/>
      <c r="O259" s="8"/>
      <c r="P259" s="8"/>
      <c r="Q259" s="8"/>
      <c r="R259" s="8"/>
      <c r="S259" s="8"/>
      <c r="T259" s="8"/>
      <c r="U259" s="8"/>
      <c r="V259" s="50"/>
      <c r="W259" s="8"/>
      <c r="AI259" s="66"/>
      <c r="AJ259" s="66"/>
      <c r="AK259" s="66"/>
      <c r="AL259" s="66"/>
      <c r="AM259" s="66"/>
      <c r="AN259" s="66"/>
      <c r="AO259" s="66"/>
      <c r="AP259" s="1310"/>
      <c r="BH259" s="67"/>
      <c r="BS259" s="66"/>
      <c r="BT259" s="66"/>
      <c r="BU259" s="66"/>
      <c r="BV259" s="66"/>
      <c r="BW259" s="66"/>
      <c r="BX259" s="66"/>
      <c r="BY259" s="66"/>
      <c r="BZ259" s="67"/>
      <c r="CA259" s="67"/>
      <c r="CB259" s="185"/>
      <c r="CC259" s="185"/>
      <c r="CE259" s="170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</row>
    <row r="260" spans="1:100" s="6" customFormat="1" ht="15.75" x14ac:dyDescent="0.2">
      <c r="A260" s="58"/>
      <c r="C260" s="58"/>
      <c r="D260" s="241"/>
      <c r="E260" s="8"/>
      <c r="F260" s="8"/>
      <c r="G260" s="8"/>
      <c r="H260" s="8"/>
      <c r="I260" s="8"/>
      <c r="J260" s="8"/>
      <c r="K260" s="8"/>
      <c r="L260" s="8"/>
      <c r="M260" s="8"/>
      <c r="N260" s="1269"/>
      <c r="O260" s="8"/>
      <c r="P260" s="8"/>
      <c r="Q260" s="8"/>
      <c r="R260" s="8"/>
      <c r="S260" s="8"/>
      <c r="T260" s="8"/>
      <c r="U260" s="8"/>
      <c r="V260" s="50"/>
      <c r="W260" s="8"/>
      <c r="AI260" s="66"/>
      <c r="AJ260" s="66"/>
      <c r="AK260" s="66"/>
      <c r="AL260" s="66"/>
      <c r="AM260" s="66"/>
      <c r="AN260" s="66"/>
      <c r="AO260" s="66"/>
      <c r="AP260" s="1310"/>
      <c r="BH260" s="67"/>
      <c r="BS260" s="66"/>
      <c r="BT260" s="66"/>
      <c r="BU260" s="66"/>
      <c r="BV260" s="66"/>
      <c r="BW260" s="66"/>
      <c r="BX260" s="66"/>
      <c r="BY260" s="66"/>
      <c r="BZ260" s="67"/>
      <c r="CA260" s="67"/>
      <c r="CB260" s="185"/>
      <c r="CC260" s="185"/>
      <c r="CE260" s="170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</row>
    <row r="261" spans="1:100" s="6" customFormat="1" ht="15.75" x14ac:dyDescent="0.2">
      <c r="A261" s="58"/>
      <c r="C261" s="58"/>
      <c r="D261" s="241"/>
      <c r="E261" s="8"/>
      <c r="F261" s="8"/>
      <c r="G261" s="8"/>
      <c r="H261" s="8"/>
      <c r="I261" s="8"/>
      <c r="J261" s="8"/>
      <c r="K261" s="8"/>
      <c r="L261" s="8"/>
      <c r="M261" s="8"/>
      <c r="N261" s="1269"/>
      <c r="O261" s="8"/>
      <c r="P261" s="8"/>
      <c r="Q261" s="8"/>
      <c r="R261" s="8"/>
      <c r="S261" s="8"/>
      <c r="T261" s="8"/>
      <c r="U261" s="8"/>
      <c r="V261" s="50"/>
      <c r="W261" s="8"/>
      <c r="AI261" s="66"/>
      <c r="AJ261" s="66"/>
      <c r="AK261" s="66"/>
      <c r="AL261" s="66"/>
      <c r="AM261" s="66"/>
      <c r="AN261" s="66"/>
      <c r="AO261" s="66"/>
      <c r="AP261" s="1310"/>
      <c r="BH261" s="67"/>
      <c r="BS261" s="66"/>
      <c r="BT261" s="66"/>
      <c r="BU261" s="66"/>
      <c r="BV261" s="66"/>
      <c r="BW261" s="66"/>
      <c r="BX261" s="66"/>
      <c r="BY261" s="66"/>
      <c r="BZ261" s="67"/>
      <c r="CA261" s="67"/>
      <c r="CB261" s="185"/>
      <c r="CC261" s="185"/>
      <c r="CE261" s="170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</row>
    <row r="262" spans="1:100" s="6" customFormat="1" ht="15.75" x14ac:dyDescent="0.2">
      <c r="A262" s="58"/>
      <c r="C262" s="58"/>
      <c r="D262" s="241"/>
      <c r="E262" s="8"/>
      <c r="F262" s="8"/>
      <c r="G262" s="8"/>
      <c r="H262" s="8"/>
      <c r="I262" s="8"/>
      <c r="J262" s="8"/>
      <c r="K262" s="8"/>
      <c r="L262" s="8"/>
      <c r="M262" s="8"/>
      <c r="N262" s="1269"/>
      <c r="O262" s="8"/>
      <c r="P262" s="8"/>
      <c r="Q262" s="8"/>
      <c r="R262" s="8"/>
      <c r="S262" s="8"/>
      <c r="T262" s="8"/>
      <c r="U262" s="8"/>
      <c r="V262" s="50"/>
      <c r="W262" s="8"/>
      <c r="AI262" s="66"/>
      <c r="AJ262" s="66"/>
      <c r="AK262" s="66"/>
      <c r="AL262" s="66"/>
      <c r="AM262" s="66"/>
      <c r="AN262" s="66"/>
      <c r="AO262" s="66"/>
      <c r="AP262" s="1310"/>
      <c r="BH262" s="67"/>
      <c r="BS262" s="66"/>
      <c r="BT262" s="66"/>
      <c r="BU262" s="66"/>
      <c r="BV262" s="66"/>
      <c r="BW262" s="66"/>
      <c r="BX262" s="66"/>
      <c r="BY262" s="66"/>
      <c r="BZ262" s="67"/>
      <c r="CA262" s="67"/>
      <c r="CB262" s="185"/>
      <c r="CC262" s="185"/>
      <c r="CE262" s="170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</row>
    <row r="263" spans="1:100" s="6" customFormat="1" ht="15.75" x14ac:dyDescent="0.2">
      <c r="A263" s="58"/>
      <c r="C263" s="58"/>
      <c r="D263" s="241"/>
      <c r="E263" s="8"/>
      <c r="F263" s="8"/>
      <c r="G263" s="8"/>
      <c r="H263" s="8"/>
      <c r="I263" s="8"/>
      <c r="J263" s="8"/>
      <c r="K263" s="8"/>
      <c r="L263" s="8"/>
      <c r="M263" s="8"/>
      <c r="N263" s="1269"/>
      <c r="O263" s="8"/>
      <c r="P263" s="8"/>
      <c r="Q263" s="8"/>
      <c r="R263" s="8"/>
      <c r="S263" s="8"/>
      <c r="T263" s="8"/>
      <c r="U263" s="8"/>
      <c r="V263" s="50"/>
      <c r="W263" s="8"/>
      <c r="AI263" s="66"/>
      <c r="AJ263" s="66"/>
      <c r="AK263" s="66"/>
      <c r="AL263" s="66"/>
      <c r="AM263" s="66"/>
      <c r="AN263" s="66"/>
      <c r="AO263" s="66"/>
      <c r="AP263" s="1310"/>
      <c r="BH263" s="67"/>
      <c r="BS263" s="66"/>
      <c r="BT263" s="66"/>
      <c r="BU263" s="66"/>
      <c r="BV263" s="66"/>
      <c r="BW263" s="66"/>
      <c r="BX263" s="66"/>
      <c r="BY263" s="66"/>
      <c r="BZ263" s="67"/>
      <c r="CA263" s="67"/>
      <c r="CB263" s="185"/>
      <c r="CC263" s="185"/>
      <c r="CE263" s="170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</row>
    <row r="264" spans="1:100" s="6" customFormat="1" ht="15.75" x14ac:dyDescent="0.2">
      <c r="A264" s="58"/>
      <c r="C264" s="58"/>
      <c r="D264" s="241"/>
      <c r="E264" s="8"/>
      <c r="F264" s="8"/>
      <c r="G264" s="8"/>
      <c r="H264" s="8"/>
      <c r="I264" s="8"/>
      <c r="J264" s="8"/>
      <c r="K264" s="8"/>
      <c r="L264" s="8"/>
      <c r="M264" s="8"/>
      <c r="N264" s="1269"/>
      <c r="O264" s="8"/>
      <c r="P264" s="8"/>
      <c r="Q264" s="8"/>
      <c r="R264" s="8"/>
      <c r="S264" s="8"/>
      <c r="T264" s="8"/>
      <c r="U264" s="8"/>
      <c r="V264" s="50"/>
      <c r="W264" s="8"/>
      <c r="AI264" s="66"/>
      <c r="AJ264" s="66"/>
      <c r="AK264" s="66"/>
      <c r="AL264" s="66"/>
      <c r="AM264" s="66"/>
      <c r="AN264" s="66"/>
      <c r="AO264" s="66"/>
      <c r="AP264" s="1310"/>
      <c r="BH264" s="67"/>
      <c r="BS264" s="66"/>
      <c r="BT264" s="66"/>
      <c r="BU264" s="66"/>
      <c r="BV264" s="66"/>
      <c r="BW264" s="66"/>
      <c r="BX264" s="66"/>
      <c r="BY264" s="66"/>
      <c r="BZ264" s="67"/>
      <c r="CA264" s="67"/>
      <c r="CB264" s="185"/>
      <c r="CC264" s="185"/>
      <c r="CE264" s="170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</row>
    <row r="265" spans="1:100" s="6" customFormat="1" ht="15.75" x14ac:dyDescent="0.2">
      <c r="A265" s="58"/>
      <c r="C265" s="58"/>
      <c r="D265" s="241"/>
      <c r="E265" s="8"/>
      <c r="F265" s="8"/>
      <c r="G265" s="8"/>
      <c r="H265" s="8"/>
      <c r="I265" s="8"/>
      <c r="J265" s="8"/>
      <c r="K265" s="8"/>
      <c r="L265" s="8"/>
      <c r="M265" s="8"/>
      <c r="N265" s="1269"/>
      <c r="O265" s="8"/>
      <c r="P265" s="8"/>
      <c r="Q265" s="8"/>
      <c r="R265" s="8"/>
      <c r="S265" s="8"/>
      <c r="T265" s="8"/>
      <c r="U265" s="8"/>
      <c r="V265" s="50"/>
      <c r="W265" s="8"/>
      <c r="AI265" s="66"/>
      <c r="AJ265" s="66"/>
      <c r="AK265" s="66"/>
      <c r="AL265" s="66"/>
      <c r="AM265" s="66"/>
      <c r="AN265" s="66"/>
      <c r="AO265" s="66"/>
      <c r="AP265" s="1310"/>
      <c r="BH265" s="67"/>
      <c r="BS265" s="66"/>
      <c r="BT265" s="66"/>
      <c r="BU265" s="66"/>
      <c r="BV265" s="66"/>
      <c r="BW265" s="66"/>
      <c r="BX265" s="66"/>
      <c r="BY265" s="66"/>
      <c r="BZ265" s="67"/>
      <c r="CA265" s="67"/>
      <c r="CB265" s="185"/>
      <c r="CC265" s="185"/>
      <c r="CE265" s="170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</row>
    <row r="266" spans="1:100" s="6" customFormat="1" ht="15.75" x14ac:dyDescent="0.2">
      <c r="A266" s="58"/>
      <c r="C266" s="58"/>
      <c r="D266" s="241"/>
      <c r="E266" s="8"/>
      <c r="F266" s="8"/>
      <c r="G266" s="8"/>
      <c r="H266" s="8"/>
      <c r="I266" s="8"/>
      <c r="J266" s="8"/>
      <c r="K266" s="8"/>
      <c r="L266" s="8"/>
      <c r="M266" s="8"/>
      <c r="N266" s="1269"/>
      <c r="O266" s="8"/>
      <c r="P266" s="8"/>
      <c r="Q266" s="8"/>
      <c r="R266" s="8"/>
      <c r="S266" s="8"/>
      <c r="T266" s="8"/>
      <c r="U266" s="8"/>
      <c r="V266" s="50"/>
      <c r="W266" s="8"/>
      <c r="AI266" s="66"/>
      <c r="AJ266" s="66"/>
      <c r="AK266" s="66"/>
      <c r="AL266" s="66"/>
      <c r="AM266" s="66"/>
      <c r="AN266" s="66"/>
      <c r="AO266" s="66"/>
      <c r="AP266" s="1310"/>
      <c r="BH266" s="67"/>
      <c r="BS266" s="66"/>
      <c r="BT266" s="66"/>
      <c r="BU266" s="66"/>
      <c r="BV266" s="66"/>
      <c r="BW266" s="66"/>
      <c r="BX266" s="66"/>
      <c r="BY266" s="66"/>
      <c r="BZ266" s="67"/>
      <c r="CA266" s="67"/>
      <c r="CB266" s="185"/>
      <c r="CC266" s="185"/>
      <c r="CE266" s="170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</row>
    <row r="267" spans="1:100" s="6" customFormat="1" ht="15.75" x14ac:dyDescent="0.2">
      <c r="A267" s="58"/>
      <c r="C267" s="58"/>
      <c r="D267" s="241"/>
      <c r="E267" s="8"/>
      <c r="F267" s="8"/>
      <c r="G267" s="8"/>
      <c r="H267" s="8"/>
      <c r="I267" s="8"/>
      <c r="J267" s="8"/>
      <c r="K267" s="8"/>
      <c r="L267" s="8"/>
      <c r="M267" s="8"/>
      <c r="N267" s="1269"/>
      <c r="O267" s="8"/>
      <c r="P267" s="8"/>
      <c r="Q267" s="8"/>
      <c r="R267" s="8"/>
      <c r="S267" s="8"/>
      <c r="T267" s="8"/>
      <c r="U267" s="8"/>
      <c r="V267" s="50"/>
      <c r="W267" s="8"/>
      <c r="AI267" s="66"/>
      <c r="AJ267" s="66"/>
      <c r="AK267" s="66"/>
      <c r="AL267" s="66"/>
      <c r="AM267" s="66"/>
      <c r="AN267" s="66"/>
      <c r="AO267" s="66"/>
      <c r="AP267" s="1310"/>
      <c r="BH267" s="67"/>
      <c r="BS267" s="66"/>
      <c r="BT267" s="66"/>
      <c r="BU267" s="66"/>
      <c r="BV267" s="66"/>
      <c r="BW267" s="66"/>
      <c r="BX267" s="66"/>
      <c r="BY267" s="66"/>
      <c r="BZ267" s="67"/>
      <c r="CA267" s="67"/>
      <c r="CB267" s="185"/>
      <c r="CC267" s="185"/>
      <c r="CE267" s="170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</row>
    <row r="268" spans="1:100" s="6" customFormat="1" ht="15.75" x14ac:dyDescent="0.2">
      <c r="A268" s="58"/>
      <c r="C268" s="58"/>
      <c r="D268" s="241"/>
      <c r="E268" s="8"/>
      <c r="F268" s="8"/>
      <c r="G268" s="8"/>
      <c r="H268" s="8"/>
      <c r="I268" s="8"/>
      <c r="J268" s="8"/>
      <c r="K268" s="8"/>
      <c r="L268" s="8"/>
      <c r="M268" s="8"/>
      <c r="N268" s="1269"/>
      <c r="O268" s="8"/>
      <c r="P268" s="8"/>
      <c r="Q268" s="8"/>
      <c r="R268" s="8"/>
      <c r="S268" s="8"/>
      <c r="T268" s="8"/>
      <c r="U268" s="8"/>
      <c r="V268" s="50"/>
      <c r="W268" s="8"/>
      <c r="AI268" s="66"/>
      <c r="AJ268" s="66"/>
      <c r="AK268" s="66"/>
      <c r="AL268" s="66"/>
      <c r="AM268" s="66"/>
      <c r="AN268" s="66"/>
      <c r="AO268" s="66"/>
      <c r="AP268" s="1310"/>
      <c r="BH268" s="67"/>
      <c r="BS268" s="66"/>
      <c r="BT268" s="66"/>
      <c r="BU268" s="66"/>
      <c r="BV268" s="66"/>
      <c r="BW268" s="66"/>
      <c r="BX268" s="66"/>
      <c r="BY268" s="66"/>
      <c r="BZ268" s="67"/>
      <c r="CA268" s="67"/>
      <c r="CB268" s="185"/>
      <c r="CC268" s="185"/>
      <c r="CE268" s="170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</row>
    <row r="269" spans="1:100" s="6" customFormat="1" ht="15.75" x14ac:dyDescent="0.2">
      <c r="A269" s="58"/>
      <c r="C269" s="58"/>
      <c r="D269" s="241"/>
      <c r="E269" s="8"/>
      <c r="F269" s="8"/>
      <c r="G269" s="8"/>
      <c r="H269" s="8"/>
      <c r="I269" s="8"/>
      <c r="J269" s="8"/>
      <c r="K269" s="8"/>
      <c r="L269" s="8"/>
      <c r="M269" s="8"/>
      <c r="N269" s="1269"/>
      <c r="O269" s="8"/>
      <c r="P269" s="8"/>
      <c r="Q269" s="8"/>
      <c r="R269" s="8"/>
      <c r="S269" s="8"/>
      <c r="T269" s="8"/>
      <c r="U269" s="8"/>
      <c r="V269" s="50"/>
      <c r="W269" s="8"/>
      <c r="AI269" s="66"/>
      <c r="AJ269" s="66"/>
      <c r="AK269" s="66"/>
      <c r="AL269" s="66"/>
      <c r="AM269" s="66"/>
      <c r="AN269" s="66"/>
      <c r="AO269" s="66"/>
      <c r="AP269" s="1310"/>
      <c r="BH269" s="67"/>
      <c r="BS269" s="66"/>
      <c r="BT269" s="66"/>
      <c r="BU269" s="66"/>
      <c r="BV269" s="66"/>
      <c r="BW269" s="66"/>
      <c r="BX269" s="66"/>
      <c r="BY269" s="66"/>
      <c r="BZ269" s="67"/>
      <c r="CA269" s="67"/>
      <c r="CB269" s="185"/>
      <c r="CC269" s="185"/>
      <c r="CE269" s="170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</row>
    <row r="270" spans="1:100" s="6" customFormat="1" ht="15.75" x14ac:dyDescent="0.2">
      <c r="A270" s="58"/>
      <c r="C270" s="58"/>
      <c r="D270" s="241"/>
      <c r="E270" s="8"/>
      <c r="F270" s="8"/>
      <c r="G270" s="8"/>
      <c r="H270" s="8"/>
      <c r="I270" s="8"/>
      <c r="J270" s="8"/>
      <c r="K270" s="8"/>
      <c r="L270" s="8"/>
      <c r="M270" s="8"/>
      <c r="N270" s="1269"/>
      <c r="O270" s="8"/>
      <c r="P270" s="8"/>
      <c r="Q270" s="8"/>
      <c r="R270" s="8"/>
      <c r="S270" s="8"/>
      <c r="T270" s="8"/>
      <c r="U270" s="8"/>
      <c r="V270" s="50"/>
      <c r="W270" s="8"/>
      <c r="AI270" s="66"/>
      <c r="AJ270" s="66"/>
      <c r="AK270" s="66"/>
      <c r="AL270" s="66"/>
      <c r="AM270" s="66"/>
      <c r="AN270" s="66"/>
      <c r="AO270" s="66"/>
      <c r="AP270" s="1310"/>
      <c r="BH270" s="67"/>
      <c r="BS270" s="66"/>
      <c r="BT270" s="66"/>
      <c r="BU270" s="66"/>
      <c r="BV270" s="66"/>
      <c r="BW270" s="66"/>
      <c r="BX270" s="66"/>
      <c r="BY270" s="66"/>
      <c r="BZ270" s="67"/>
      <c r="CA270" s="67"/>
      <c r="CB270" s="185"/>
      <c r="CC270" s="185"/>
      <c r="CE270" s="170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</row>
    <row r="271" spans="1:100" s="6" customFormat="1" ht="15.75" x14ac:dyDescent="0.2">
      <c r="A271" s="58"/>
      <c r="C271" s="58"/>
      <c r="D271" s="241"/>
      <c r="E271" s="8"/>
      <c r="F271" s="8"/>
      <c r="G271" s="8"/>
      <c r="H271" s="8"/>
      <c r="I271" s="8"/>
      <c r="J271" s="8"/>
      <c r="K271" s="8"/>
      <c r="L271" s="8"/>
      <c r="M271" s="8"/>
      <c r="N271" s="1269"/>
      <c r="O271" s="8"/>
      <c r="P271" s="8"/>
      <c r="Q271" s="8"/>
      <c r="R271" s="8"/>
      <c r="S271" s="8"/>
      <c r="T271" s="8"/>
      <c r="U271" s="8"/>
      <c r="V271" s="50"/>
      <c r="W271" s="8"/>
      <c r="AI271" s="66"/>
      <c r="AJ271" s="66"/>
      <c r="AK271" s="66"/>
      <c r="AL271" s="66"/>
      <c r="AM271" s="66"/>
      <c r="AN271" s="66"/>
      <c r="AO271" s="66"/>
      <c r="AP271" s="1310"/>
      <c r="BH271" s="67"/>
      <c r="BS271" s="66"/>
      <c r="BT271" s="66"/>
      <c r="BU271" s="66"/>
      <c r="BV271" s="66"/>
      <c r="BW271" s="66"/>
      <c r="BX271" s="66"/>
      <c r="BY271" s="66"/>
      <c r="BZ271" s="67"/>
      <c r="CA271" s="67"/>
      <c r="CB271" s="185"/>
      <c r="CC271" s="185"/>
      <c r="CE271" s="170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</row>
    <row r="272" spans="1:100" s="6" customFormat="1" ht="15.75" x14ac:dyDescent="0.2">
      <c r="A272" s="58"/>
      <c r="C272" s="58"/>
      <c r="D272" s="241"/>
      <c r="E272" s="8"/>
      <c r="F272" s="8"/>
      <c r="G272" s="8"/>
      <c r="H272" s="8"/>
      <c r="I272" s="8"/>
      <c r="J272" s="8"/>
      <c r="K272" s="8"/>
      <c r="L272" s="8"/>
      <c r="M272" s="8"/>
      <c r="N272" s="1269"/>
      <c r="O272" s="8"/>
      <c r="P272" s="8"/>
      <c r="Q272" s="8"/>
      <c r="R272" s="8"/>
      <c r="S272" s="8"/>
      <c r="T272" s="8"/>
      <c r="U272" s="8"/>
      <c r="V272" s="50"/>
      <c r="W272" s="8"/>
      <c r="AI272" s="66"/>
      <c r="AJ272" s="66"/>
      <c r="AK272" s="66"/>
      <c r="AL272" s="66"/>
      <c r="AM272" s="66"/>
      <c r="AN272" s="66"/>
      <c r="AO272" s="66"/>
      <c r="AP272" s="1310"/>
      <c r="BH272" s="67"/>
      <c r="BS272" s="66"/>
      <c r="BT272" s="66"/>
      <c r="BU272" s="66"/>
      <c r="BV272" s="66"/>
      <c r="BW272" s="66"/>
      <c r="BX272" s="66"/>
      <c r="BY272" s="66"/>
      <c r="BZ272" s="67"/>
      <c r="CA272" s="67"/>
      <c r="CB272" s="185"/>
      <c r="CC272" s="185"/>
      <c r="CE272" s="170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</row>
    <row r="273" spans="1:100" s="6" customFormat="1" ht="15.75" x14ac:dyDescent="0.2">
      <c r="A273" s="58"/>
      <c r="C273" s="58"/>
      <c r="D273" s="241"/>
      <c r="E273" s="8"/>
      <c r="F273" s="8"/>
      <c r="G273" s="8"/>
      <c r="H273" s="8"/>
      <c r="I273" s="8"/>
      <c r="J273" s="8"/>
      <c r="K273" s="8"/>
      <c r="L273" s="8"/>
      <c r="M273" s="8"/>
      <c r="N273" s="1269"/>
      <c r="O273" s="8"/>
      <c r="P273" s="8"/>
      <c r="Q273" s="8"/>
      <c r="R273" s="8"/>
      <c r="S273" s="8"/>
      <c r="T273" s="8"/>
      <c r="U273" s="8"/>
      <c r="V273" s="50"/>
      <c r="W273" s="8"/>
      <c r="AI273" s="66"/>
      <c r="AJ273" s="66"/>
      <c r="AK273" s="66"/>
      <c r="AL273" s="66"/>
      <c r="AM273" s="66"/>
      <c r="AN273" s="66"/>
      <c r="AO273" s="66"/>
      <c r="AP273" s="1310"/>
      <c r="BH273" s="67"/>
      <c r="BS273" s="66"/>
      <c r="BT273" s="66"/>
      <c r="BU273" s="66"/>
      <c r="BV273" s="66"/>
      <c r="BW273" s="66"/>
      <c r="BX273" s="66"/>
      <c r="BY273" s="66"/>
      <c r="BZ273" s="67"/>
      <c r="CA273" s="67"/>
      <c r="CB273" s="185"/>
      <c r="CC273" s="185"/>
      <c r="CE273" s="170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</row>
    <row r="274" spans="1:100" s="6" customFormat="1" ht="15.75" x14ac:dyDescent="0.2">
      <c r="A274" s="58"/>
      <c r="C274" s="58"/>
      <c r="D274" s="241"/>
      <c r="E274" s="8"/>
      <c r="F274" s="8"/>
      <c r="G274" s="8"/>
      <c r="H274" s="8"/>
      <c r="I274" s="8"/>
      <c r="J274" s="8"/>
      <c r="K274" s="8"/>
      <c r="L274" s="8"/>
      <c r="M274" s="8"/>
      <c r="N274" s="1269"/>
      <c r="O274" s="8"/>
      <c r="P274" s="8"/>
      <c r="Q274" s="8"/>
      <c r="R274" s="8"/>
      <c r="S274" s="8"/>
      <c r="T274" s="8"/>
      <c r="U274" s="8"/>
      <c r="V274" s="50"/>
      <c r="W274" s="8"/>
      <c r="AI274" s="66"/>
      <c r="AJ274" s="66"/>
      <c r="AK274" s="66"/>
      <c r="AL274" s="66"/>
      <c r="AM274" s="66"/>
      <c r="AN274" s="66"/>
      <c r="AO274" s="66"/>
      <c r="AP274" s="1310"/>
      <c r="BH274" s="67"/>
      <c r="BS274" s="66"/>
      <c r="BT274" s="66"/>
      <c r="BU274" s="66"/>
      <c r="BV274" s="66"/>
      <c r="BW274" s="66"/>
      <c r="BX274" s="66"/>
      <c r="BY274" s="66"/>
      <c r="BZ274" s="67"/>
      <c r="CA274" s="67"/>
      <c r="CB274" s="185"/>
      <c r="CC274" s="185"/>
      <c r="CE274" s="170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</row>
    <row r="275" spans="1:100" s="6" customFormat="1" ht="15.75" x14ac:dyDescent="0.2">
      <c r="A275" s="58"/>
      <c r="C275" s="58"/>
      <c r="D275" s="241"/>
      <c r="E275" s="8"/>
      <c r="F275" s="8"/>
      <c r="G275" s="8"/>
      <c r="H275" s="8"/>
      <c r="I275" s="8"/>
      <c r="J275" s="8"/>
      <c r="K275" s="8"/>
      <c r="L275" s="8"/>
      <c r="M275" s="8"/>
      <c r="N275" s="1269"/>
      <c r="O275" s="8"/>
      <c r="P275" s="8"/>
      <c r="Q275" s="8"/>
      <c r="R275" s="8"/>
      <c r="S275" s="8"/>
      <c r="T275" s="8"/>
      <c r="U275" s="8"/>
      <c r="V275" s="50"/>
      <c r="W275" s="8"/>
      <c r="AI275" s="66"/>
      <c r="AJ275" s="66"/>
      <c r="AK275" s="66"/>
      <c r="AL275" s="66"/>
      <c r="AM275" s="66"/>
      <c r="AN275" s="66"/>
      <c r="AO275" s="66"/>
      <c r="AP275" s="1310"/>
      <c r="BH275" s="67"/>
      <c r="BS275" s="66"/>
      <c r="BT275" s="66"/>
      <c r="BU275" s="66"/>
      <c r="BV275" s="66"/>
      <c r="BW275" s="66"/>
      <c r="BX275" s="66"/>
      <c r="BY275" s="66"/>
      <c r="BZ275" s="67"/>
      <c r="CA275" s="67"/>
      <c r="CB275" s="185"/>
      <c r="CC275" s="185"/>
      <c r="CE275" s="170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</row>
    <row r="276" spans="1:100" s="6" customFormat="1" ht="15.75" x14ac:dyDescent="0.2">
      <c r="A276" s="58"/>
      <c r="C276" s="58"/>
      <c r="D276" s="241"/>
      <c r="E276" s="8"/>
      <c r="F276" s="8"/>
      <c r="G276" s="8"/>
      <c r="H276" s="8"/>
      <c r="I276" s="8"/>
      <c r="J276" s="8"/>
      <c r="K276" s="8"/>
      <c r="L276" s="8"/>
      <c r="M276" s="8"/>
      <c r="N276" s="1269"/>
      <c r="O276" s="8"/>
      <c r="P276" s="8"/>
      <c r="Q276" s="8"/>
      <c r="R276" s="8"/>
      <c r="S276" s="8"/>
      <c r="T276" s="8"/>
      <c r="U276" s="8"/>
      <c r="V276" s="50"/>
      <c r="W276" s="8"/>
      <c r="AI276" s="66"/>
      <c r="AJ276" s="66"/>
      <c r="AK276" s="66"/>
      <c r="AL276" s="66"/>
      <c r="AM276" s="66"/>
      <c r="AN276" s="66"/>
      <c r="AO276" s="66"/>
      <c r="AP276" s="1310"/>
      <c r="BH276" s="67"/>
      <c r="BS276" s="66"/>
      <c r="BT276" s="66"/>
      <c r="BU276" s="66"/>
      <c r="BV276" s="66"/>
      <c r="BW276" s="66"/>
      <c r="BX276" s="66"/>
      <c r="BY276" s="66"/>
      <c r="BZ276" s="67"/>
      <c r="CA276" s="67"/>
      <c r="CB276" s="185"/>
      <c r="CC276" s="185"/>
      <c r="CE276" s="170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</row>
    <row r="277" spans="1:100" s="6" customFormat="1" ht="15.75" x14ac:dyDescent="0.2">
      <c r="A277" s="58"/>
      <c r="C277" s="58"/>
      <c r="D277" s="241"/>
      <c r="E277" s="8"/>
      <c r="F277" s="8"/>
      <c r="G277" s="8"/>
      <c r="H277" s="8"/>
      <c r="I277" s="8"/>
      <c r="J277" s="8"/>
      <c r="K277" s="8"/>
      <c r="L277" s="8"/>
      <c r="M277" s="8"/>
      <c r="N277" s="1269"/>
      <c r="O277" s="8"/>
      <c r="P277" s="8"/>
      <c r="Q277" s="8"/>
      <c r="R277" s="8"/>
      <c r="S277" s="8"/>
      <c r="T277" s="8"/>
      <c r="U277" s="8"/>
      <c r="V277" s="50"/>
      <c r="W277" s="8"/>
      <c r="AI277" s="66"/>
      <c r="AJ277" s="66"/>
      <c r="AK277" s="66"/>
      <c r="AL277" s="66"/>
      <c r="AM277" s="66"/>
      <c r="AN277" s="66"/>
      <c r="AO277" s="66"/>
      <c r="AP277" s="1310"/>
      <c r="BH277" s="67"/>
      <c r="BS277" s="66"/>
      <c r="BT277" s="66"/>
      <c r="BU277" s="66"/>
      <c r="BV277" s="66"/>
      <c r="BW277" s="66"/>
      <c r="BX277" s="66"/>
      <c r="BY277" s="66"/>
      <c r="BZ277" s="67"/>
      <c r="CA277" s="67"/>
      <c r="CB277" s="185"/>
      <c r="CC277" s="185"/>
      <c r="CE277" s="170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</row>
    <row r="278" spans="1:100" s="6" customFormat="1" ht="15.75" x14ac:dyDescent="0.2">
      <c r="A278" s="58"/>
      <c r="C278" s="58"/>
      <c r="D278" s="241"/>
      <c r="E278" s="8"/>
      <c r="F278" s="8"/>
      <c r="G278" s="8"/>
      <c r="H278" s="8"/>
      <c r="I278" s="8"/>
      <c r="J278" s="8"/>
      <c r="K278" s="8"/>
      <c r="L278" s="8"/>
      <c r="M278" s="8"/>
      <c r="N278" s="1269"/>
      <c r="O278" s="8"/>
      <c r="P278" s="8"/>
      <c r="Q278" s="8"/>
      <c r="R278" s="8"/>
      <c r="S278" s="8"/>
      <c r="T278" s="8"/>
      <c r="U278" s="8"/>
      <c r="V278" s="50"/>
      <c r="W278" s="8"/>
      <c r="AI278" s="66"/>
      <c r="AJ278" s="66"/>
      <c r="AK278" s="66"/>
      <c r="AL278" s="66"/>
      <c r="AM278" s="66"/>
      <c r="AN278" s="66"/>
      <c r="AO278" s="66"/>
      <c r="AP278" s="1310"/>
      <c r="BH278" s="67"/>
      <c r="BS278" s="66"/>
      <c r="BT278" s="66"/>
      <c r="BU278" s="66"/>
      <c r="BV278" s="66"/>
      <c r="BW278" s="66"/>
      <c r="BX278" s="66"/>
      <c r="BY278" s="66"/>
      <c r="BZ278" s="67"/>
      <c r="CA278" s="67"/>
      <c r="CB278" s="185"/>
      <c r="CC278" s="185"/>
      <c r="CE278" s="170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</row>
    <row r="279" spans="1:100" s="6" customFormat="1" ht="15.75" x14ac:dyDescent="0.2">
      <c r="A279" s="58"/>
      <c r="C279" s="58"/>
      <c r="D279" s="241"/>
      <c r="E279" s="8"/>
      <c r="F279" s="8"/>
      <c r="G279" s="8"/>
      <c r="H279" s="8"/>
      <c r="I279" s="8"/>
      <c r="J279" s="8"/>
      <c r="K279" s="8"/>
      <c r="L279" s="8"/>
      <c r="M279" s="8"/>
      <c r="N279" s="1269"/>
      <c r="O279" s="8"/>
      <c r="P279" s="8"/>
      <c r="Q279" s="8"/>
      <c r="R279" s="8"/>
      <c r="S279" s="8"/>
      <c r="T279" s="8"/>
      <c r="U279" s="8"/>
      <c r="V279" s="50"/>
      <c r="W279" s="8"/>
      <c r="AI279" s="66"/>
      <c r="AJ279" s="66"/>
      <c r="AK279" s="66"/>
      <c r="AL279" s="66"/>
      <c r="AM279" s="66"/>
      <c r="AN279" s="66"/>
      <c r="AO279" s="66"/>
      <c r="AP279" s="1310"/>
      <c r="BH279" s="67"/>
      <c r="BS279" s="66"/>
      <c r="BT279" s="66"/>
      <c r="BU279" s="66"/>
      <c r="BV279" s="66"/>
      <c r="BW279" s="66"/>
      <c r="BX279" s="66"/>
      <c r="BY279" s="66"/>
      <c r="BZ279" s="67"/>
      <c r="CA279" s="67"/>
      <c r="CB279" s="185"/>
      <c r="CC279" s="185"/>
      <c r="CE279" s="170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</row>
    <row r="280" spans="1:100" s="6" customFormat="1" ht="15.75" x14ac:dyDescent="0.2">
      <c r="A280" s="58"/>
      <c r="C280" s="58"/>
      <c r="D280" s="241"/>
      <c r="E280" s="8"/>
      <c r="F280" s="8"/>
      <c r="G280" s="8"/>
      <c r="H280" s="8"/>
      <c r="I280" s="8"/>
      <c r="J280" s="8"/>
      <c r="K280" s="8"/>
      <c r="L280" s="8"/>
      <c r="M280" s="8"/>
      <c r="N280" s="1269"/>
      <c r="O280" s="8"/>
      <c r="P280" s="8"/>
      <c r="Q280" s="8"/>
      <c r="R280" s="8"/>
      <c r="S280" s="8"/>
      <c r="T280" s="8"/>
      <c r="U280" s="8"/>
      <c r="V280" s="50"/>
      <c r="W280" s="8"/>
      <c r="AI280" s="66"/>
      <c r="AJ280" s="66"/>
      <c r="AK280" s="66"/>
      <c r="AL280" s="66"/>
      <c r="AM280" s="66"/>
      <c r="AN280" s="66"/>
      <c r="AO280" s="66"/>
      <c r="AP280" s="1310"/>
      <c r="BH280" s="67"/>
      <c r="BS280" s="66"/>
      <c r="BT280" s="66"/>
      <c r="BU280" s="66"/>
      <c r="BV280" s="66"/>
      <c r="BW280" s="66"/>
      <c r="BX280" s="66"/>
      <c r="BY280" s="66"/>
      <c r="BZ280" s="67"/>
      <c r="CA280" s="67"/>
      <c r="CB280" s="185"/>
      <c r="CC280" s="185"/>
      <c r="CE280" s="170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</row>
    <row r="281" spans="1:100" s="6" customFormat="1" ht="15.75" x14ac:dyDescent="0.2">
      <c r="A281" s="58"/>
      <c r="C281" s="58"/>
      <c r="D281" s="241"/>
      <c r="E281" s="8"/>
      <c r="F281" s="8"/>
      <c r="G281" s="8"/>
      <c r="H281" s="8"/>
      <c r="I281" s="8"/>
      <c r="J281" s="8"/>
      <c r="K281" s="8"/>
      <c r="L281" s="8"/>
      <c r="M281" s="8"/>
      <c r="N281" s="1269"/>
      <c r="O281" s="8"/>
      <c r="P281" s="8"/>
      <c r="Q281" s="8"/>
      <c r="R281" s="8"/>
      <c r="S281" s="8"/>
      <c r="T281" s="8"/>
      <c r="U281" s="8"/>
      <c r="V281" s="50"/>
      <c r="W281" s="8"/>
      <c r="AI281" s="66"/>
      <c r="AJ281" s="66"/>
      <c r="AK281" s="66"/>
      <c r="AL281" s="66"/>
      <c r="AM281" s="66"/>
      <c r="AN281" s="66"/>
      <c r="AO281" s="66"/>
      <c r="AP281" s="1310"/>
      <c r="BH281" s="67"/>
      <c r="BS281" s="66"/>
      <c r="BT281" s="66"/>
      <c r="BU281" s="66"/>
      <c r="BV281" s="66"/>
      <c r="BW281" s="66"/>
      <c r="BX281" s="66"/>
      <c r="BY281" s="66"/>
      <c r="BZ281" s="67"/>
      <c r="CA281" s="67"/>
      <c r="CB281" s="185"/>
      <c r="CC281" s="185"/>
      <c r="CE281" s="170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</row>
    <row r="282" spans="1:100" s="6" customFormat="1" ht="15.75" x14ac:dyDescent="0.2">
      <c r="A282" s="58"/>
      <c r="C282" s="58"/>
      <c r="D282" s="241"/>
      <c r="E282" s="8"/>
      <c r="F282" s="8"/>
      <c r="G282" s="8"/>
      <c r="H282" s="8"/>
      <c r="I282" s="8"/>
      <c r="J282" s="8"/>
      <c r="K282" s="8"/>
      <c r="L282" s="8"/>
      <c r="M282" s="8"/>
      <c r="N282" s="1269"/>
      <c r="O282" s="8"/>
      <c r="P282" s="8"/>
      <c r="Q282" s="8"/>
      <c r="R282" s="8"/>
      <c r="S282" s="8"/>
      <c r="T282" s="8"/>
      <c r="U282" s="8"/>
      <c r="V282" s="50"/>
      <c r="W282" s="8"/>
      <c r="AI282" s="66"/>
      <c r="AJ282" s="66"/>
      <c r="AK282" s="66"/>
      <c r="AL282" s="66"/>
      <c r="AM282" s="66"/>
      <c r="AN282" s="66"/>
      <c r="AO282" s="66"/>
      <c r="AP282" s="1310"/>
      <c r="BH282" s="67"/>
      <c r="BS282" s="66"/>
      <c r="BT282" s="66"/>
      <c r="BU282" s="66"/>
      <c r="BV282" s="66"/>
      <c r="BW282" s="66"/>
      <c r="BX282" s="66"/>
      <c r="BY282" s="66"/>
      <c r="BZ282" s="67"/>
      <c r="CA282" s="67"/>
      <c r="CB282" s="185"/>
      <c r="CC282" s="185"/>
      <c r="CE282" s="170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</row>
    <row r="283" spans="1:100" s="6" customFormat="1" ht="15.75" x14ac:dyDescent="0.2">
      <c r="A283" s="58"/>
      <c r="C283" s="58"/>
      <c r="D283" s="241"/>
      <c r="E283" s="8"/>
      <c r="F283" s="8"/>
      <c r="G283" s="8"/>
      <c r="H283" s="8"/>
      <c r="I283" s="8"/>
      <c r="J283" s="8"/>
      <c r="K283" s="8"/>
      <c r="L283" s="8"/>
      <c r="M283" s="8"/>
      <c r="N283" s="1269"/>
      <c r="O283" s="8"/>
      <c r="P283" s="8"/>
      <c r="Q283" s="8"/>
      <c r="R283" s="8"/>
      <c r="S283" s="8"/>
      <c r="T283" s="8"/>
      <c r="U283" s="8"/>
      <c r="V283" s="50"/>
      <c r="W283" s="8"/>
      <c r="AI283" s="66"/>
      <c r="AJ283" s="66"/>
      <c r="AK283" s="66"/>
      <c r="AL283" s="66"/>
      <c r="AM283" s="66"/>
      <c r="AN283" s="66"/>
      <c r="AO283" s="66"/>
      <c r="AP283" s="1310"/>
      <c r="BH283" s="67"/>
      <c r="BS283" s="66"/>
      <c r="BT283" s="66"/>
      <c r="BU283" s="66"/>
      <c r="BV283" s="66"/>
      <c r="BW283" s="66"/>
      <c r="BX283" s="66"/>
      <c r="BY283" s="66"/>
      <c r="BZ283" s="67"/>
      <c r="CA283" s="67"/>
      <c r="CB283" s="185"/>
      <c r="CC283" s="185"/>
      <c r="CE283" s="170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</row>
    <row r="284" spans="1:100" s="6" customFormat="1" ht="15.75" x14ac:dyDescent="0.2">
      <c r="A284" s="58"/>
      <c r="C284" s="58"/>
      <c r="D284" s="241"/>
      <c r="E284" s="8"/>
      <c r="F284" s="8"/>
      <c r="G284" s="8"/>
      <c r="H284" s="8"/>
      <c r="I284" s="8"/>
      <c r="J284" s="8"/>
      <c r="K284" s="8"/>
      <c r="L284" s="8"/>
      <c r="M284" s="8"/>
      <c r="N284" s="1269"/>
      <c r="O284" s="8"/>
      <c r="P284" s="8"/>
      <c r="Q284" s="8"/>
      <c r="R284" s="8"/>
      <c r="S284" s="8"/>
      <c r="T284" s="8"/>
      <c r="U284" s="8"/>
      <c r="V284" s="50"/>
      <c r="W284" s="8"/>
      <c r="AI284" s="66"/>
      <c r="AJ284" s="66"/>
      <c r="AK284" s="66"/>
      <c r="AL284" s="66"/>
      <c r="AM284" s="66"/>
      <c r="AN284" s="66"/>
      <c r="AO284" s="66"/>
      <c r="AP284" s="1310"/>
      <c r="BH284" s="67"/>
      <c r="BS284" s="66"/>
      <c r="BT284" s="66"/>
      <c r="BU284" s="66"/>
      <c r="BV284" s="66"/>
      <c r="BW284" s="66"/>
      <c r="BX284" s="66"/>
      <c r="BY284" s="66"/>
      <c r="BZ284" s="67"/>
      <c r="CA284" s="67"/>
      <c r="CB284" s="185"/>
      <c r="CC284" s="185"/>
      <c r="CE284" s="170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</row>
    <row r="285" spans="1:100" s="6" customFormat="1" ht="15.75" x14ac:dyDescent="0.2">
      <c r="A285" s="58"/>
      <c r="C285" s="58"/>
      <c r="D285" s="241"/>
      <c r="E285" s="8"/>
      <c r="F285" s="8"/>
      <c r="G285" s="8"/>
      <c r="H285" s="8"/>
      <c r="I285" s="8"/>
      <c r="J285" s="8"/>
      <c r="K285" s="8"/>
      <c r="L285" s="8"/>
      <c r="M285" s="8"/>
      <c r="N285" s="1269"/>
      <c r="O285" s="8"/>
      <c r="P285" s="8"/>
      <c r="Q285" s="8"/>
      <c r="R285" s="8"/>
      <c r="S285" s="8"/>
      <c r="T285" s="8"/>
      <c r="U285" s="8"/>
      <c r="V285" s="50"/>
      <c r="W285" s="8"/>
      <c r="AI285" s="66"/>
      <c r="AJ285" s="66"/>
      <c r="AK285" s="66"/>
      <c r="AL285" s="66"/>
      <c r="AM285" s="66"/>
      <c r="AN285" s="66"/>
      <c r="AO285" s="66"/>
      <c r="AP285" s="1310"/>
      <c r="BH285" s="67"/>
      <c r="BS285" s="66"/>
      <c r="BT285" s="66"/>
      <c r="BU285" s="66"/>
      <c r="BV285" s="66"/>
      <c r="BW285" s="66"/>
      <c r="BX285" s="66"/>
      <c r="BY285" s="66"/>
      <c r="BZ285" s="67"/>
      <c r="CA285" s="67"/>
      <c r="CB285" s="185"/>
      <c r="CC285" s="185"/>
      <c r="CE285" s="170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</row>
    <row r="286" spans="1:100" s="6" customFormat="1" ht="15.75" x14ac:dyDescent="0.2">
      <c r="A286" s="58"/>
      <c r="C286" s="58"/>
      <c r="D286" s="241"/>
      <c r="E286" s="8"/>
      <c r="F286" s="8"/>
      <c r="G286" s="8"/>
      <c r="H286" s="8"/>
      <c r="I286" s="8"/>
      <c r="J286" s="8"/>
      <c r="K286" s="8"/>
      <c r="L286" s="8"/>
      <c r="M286" s="8"/>
      <c r="N286" s="1269"/>
      <c r="O286" s="8"/>
      <c r="P286" s="8"/>
      <c r="Q286" s="8"/>
      <c r="R286" s="8"/>
      <c r="S286" s="8"/>
      <c r="T286" s="8"/>
      <c r="U286" s="8"/>
      <c r="V286" s="50"/>
      <c r="W286" s="8"/>
      <c r="AI286" s="66"/>
      <c r="AJ286" s="66"/>
      <c r="AK286" s="66"/>
      <c r="AL286" s="66"/>
      <c r="AM286" s="66"/>
      <c r="AN286" s="66"/>
      <c r="AO286" s="66"/>
      <c r="AP286" s="1310"/>
      <c r="BH286" s="67"/>
      <c r="BS286" s="66"/>
      <c r="BT286" s="66"/>
      <c r="BU286" s="66"/>
      <c r="BV286" s="66"/>
      <c r="BW286" s="66"/>
      <c r="BX286" s="66"/>
      <c r="BY286" s="66"/>
      <c r="BZ286" s="67"/>
      <c r="CA286" s="67"/>
      <c r="CB286" s="185"/>
      <c r="CC286" s="185"/>
      <c r="CE286" s="170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</row>
    <row r="287" spans="1:100" s="6" customFormat="1" ht="15.75" x14ac:dyDescent="0.2">
      <c r="A287" s="58"/>
      <c r="C287" s="58"/>
      <c r="D287" s="241"/>
      <c r="E287" s="8"/>
      <c r="F287" s="8"/>
      <c r="G287" s="8"/>
      <c r="H287" s="8"/>
      <c r="I287" s="8"/>
      <c r="J287" s="8"/>
      <c r="K287" s="8"/>
      <c r="L287" s="8"/>
      <c r="M287" s="8"/>
      <c r="N287" s="1269"/>
      <c r="O287" s="8"/>
      <c r="P287" s="8"/>
      <c r="Q287" s="8"/>
      <c r="R287" s="8"/>
      <c r="S287" s="8"/>
      <c r="T287" s="8"/>
      <c r="U287" s="8"/>
      <c r="V287" s="50"/>
      <c r="W287" s="8"/>
      <c r="AI287" s="66"/>
      <c r="AJ287" s="66"/>
      <c r="AK287" s="66"/>
      <c r="AL287" s="66"/>
      <c r="AM287" s="66"/>
      <c r="AN287" s="66"/>
      <c r="AO287" s="66"/>
      <c r="AP287" s="1310"/>
      <c r="BH287" s="67"/>
      <c r="BS287" s="66"/>
      <c r="BT287" s="66"/>
      <c r="BU287" s="66"/>
      <c r="BV287" s="66"/>
      <c r="BW287" s="66"/>
      <c r="BX287" s="66"/>
      <c r="BY287" s="66"/>
      <c r="BZ287" s="67"/>
      <c r="CA287" s="67"/>
      <c r="CB287" s="185"/>
      <c r="CC287" s="185"/>
      <c r="CE287" s="170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</row>
    <row r="288" spans="1:100" s="6" customFormat="1" ht="15.75" x14ac:dyDescent="0.2">
      <c r="A288" s="58"/>
      <c r="C288" s="58"/>
      <c r="D288" s="241"/>
      <c r="E288" s="8"/>
      <c r="F288" s="8"/>
      <c r="G288" s="8"/>
      <c r="H288" s="8"/>
      <c r="I288" s="8"/>
      <c r="J288" s="8"/>
      <c r="K288" s="8"/>
      <c r="L288" s="8"/>
      <c r="M288" s="8"/>
      <c r="N288" s="1269"/>
      <c r="O288" s="8"/>
      <c r="P288" s="8"/>
      <c r="Q288" s="8"/>
      <c r="R288" s="8"/>
      <c r="S288" s="8"/>
      <c r="T288" s="8"/>
      <c r="U288" s="8"/>
      <c r="V288" s="50"/>
      <c r="W288" s="8"/>
      <c r="AI288" s="66"/>
      <c r="AJ288" s="66"/>
      <c r="AK288" s="66"/>
      <c r="AL288" s="66"/>
      <c r="AM288" s="66"/>
      <c r="AN288" s="66"/>
      <c r="AO288" s="66"/>
      <c r="AP288" s="1310"/>
      <c r="BH288" s="67"/>
      <c r="BS288" s="66"/>
      <c r="BT288" s="66"/>
      <c r="BU288" s="66"/>
      <c r="BV288" s="66"/>
      <c r="BW288" s="66"/>
      <c r="BX288" s="66"/>
      <c r="BY288" s="66"/>
      <c r="BZ288" s="67"/>
      <c r="CA288" s="67"/>
      <c r="CB288" s="185"/>
      <c r="CC288" s="185"/>
      <c r="CE288" s="170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</row>
    <row r="289" spans="1:100" s="6" customFormat="1" ht="15.75" x14ac:dyDescent="0.2">
      <c r="A289" s="58"/>
      <c r="C289" s="58"/>
      <c r="D289" s="241"/>
      <c r="E289" s="8"/>
      <c r="F289" s="8"/>
      <c r="G289" s="8"/>
      <c r="H289" s="8"/>
      <c r="I289" s="8"/>
      <c r="J289" s="8"/>
      <c r="K289" s="8"/>
      <c r="L289" s="8"/>
      <c r="M289" s="8"/>
      <c r="N289" s="1269"/>
      <c r="O289" s="8"/>
      <c r="P289" s="8"/>
      <c r="Q289" s="8"/>
      <c r="R289" s="8"/>
      <c r="S289" s="8"/>
      <c r="T289" s="8"/>
      <c r="U289" s="8"/>
      <c r="V289" s="50"/>
      <c r="W289" s="8"/>
      <c r="AI289" s="66"/>
      <c r="AJ289" s="66"/>
      <c r="AK289" s="66"/>
      <c r="AL289" s="66"/>
      <c r="AM289" s="66"/>
      <c r="AN289" s="66"/>
      <c r="AO289" s="66"/>
      <c r="AP289" s="1310"/>
      <c r="BH289" s="67"/>
      <c r="BS289" s="66"/>
      <c r="BT289" s="66"/>
      <c r="BU289" s="66"/>
      <c r="BV289" s="66"/>
      <c r="BW289" s="66"/>
      <c r="BX289" s="66"/>
      <c r="BY289" s="66"/>
      <c r="BZ289" s="67"/>
      <c r="CA289" s="67"/>
      <c r="CB289" s="185"/>
      <c r="CC289" s="185"/>
      <c r="CE289" s="170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</row>
    <row r="290" spans="1:100" s="6" customFormat="1" ht="15.75" x14ac:dyDescent="0.2">
      <c r="A290" s="58"/>
      <c r="C290" s="58"/>
      <c r="D290" s="241"/>
      <c r="E290" s="8"/>
      <c r="F290" s="8"/>
      <c r="G290" s="8"/>
      <c r="H290" s="8"/>
      <c r="I290" s="8"/>
      <c r="J290" s="8"/>
      <c r="K290" s="8"/>
      <c r="L290" s="8"/>
      <c r="M290" s="8"/>
      <c r="N290" s="1269"/>
      <c r="O290" s="8"/>
      <c r="P290" s="8"/>
      <c r="Q290" s="8"/>
      <c r="R290" s="8"/>
      <c r="S290" s="8"/>
      <c r="T290" s="8"/>
      <c r="U290" s="8"/>
      <c r="V290" s="50"/>
      <c r="W290" s="8"/>
      <c r="AI290" s="66"/>
      <c r="AJ290" s="66"/>
      <c r="AK290" s="66"/>
      <c r="AL290" s="66"/>
      <c r="AM290" s="66"/>
      <c r="AN290" s="66"/>
      <c r="AO290" s="66"/>
      <c r="AP290" s="1310"/>
      <c r="BH290" s="67"/>
      <c r="BS290" s="66"/>
      <c r="BT290" s="66"/>
      <c r="BU290" s="66"/>
      <c r="BV290" s="66"/>
      <c r="BW290" s="66"/>
      <c r="BX290" s="66"/>
      <c r="BY290" s="66"/>
      <c r="BZ290" s="67"/>
      <c r="CA290" s="67"/>
      <c r="CB290" s="185"/>
      <c r="CC290" s="185"/>
      <c r="CE290" s="170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</row>
    <row r="291" spans="1:100" s="6" customFormat="1" ht="15.75" x14ac:dyDescent="0.2">
      <c r="A291" s="58"/>
      <c r="C291" s="58"/>
      <c r="D291" s="241"/>
      <c r="E291" s="8"/>
      <c r="F291" s="8"/>
      <c r="G291" s="8"/>
      <c r="H291" s="8"/>
      <c r="I291" s="8"/>
      <c r="J291" s="8"/>
      <c r="K291" s="8"/>
      <c r="L291" s="8"/>
      <c r="M291" s="8"/>
      <c r="N291" s="1269"/>
      <c r="O291" s="8"/>
      <c r="P291" s="8"/>
      <c r="Q291" s="8"/>
      <c r="R291" s="8"/>
      <c r="S291" s="8"/>
      <c r="T291" s="8"/>
      <c r="U291" s="8"/>
      <c r="V291" s="50"/>
      <c r="W291" s="8"/>
      <c r="AI291" s="66"/>
      <c r="AJ291" s="66"/>
      <c r="AK291" s="66"/>
      <c r="AL291" s="66"/>
      <c r="AM291" s="66"/>
      <c r="AN291" s="66"/>
      <c r="AO291" s="66"/>
      <c r="AP291" s="1310"/>
      <c r="BH291" s="67"/>
      <c r="BS291" s="66"/>
      <c r="BT291" s="66"/>
      <c r="BU291" s="66"/>
      <c r="BV291" s="66"/>
      <c r="BW291" s="66"/>
      <c r="BX291" s="66"/>
      <c r="BY291" s="66"/>
      <c r="BZ291" s="67"/>
      <c r="CA291" s="67"/>
      <c r="CB291" s="185"/>
      <c r="CC291" s="185"/>
      <c r="CE291" s="170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</row>
    <row r="292" spans="1:100" s="6" customFormat="1" ht="15.75" x14ac:dyDescent="0.2">
      <c r="A292" s="58"/>
      <c r="C292" s="58"/>
      <c r="D292" s="241"/>
      <c r="E292" s="8"/>
      <c r="F292" s="8"/>
      <c r="G292" s="8"/>
      <c r="H292" s="8"/>
      <c r="I292" s="8"/>
      <c r="J292" s="8"/>
      <c r="K292" s="8"/>
      <c r="L292" s="8"/>
      <c r="M292" s="8"/>
      <c r="N292" s="1269"/>
      <c r="O292" s="8"/>
      <c r="P292" s="8"/>
      <c r="Q292" s="8"/>
      <c r="R292" s="8"/>
      <c r="S292" s="8"/>
      <c r="T292" s="8"/>
      <c r="U292" s="8"/>
      <c r="V292" s="50"/>
      <c r="W292" s="8"/>
      <c r="AI292" s="66"/>
      <c r="AJ292" s="66"/>
      <c r="AK292" s="66"/>
      <c r="AL292" s="66"/>
      <c r="AM292" s="66"/>
      <c r="AN292" s="66"/>
      <c r="AO292" s="66"/>
      <c r="AP292" s="1310"/>
      <c r="BH292" s="67"/>
      <c r="BS292" s="66"/>
      <c r="BT292" s="66"/>
      <c r="BU292" s="66"/>
      <c r="BV292" s="66"/>
      <c r="BW292" s="66"/>
      <c r="BX292" s="66"/>
      <c r="BY292" s="66"/>
      <c r="BZ292" s="67"/>
      <c r="CA292" s="67"/>
      <c r="CB292" s="185"/>
      <c r="CC292" s="185"/>
      <c r="CE292" s="170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</row>
    <row r="293" spans="1:100" s="6" customFormat="1" ht="15.75" x14ac:dyDescent="0.2">
      <c r="A293" s="58"/>
      <c r="C293" s="58"/>
      <c r="D293" s="241"/>
      <c r="E293" s="8"/>
      <c r="F293" s="8"/>
      <c r="G293" s="8"/>
      <c r="H293" s="8"/>
      <c r="I293" s="8"/>
      <c r="J293" s="8"/>
      <c r="K293" s="8"/>
      <c r="L293" s="8"/>
      <c r="M293" s="8"/>
      <c r="N293" s="1269"/>
      <c r="O293" s="8"/>
      <c r="P293" s="8"/>
      <c r="Q293" s="8"/>
      <c r="R293" s="8"/>
      <c r="S293" s="8"/>
      <c r="T293" s="8"/>
      <c r="U293" s="8"/>
      <c r="V293" s="50"/>
      <c r="W293" s="8"/>
      <c r="AI293" s="66"/>
      <c r="AJ293" s="66"/>
      <c r="AK293" s="66"/>
      <c r="AL293" s="66"/>
      <c r="AM293" s="66"/>
      <c r="AN293" s="66"/>
      <c r="AO293" s="66"/>
      <c r="AP293" s="1310"/>
      <c r="BH293" s="67"/>
      <c r="BS293" s="66"/>
      <c r="BT293" s="66"/>
      <c r="BU293" s="66"/>
      <c r="BV293" s="66"/>
      <c r="BW293" s="66"/>
      <c r="BX293" s="66"/>
      <c r="BY293" s="66"/>
      <c r="BZ293" s="67"/>
      <c r="CA293" s="67"/>
      <c r="CB293" s="185"/>
      <c r="CC293" s="185"/>
      <c r="CE293" s="170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</row>
    <row r="294" spans="1:100" s="6" customFormat="1" ht="15.75" x14ac:dyDescent="0.2">
      <c r="A294" s="58"/>
      <c r="C294" s="58"/>
      <c r="D294" s="241"/>
      <c r="E294" s="8"/>
      <c r="F294" s="8"/>
      <c r="G294" s="8"/>
      <c r="H294" s="8"/>
      <c r="I294" s="8"/>
      <c r="J294" s="8"/>
      <c r="K294" s="8"/>
      <c r="L294" s="8"/>
      <c r="M294" s="8"/>
      <c r="N294" s="1269"/>
      <c r="O294" s="8"/>
      <c r="P294" s="8"/>
      <c r="Q294" s="8"/>
      <c r="R294" s="8"/>
      <c r="S294" s="8"/>
      <c r="T294" s="8"/>
      <c r="U294" s="8"/>
      <c r="V294" s="50"/>
      <c r="W294" s="8"/>
      <c r="AI294" s="66"/>
      <c r="AJ294" s="66"/>
      <c r="AK294" s="66"/>
      <c r="AL294" s="66"/>
      <c r="AM294" s="66"/>
      <c r="AN294" s="66"/>
      <c r="AO294" s="66"/>
      <c r="AP294" s="1310"/>
      <c r="BH294" s="67"/>
      <c r="BS294" s="66"/>
      <c r="BT294" s="66"/>
      <c r="BU294" s="66"/>
      <c r="BV294" s="66"/>
      <c r="BW294" s="66"/>
      <c r="BX294" s="66"/>
      <c r="BY294" s="66"/>
      <c r="BZ294" s="67"/>
      <c r="CA294" s="67"/>
      <c r="CB294" s="185"/>
      <c r="CC294" s="185"/>
      <c r="CE294" s="170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</row>
    <row r="295" spans="1:100" s="6" customFormat="1" ht="15.75" x14ac:dyDescent="0.2">
      <c r="A295" s="58"/>
      <c r="C295" s="58"/>
      <c r="D295" s="241"/>
      <c r="E295" s="8"/>
      <c r="F295" s="8"/>
      <c r="G295" s="8"/>
      <c r="H295" s="8"/>
      <c r="I295" s="8"/>
      <c r="J295" s="8"/>
      <c r="K295" s="8"/>
      <c r="L295" s="8"/>
      <c r="M295" s="8"/>
      <c r="N295" s="1269"/>
      <c r="O295" s="8"/>
      <c r="P295" s="8"/>
      <c r="Q295" s="8"/>
      <c r="R295" s="8"/>
      <c r="S295" s="8"/>
      <c r="T295" s="8"/>
      <c r="U295" s="8"/>
      <c r="V295" s="50"/>
      <c r="W295" s="8"/>
      <c r="AI295" s="66"/>
      <c r="AJ295" s="66"/>
      <c r="AK295" s="66"/>
      <c r="AL295" s="66"/>
      <c r="AM295" s="66"/>
      <c r="AN295" s="66"/>
      <c r="AO295" s="66"/>
      <c r="AP295" s="1310"/>
      <c r="BH295" s="67"/>
      <c r="BS295" s="66"/>
      <c r="BT295" s="66"/>
      <c r="BU295" s="66"/>
      <c r="BV295" s="66"/>
      <c r="BW295" s="66"/>
      <c r="BX295" s="66"/>
      <c r="BY295" s="66"/>
      <c r="BZ295" s="67"/>
      <c r="CA295" s="67"/>
      <c r="CB295" s="185"/>
      <c r="CC295" s="185"/>
      <c r="CE295" s="170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</row>
    <row r="296" spans="1:100" s="6" customFormat="1" ht="15.75" x14ac:dyDescent="0.2">
      <c r="A296" s="58"/>
      <c r="C296" s="58"/>
      <c r="D296" s="241"/>
      <c r="E296" s="8"/>
      <c r="F296" s="8"/>
      <c r="G296" s="8"/>
      <c r="H296" s="8"/>
      <c r="I296" s="8"/>
      <c r="J296" s="8"/>
      <c r="K296" s="8"/>
      <c r="L296" s="8"/>
      <c r="M296" s="8"/>
      <c r="N296" s="1269"/>
      <c r="O296" s="8"/>
      <c r="P296" s="8"/>
      <c r="Q296" s="8"/>
      <c r="R296" s="8"/>
      <c r="S296" s="8"/>
      <c r="T296" s="8"/>
      <c r="U296" s="8"/>
      <c r="V296" s="50"/>
      <c r="W296" s="8"/>
      <c r="AI296" s="66"/>
      <c r="AJ296" s="66"/>
      <c r="AK296" s="66"/>
      <c r="AL296" s="66"/>
      <c r="AM296" s="66"/>
      <c r="AN296" s="66"/>
      <c r="AO296" s="66"/>
      <c r="AP296" s="1310"/>
      <c r="BH296" s="67"/>
      <c r="BS296" s="66"/>
      <c r="BT296" s="66"/>
      <c r="BU296" s="66"/>
      <c r="BV296" s="66"/>
      <c r="BW296" s="66"/>
      <c r="BX296" s="66"/>
      <c r="BY296" s="66"/>
      <c r="BZ296" s="67"/>
      <c r="CA296" s="67"/>
      <c r="CB296" s="185"/>
      <c r="CC296" s="185"/>
      <c r="CE296" s="170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</row>
    <row r="297" spans="1:100" s="6" customFormat="1" ht="15.75" x14ac:dyDescent="0.2">
      <c r="A297" s="58"/>
      <c r="C297" s="58"/>
      <c r="D297" s="241"/>
      <c r="E297" s="8"/>
      <c r="F297" s="8"/>
      <c r="G297" s="8"/>
      <c r="H297" s="8"/>
      <c r="I297" s="8"/>
      <c r="J297" s="8"/>
      <c r="K297" s="8"/>
      <c r="L297" s="8"/>
      <c r="M297" s="8"/>
      <c r="N297" s="1269"/>
      <c r="O297" s="8"/>
      <c r="P297" s="8"/>
      <c r="Q297" s="8"/>
      <c r="R297" s="8"/>
      <c r="S297" s="8"/>
      <c r="T297" s="8"/>
      <c r="U297" s="8"/>
      <c r="V297" s="50"/>
      <c r="W297" s="8"/>
      <c r="AI297" s="66"/>
      <c r="AJ297" s="66"/>
      <c r="AK297" s="66"/>
      <c r="AL297" s="66"/>
      <c r="AM297" s="66"/>
      <c r="AN297" s="66"/>
      <c r="AO297" s="66"/>
      <c r="AP297" s="1310"/>
      <c r="BH297" s="67"/>
      <c r="BS297" s="66"/>
      <c r="BT297" s="66"/>
      <c r="BU297" s="66"/>
      <c r="BV297" s="66"/>
      <c r="BW297" s="66"/>
      <c r="BX297" s="66"/>
      <c r="BY297" s="66"/>
      <c r="BZ297" s="67"/>
      <c r="CA297" s="67"/>
      <c r="CB297" s="185"/>
      <c r="CC297" s="185"/>
      <c r="CE297" s="170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</row>
    <row r="298" spans="1:100" s="6" customFormat="1" ht="15.75" x14ac:dyDescent="0.2">
      <c r="A298" s="58"/>
      <c r="C298" s="58"/>
      <c r="D298" s="241"/>
      <c r="E298" s="8"/>
      <c r="F298" s="8"/>
      <c r="G298" s="8"/>
      <c r="H298" s="8"/>
      <c r="I298" s="8"/>
      <c r="J298" s="8"/>
      <c r="K298" s="8"/>
      <c r="L298" s="8"/>
      <c r="M298" s="8"/>
      <c r="N298" s="1269"/>
      <c r="O298" s="8"/>
      <c r="P298" s="8"/>
      <c r="Q298" s="8"/>
      <c r="R298" s="8"/>
      <c r="S298" s="8"/>
      <c r="T298" s="8"/>
      <c r="U298" s="8"/>
      <c r="V298" s="50"/>
      <c r="W298" s="8"/>
      <c r="AI298" s="66"/>
      <c r="AJ298" s="66"/>
      <c r="AK298" s="66"/>
      <c r="AL298" s="66"/>
      <c r="AM298" s="66"/>
      <c r="AN298" s="66"/>
      <c r="AO298" s="66"/>
      <c r="AP298" s="1310"/>
      <c r="BH298" s="67"/>
      <c r="BS298" s="66"/>
      <c r="BT298" s="66"/>
      <c r="BU298" s="66"/>
      <c r="BV298" s="66"/>
      <c r="BW298" s="66"/>
      <c r="BX298" s="66"/>
      <c r="BY298" s="66"/>
      <c r="BZ298" s="67"/>
      <c r="CA298" s="67"/>
      <c r="CB298" s="185"/>
      <c r="CC298" s="185"/>
      <c r="CE298" s="170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</row>
    <row r="299" spans="1:100" s="6" customFormat="1" ht="15.75" x14ac:dyDescent="0.2">
      <c r="A299" s="58"/>
      <c r="C299" s="58"/>
      <c r="D299" s="241"/>
      <c r="E299" s="8"/>
      <c r="F299" s="8"/>
      <c r="G299" s="8"/>
      <c r="H299" s="8"/>
      <c r="I299" s="8"/>
      <c r="J299" s="8"/>
      <c r="K299" s="8"/>
      <c r="L299" s="8"/>
      <c r="M299" s="8"/>
      <c r="N299" s="1269"/>
      <c r="O299" s="8"/>
      <c r="P299" s="8"/>
      <c r="Q299" s="8"/>
      <c r="R299" s="8"/>
      <c r="S299" s="8"/>
      <c r="T299" s="8"/>
      <c r="U299" s="8"/>
      <c r="V299" s="50"/>
      <c r="W299" s="8"/>
      <c r="AI299" s="66"/>
      <c r="AJ299" s="66"/>
      <c r="AK299" s="66"/>
      <c r="AL299" s="66"/>
      <c r="AM299" s="66"/>
      <c r="AN299" s="66"/>
      <c r="AO299" s="66"/>
      <c r="AP299" s="1310"/>
      <c r="BH299" s="67"/>
      <c r="BS299" s="66"/>
      <c r="BT299" s="66"/>
      <c r="BU299" s="66"/>
      <c r="BV299" s="66"/>
      <c r="BW299" s="66"/>
      <c r="BX299" s="66"/>
      <c r="BY299" s="66"/>
      <c r="BZ299" s="67"/>
      <c r="CA299" s="67"/>
      <c r="CB299" s="185"/>
      <c r="CC299" s="185"/>
      <c r="CE299" s="170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</row>
    <row r="300" spans="1:100" s="6" customFormat="1" ht="15.75" x14ac:dyDescent="0.2">
      <c r="A300" s="58"/>
      <c r="C300" s="58"/>
      <c r="D300" s="241"/>
      <c r="E300" s="8"/>
      <c r="F300" s="8"/>
      <c r="G300" s="8"/>
      <c r="H300" s="8"/>
      <c r="I300" s="8"/>
      <c r="J300" s="8"/>
      <c r="K300" s="8"/>
      <c r="L300" s="8"/>
      <c r="M300" s="8"/>
      <c r="N300" s="1269"/>
      <c r="O300" s="8"/>
      <c r="P300" s="8"/>
      <c r="Q300" s="8"/>
      <c r="R300" s="8"/>
      <c r="S300" s="8"/>
      <c r="T300" s="8"/>
      <c r="U300" s="8"/>
      <c r="V300" s="50"/>
      <c r="W300" s="8"/>
      <c r="AI300" s="66"/>
      <c r="AJ300" s="66"/>
      <c r="AK300" s="66"/>
      <c r="AL300" s="66"/>
      <c r="AM300" s="66"/>
      <c r="AN300" s="66"/>
      <c r="AO300" s="66"/>
      <c r="AP300" s="1310"/>
      <c r="BH300" s="67"/>
      <c r="BS300" s="66"/>
      <c r="BT300" s="66"/>
      <c r="BU300" s="66"/>
      <c r="BV300" s="66"/>
      <c r="BW300" s="66"/>
      <c r="BX300" s="66"/>
      <c r="BY300" s="66"/>
      <c r="BZ300" s="67"/>
      <c r="CA300" s="67"/>
      <c r="CB300" s="185"/>
      <c r="CC300" s="185"/>
      <c r="CE300" s="170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</row>
    <row r="301" spans="1:100" s="6" customFormat="1" ht="15.75" x14ac:dyDescent="0.2">
      <c r="A301" s="58"/>
      <c r="C301" s="58"/>
      <c r="D301" s="241"/>
      <c r="E301" s="8"/>
      <c r="F301" s="8"/>
      <c r="G301" s="8"/>
      <c r="H301" s="8"/>
      <c r="I301" s="8"/>
      <c r="J301" s="8"/>
      <c r="K301" s="8"/>
      <c r="L301" s="8"/>
      <c r="M301" s="8"/>
      <c r="N301" s="1269"/>
      <c r="O301" s="8"/>
      <c r="P301" s="8"/>
      <c r="Q301" s="8"/>
      <c r="R301" s="8"/>
      <c r="S301" s="8"/>
      <c r="T301" s="8"/>
      <c r="U301" s="8"/>
      <c r="V301" s="50"/>
      <c r="W301" s="8"/>
      <c r="AI301" s="66"/>
      <c r="AJ301" s="66"/>
      <c r="AK301" s="66"/>
      <c r="AL301" s="66"/>
      <c r="AM301" s="66"/>
      <c r="AN301" s="66"/>
      <c r="AO301" s="66"/>
      <c r="AP301" s="1310"/>
      <c r="BH301" s="67"/>
      <c r="BS301" s="66"/>
      <c r="BT301" s="66"/>
      <c r="BU301" s="66"/>
      <c r="BV301" s="66"/>
      <c r="BW301" s="66"/>
      <c r="BX301" s="66"/>
      <c r="BY301" s="66"/>
      <c r="BZ301" s="67"/>
      <c r="CA301" s="67"/>
      <c r="CB301" s="185"/>
      <c r="CC301" s="185"/>
      <c r="CE301" s="170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</row>
    <row r="302" spans="1:100" s="6" customFormat="1" ht="15.75" x14ac:dyDescent="0.2">
      <c r="A302" s="58"/>
      <c r="C302" s="58"/>
      <c r="D302" s="241"/>
      <c r="E302" s="8"/>
      <c r="F302" s="8"/>
      <c r="G302" s="8"/>
      <c r="H302" s="8"/>
      <c r="I302" s="8"/>
      <c r="J302" s="8"/>
      <c r="K302" s="8"/>
      <c r="L302" s="8"/>
      <c r="M302" s="8"/>
      <c r="N302" s="1269"/>
      <c r="O302" s="8"/>
      <c r="P302" s="8"/>
      <c r="Q302" s="8"/>
      <c r="R302" s="8"/>
      <c r="S302" s="8"/>
      <c r="T302" s="8"/>
      <c r="U302" s="8"/>
      <c r="V302" s="50"/>
      <c r="W302" s="8"/>
      <c r="AI302" s="66"/>
      <c r="AJ302" s="66"/>
      <c r="AK302" s="66"/>
      <c r="AL302" s="66"/>
      <c r="AM302" s="66"/>
      <c r="AN302" s="66"/>
      <c r="AO302" s="66"/>
      <c r="AP302" s="1310"/>
      <c r="BH302" s="67"/>
      <c r="BS302" s="66"/>
      <c r="BT302" s="66"/>
      <c r="BU302" s="66"/>
      <c r="BV302" s="66"/>
      <c r="BW302" s="66"/>
      <c r="BX302" s="66"/>
      <c r="BY302" s="66"/>
      <c r="BZ302" s="67"/>
      <c r="CA302" s="67"/>
      <c r="CB302" s="185"/>
      <c r="CC302" s="185"/>
      <c r="CE302" s="170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</row>
    <row r="303" spans="1:100" s="6" customFormat="1" ht="15.75" x14ac:dyDescent="0.2">
      <c r="A303" s="58"/>
      <c r="C303" s="58"/>
      <c r="D303" s="241"/>
      <c r="E303" s="8"/>
      <c r="F303" s="8"/>
      <c r="G303" s="8"/>
      <c r="H303" s="8"/>
      <c r="I303" s="8"/>
      <c r="J303" s="8"/>
      <c r="K303" s="8"/>
      <c r="L303" s="8"/>
      <c r="M303" s="8"/>
      <c r="N303" s="1269"/>
      <c r="O303" s="8"/>
      <c r="P303" s="8"/>
      <c r="Q303" s="8"/>
      <c r="R303" s="8"/>
      <c r="S303" s="8"/>
      <c r="T303" s="8"/>
      <c r="U303" s="8"/>
      <c r="V303" s="50"/>
      <c r="W303" s="8"/>
      <c r="AI303" s="66"/>
      <c r="AJ303" s="66"/>
      <c r="AK303" s="66"/>
      <c r="AL303" s="66"/>
      <c r="AM303" s="66"/>
      <c r="AN303" s="66"/>
      <c r="AO303" s="66"/>
      <c r="AP303" s="1310"/>
      <c r="BH303" s="67"/>
      <c r="BS303" s="66"/>
      <c r="BT303" s="66"/>
      <c r="BU303" s="66"/>
      <c r="BV303" s="66"/>
      <c r="BW303" s="66"/>
      <c r="BX303" s="66"/>
      <c r="BY303" s="66"/>
      <c r="BZ303" s="67"/>
      <c r="CA303" s="67"/>
      <c r="CB303" s="185"/>
      <c r="CC303" s="185"/>
      <c r="CE303" s="170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</row>
    <row r="304" spans="1:100" s="6" customFormat="1" ht="15.75" x14ac:dyDescent="0.2">
      <c r="A304" s="58"/>
      <c r="C304" s="58"/>
      <c r="D304" s="241"/>
      <c r="E304" s="8"/>
      <c r="F304" s="8"/>
      <c r="G304" s="8"/>
      <c r="H304" s="8"/>
      <c r="I304" s="8"/>
      <c r="J304" s="8"/>
      <c r="K304" s="8"/>
      <c r="L304" s="8"/>
      <c r="M304" s="8"/>
      <c r="N304" s="1269"/>
      <c r="O304" s="8"/>
      <c r="P304" s="8"/>
      <c r="Q304" s="8"/>
      <c r="R304" s="8"/>
      <c r="S304" s="8"/>
      <c r="T304" s="8"/>
      <c r="U304" s="8"/>
      <c r="V304" s="50"/>
      <c r="W304" s="8"/>
      <c r="AI304" s="66"/>
      <c r="AJ304" s="66"/>
      <c r="AK304" s="66"/>
      <c r="AL304" s="66"/>
      <c r="AM304" s="66"/>
      <c r="AN304" s="66"/>
      <c r="AO304" s="66"/>
      <c r="AP304" s="1310"/>
      <c r="BH304" s="67"/>
      <c r="BS304" s="66"/>
      <c r="BT304" s="66"/>
      <c r="BU304" s="66"/>
      <c r="BV304" s="66"/>
      <c r="BW304" s="66"/>
      <c r="BX304" s="66"/>
      <c r="BY304" s="66"/>
      <c r="BZ304" s="67"/>
      <c r="CA304" s="67"/>
      <c r="CB304" s="185"/>
      <c r="CC304" s="185"/>
      <c r="CE304" s="170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</row>
    <row r="305" spans="1:100" s="6" customFormat="1" ht="15.75" x14ac:dyDescent="0.2">
      <c r="A305" s="58"/>
      <c r="C305" s="58"/>
      <c r="D305" s="241"/>
      <c r="E305" s="8"/>
      <c r="F305" s="8"/>
      <c r="G305" s="8"/>
      <c r="H305" s="8"/>
      <c r="I305" s="8"/>
      <c r="J305" s="8"/>
      <c r="K305" s="8"/>
      <c r="L305" s="8"/>
      <c r="M305" s="8"/>
      <c r="N305" s="1269"/>
      <c r="O305" s="8"/>
      <c r="P305" s="8"/>
      <c r="Q305" s="8"/>
      <c r="R305" s="8"/>
      <c r="S305" s="8"/>
      <c r="T305" s="8"/>
      <c r="U305" s="8"/>
      <c r="V305" s="50"/>
      <c r="W305" s="8"/>
      <c r="AI305" s="66"/>
      <c r="AJ305" s="66"/>
      <c r="AK305" s="66"/>
      <c r="AL305" s="66"/>
      <c r="AM305" s="66"/>
      <c r="AN305" s="66"/>
      <c r="AO305" s="66"/>
      <c r="AP305" s="1310"/>
      <c r="BH305" s="67"/>
      <c r="BS305" s="66"/>
      <c r="BT305" s="66"/>
      <c r="BU305" s="66"/>
      <c r="BV305" s="66"/>
      <c r="BW305" s="66"/>
      <c r="BX305" s="66"/>
      <c r="BY305" s="66"/>
      <c r="BZ305" s="67"/>
      <c r="CA305" s="67"/>
      <c r="CB305" s="185"/>
      <c r="CC305" s="185"/>
      <c r="CE305" s="170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</row>
    <row r="306" spans="1:100" s="6" customFormat="1" ht="15.75" x14ac:dyDescent="0.2">
      <c r="A306" s="58"/>
      <c r="C306" s="58"/>
      <c r="D306" s="241"/>
      <c r="E306" s="8"/>
      <c r="F306" s="8"/>
      <c r="G306" s="8"/>
      <c r="H306" s="8"/>
      <c r="I306" s="8"/>
      <c r="J306" s="8"/>
      <c r="K306" s="8"/>
      <c r="L306" s="8"/>
      <c r="M306" s="8"/>
      <c r="N306" s="1269"/>
      <c r="O306" s="8"/>
      <c r="P306" s="8"/>
      <c r="Q306" s="8"/>
      <c r="R306" s="8"/>
      <c r="S306" s="8"/>
      <c r="T306" s="8"/>
      <c r="U306" s="8"/>
      <c r="V306" s="50"/>
      <c r="W306" s="8"/>
      <c r="AI306" s="66"/>
      <c r="AJ306" s="66"/>
      <c r="AK306" s="66"/>
      <c r="AL306" s="66"/>
      <c r="AM306" s="66"/>
      <c r="AN306" s="66"/>
      <c r="AO306" s="66"/>
      <c r="AP306" s="1310"/>
      <c r="BH306" s="67"/>
      <c r="BS306" s="66"/>
      <c r="BT306" s="66"/>
      <c r="BU306" s="66"/>
      <c r="BV306" s="66"/>
      <c r="BW306" s="66"/>
      <c r="BX306" s="66"/>
      <c r="BY306" s="66"/>
      <c r="BZ306" s="67"/>
      <c r="CA306" s="67"/>
      <c r="CB306" s="185"/>
      <c r="CC306" s="185"/>
      <c r="CE306" s="170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</row>
    <row r="307" spans="1:100" s="6" customFormat="1" ht="15.75" x14ac:dyDescent="0.2">
      <c r="A307" s="58"/>
      <c r="C307" s="58"/>
      <c r="D307" s="241"/>
      <c r="E307" s="8"/>
      <c r="F307" s="8"/>
      <c r="G307" s="8"/>
      <c r="H307" s="8"/>
      <c r="I307" s="8"/>
      <c r="J307" s="8"/>
      <c r="K307" s="8"/>
      <c r="L307" s="8"/>
      <c r="M307" s="8"/>
      <c r="N307" s="1269"/>
      <c r="O307" s="8"/>
      <c r="P307" s="8"/>
      <c r="Q307" s="8"/>
      <c r="R307" s="8"/>
      <c r="S307" s="8"/>
      <c r="T307" s="8"/>
      <c r="U307" s="8"/>
      <c r="V307" s="50"/>
      <c r="W307" s="8"/>
      <c r="AI307" s="66"/>
      <c r="AJ307" s="66"/>
      <c r="AK307" s="66"/>
      <c r="AL307" s="66"/>
      <c r="AM307" s="66"/>
      <c r="AN307" s="66"/>
      <c r="AO307" s="66"/>
      <c r="AP307" s="1310"/>
      <c r="BH307" s="67"/>
      <c r="BS307" s="66"/>
      <c r="BT307" s="66"/>
      <c r="BU307" s="66"/>
      <c r="BV307" s="66"/>
      <c r="BW307" s="66"/>
      <c r="BX307" s="66"/>
      <c r="BY307" s="66"/>
      <c r="BZ307" s="67"/>
      <c r="CA307" s="67"/>
      <c r="CB307" s="185"/>
      <c r="CC307" s="185"/>
      <c r="CE307" s="170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</row>
    <row r="308" spans="1:100" s="6" customFormat="1" ht="15.75" x14ac:dyDescent="0.2">
      <c r="A308" s="58"/>
      <c r="C308" s="58"/>
      <c r="D308" s="241"/>
      <c r="E308" s="8"/>
      <c r="F308" s="8"/>
      <c r="G308" s="8"/>
      <c r="H308" s="8"/>
      <c r="I308" s="8"/>
      <c r="J308" s="8"/>
      <c r="K308" s="8"/>
      <c r="L308" s="8"/>
      <c r="M308" s="8"/>
      <c r="N308" s="1269"/>
      <c r="O308" s="8"/>
      <c r="P308" s="8"/>
      <c r="Q308" s="8"/>
      <c r="R308" s="8"/>
      <c r="S308" s="8"/>
      <c r="T308" s="8"/>
      <c r="U308" s="8"/>
      <c r="V308" s="50"/>
      <c r="W308" s="8"/>
      <c r="AI308" s="66"/>
      <c r="AJ308" s="66"/>
      <c r="AK308" s="66"/>
      <c r="AL308" s="66"/>
      <c r="AM308" s="66"/>
      <c r="AN308" s="66"/>
      <c r="AO308" s="66"/>
      <c r="AP308" s="1310"/>
      <c r="BH308" s="67"/>
      <c r="BS308" s="66"/>
      <c r="BT308" s="66"/>
      <c r="BU308" s="66"/>
      <c r="BV308" s="66"/>
      <c r="BW308" s="66"/>
      <c r="BX308" s="66"/>
      <c r="BY308" s="66"/>
      <c r="BZ308" s="67"/>
      <c r="CA308" s="67"/>
      <c r="CB308" s="185"/>
      <c r="CC308" s="185"/>
      <c r="CE308" s="170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</row>
    <row r="309" spans="1:100" s="6" customFormat="1" ht="15.75" x14ac:dyDescent="0.2">
      <c r="A309" s="58"/>
      <c r="C309" s="58"/>
      <c r="D309" s="241"/>
      <c r="E309" s="8"/>
      <c r="F309" s="8"/>
      <c r="G309" s="8"/>
      <c r="H309" s="8"/>
      <c r="I309" s="8"/>
      <c r="J309" s="8"/>
      <c r="K309" s="8"/>
      <c r="L309" s="8"/>
      <c r="M309" s="8"/>
      <c r="N309" s="1269"/>
      <c r="O309" s="8"/>
      <c r="P309" s="8"/>
      <c r="Q309" s="8"/>
      <c r="R309" s="8"/>
      <c r="S309" s="8"/>
      <c r="T309" s="8"/>
      <c r="U309" s="8"/>
      <c r="V309" s="50"/>
      <c r="W309" s="8"/>
      <c r="AI309" s="66"/>
      <c r="AJ309" s="66"/>
      <c r="AK309" s="66"/>
      <c r="AL309" s="66"/>
      <c r="AM309" s="66"/>
      <c r="AN309" s="66"/>
      <c r="AO309" s="66"/>
      <c r="AP309" s="1310"/>
      <c r="BH309" s="67"/>
      <c r="BS309" s="66"/>
      <c r="BT309" s="66"/>
      <c r="BU309" s="66"/>
      <c r="BV309" s="66"/>
      <c r="BW309" s="66"/>
      <c r="BX309" s="66"/>
      <c r="BY309" s="66"/>
      <c r="BZ309" s="67"/>
      <c r="CA309" s="67"/>
      <c r="CB309" s="185"/>
      <c r="CC309" s="185"/>
      <c r="CE309" s="170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</row>
    <row r="310" spans="1:100" s="6" customFormat="1" ht="15.75" x14ac:dyDescent="0.2">
      <c r="A310" s="58"/>
      <c r="C310" s="58"/>
      <c r="D310" s="241"/>
      <c r="E310" s="8"/>
      <c r="F310" s="8"/>
      <c r="G310" s="8"/>
      <c r="H310" s="8"/>
      <c r="I310" s="8"/>
      <c r="J310" s="8"/>
      <c r="K310" s="8"/>
      <c r="L310" s="8"/>
      <c r="M310" s="8"/>
      <c r="N310" s="1269"/>
      <c r="O310" s="8"/>
      <c r="P310" s="8"/>
      <c r="Q310" s="8"/>
      <c r="R310" s="8"/>
      <c r="S310" s="8"/>
      <c r="T310" s="8"/>
      <c r="U310" s="8"/>
      <c r="V310" s="50"/>
      <c r="W310" s="8"/>
      <c r="AI310" s="66"/>
      <c r="AJ310" s="66"/>
      <c r="AK310" s="66"/>
      <c r="AL310" s="66"/>
      <c r="AM310" s="66"/>
      <c r="AN310" s="66"/>
      <c r="AO310" s="66"/>
      <c r="AP310" s="1310"/>
      <c r="BH310" s="67"/>
      <c r="BS310" s="66"/>
      <c r="BT310" s="66"/>
      <c r="BU310" s="66"/>
      <c r="BV310" s="66"/>
      <c r="BW310" s="66"/>
      <c r="BX310" s="66"/>
      <c r="BY310" s="66"/>
      <c r="BZ310" s="67"/>
      <c r="CA310" s="67"/>
      <c r="CB310" s="185"/>
      <c r="CC310" s="185"/>
      <c r="CE310" s="170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</row>
    <row r="311" spans="1:100" s="6" customFormat="1" ht="15.75" x14ac:dyDescent="0.2">
      <c r="A311" s="58"/>
      <c r="C311" s="58"/>
      <c r="D311" s="241"/>
      <c r="E311" s="8"/>
      <c r="F311" s="8"/>
      <c r="G311" s="8"/>
      <c r="H311" s="8"/>
      <c r="I311" s="8"/>
      <c r="J311" s="8"/>
      <c r="K311" s="8"/>
      <c r="L311" s="8"/>
      <c r="M311" s="8"/>
      <c r="N311" s="1269"/>
      <c r="O311" s="8"/>
      <c r="P311" s="8"/>
      <c r="Q311" s="8"/>
      <c r="R311" s="8"/>
      <c r="S311" s="8"/>
      <c r="T311" s="8"/>
      <c r="U311" s="8"/>
      <c r="V311" s="50"/>
      <c r="W311" s="8"/>
      <c r="AI311" s="66"/>
      <c r="AJ311" s="66"/>
      <c r="AK311" s="66"/>
      <c r="AL311" s="66"/>
      <c r="AM311" s="66"/>
      <c r="AN311" s="66"/>
      <c r="AO311" s="66"/>
      <c r="AP311" s="1310"/>
      <c r="BH311" s="67"/>
      <c r="BS311" s="66"/>
      <c r="BT311" s="66"/>
      <c r="BU311" s="66"/>
      <c r="BV311" s="66"/>
      <c r="BW311" s="66"/>
      <c r="BX311" s="66"/>
      <c r="BY311" s="66"/>
      <c r="BZ311" s="67"/>
      <c r="CA311" s="67"/>
      <c r="CB311" s="185"/>
      <c r="CC311" s="185"/>
      <c r="CE311" s="170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</row>
    <row r="312" spans="1:100" s="6" customFormat="1" ht="15.75" x14ac:dyDescent="0.2">
      <c r="A312" s="58"/>
      <c r="C312" s="58"/>
      <c r="D312" s="241"/>
      <c r="E312" s="8"/>
      <c r="F312" s="8"/>
      <c r="G312" s="8"/>
      <c r="H312" s="8"/>
      <c r="I312" s="8"/>
      <c r="J312" s="8"/>
      <c r="K312" s="8"/>
      <c r="L312" s="8"/>
      <c r="M312" s="8"/>
      <c r="N312" s="1269"/>
      <c r="O312" s="8"/>
      <c r="P312" s="8"/>
      <c r="Q312" s="8"/>
      <c r="R312" s="8"/>
      <c r="S312" s="8"/>
      <c r="T312" s="8"/>
      <c r="U312" s="8"/>
      <c r="V312" s="50"/>
      <c r="W312" s="8"/>
      <c r="AI312" s="66"/>
      <c r="AJ312" s="66"/>
      <c r="AK312" s="66"/>
      <c r="AL312" s="66"/>
      <c r="AM312" s="66"/>
      <c r="AN312" s="66"/>
      <c r="AO312" s="66"/>
      <c r="AP312" s="1310"/>
      <c r="BH312" s="67"/>
      <c r="BS312" s="66"/>
      <c r="BT312" s="66"/>
      <c r="BU312" s="66"/>
      <c r="BV312" s="66"/>
      <c r="BW312" s="66"/>
      <c r="BX312" s="66"/>
      <c r="BY312" s="66"/>
      <c r="BZ312" s="67"/>
      <c r="CA312" s="67"/>
      <c r="CB312" s="185"/>
      <c r="CC312" s="185"/>
      <c r="CE312" s="170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</row>
    <row r="313" spans="1:100" s="6" customFormat="1" ht="15.75" x14ac:dyDescent="0.2">
      <c r="A313" s="58"/>
      <c r="C313" s="58"/>
      <c r="D313" s="241"/>
      <c r="E313" s="8"/>
      <c r="F313" s="8"/>
      <c r="G313" s="8"/>
      <c r="H313" s="8"/>
      <c r="I313" s="8"/>
      <c r="J313" s="8"/>
      <c r="K313" s="8"/>
      <c r="L313" s="8"/>
      <c r="M313" s="8"/>
      <c r="N313" s="1269"/>
      <c r="O313" s="8"/>
      <c r="P313" s="8"/>
      <c r="Q313" s="8"/>
      <c r="R313" s="8"/>
      <c r="S313" s="8"/>
      <c r="T313" s="8"/>
      <c r="U313" s="8"/>
      <c r="V313" s="50"/>
      <c r="W313" s="8"/>
      <c r="AI313" s="66"/>
      <c r="AJ313" s="66"/>
      <c r="AK313" s="66"/>
      <c r="AL313" s="66"/>
      <c r="AM313" s="66"/>
      <c r="AN313" s="66"/>
      <c r="AO313" s="66"/>
      <c r="AP313" s="1310"/>
      <c r="BH313" s="67"/>
      <c r="BS313" s="66"/>
      <c r="BT313" s="66"/>
      <c r="BU313" s="66"/>
      <c r="BV313" s="66"/>
      <c r="BW313" s="66"/>
      <c r="BX313" s="66"/>
      <c r="BY313" s="66"/>
      <c r="BZ313" s="67"/>
      <c r="CA313" s="67"/>
      <c r="CB313" s="185"/>
      <c r="CC313" s="185"/>
      <c r="CE313" s="170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</row>
    <row r="314" spans="1:100" s="6" customFormat="1" ht="15.75" x14ac:dyDescent="0.2">
      <c r="A314" s="58"/>
      <c r="C314" s="58"/>
      <c r="D314" s="241"/>
      <c r="E314" s="8"/>
      <c r="F314" s="8"/>
      <c r="G314" s="8"/>
      <c r="H314" s="8"/>
      <c r="I314" s="8"/>
      <c r="J314" s="8"/>
      <c r="K314" s="8"/>
      <c r="L314" s="8"/>
      <c r="M314" s="8"/>
      <c r="N314" s="1269"/>
      <c r="O314" s="8"/>
      <c r="P314" s="8"/>
      <c r="Q314" s="8"/>
      <c r="R314" s="8"/>
      <c r="S314" s="8"/>
      <c r="T314" s="8"/>
      <c r="U314" s="8"/>
      <c r="V314" s="50"/>
      <c r="W314" s="8"/>
      <c r="AI314" s="66"/>
      <c r="AJ314" s="66"/>
      <c r="AK314" s="66"/>
      <c r="AL314" s="66"/>
      <c r="AM314" s="66"/>
      <c r="AN314" s="66"/>
      <c r="AO314" s="66"/>
      <c r="AP314" s="1310"/>
      <c r="BH314" s="67"/>
      <c r="BS314" s="66"/>
      <c r="BT314" s="66"/>
      <c r="BU314" s="66"/>
      <c r="BV314" s="66"/>
      <c r="BW314" s="66"/>
      <c r="BX314" s="66"/>
      <c r="BY314" s="66"/>
      <c r="BZ314" s="67"/>
      <c r="CA314" s="67"/>
      <c r="CB314" s="185"/>
      <c r="CC314" s="185"/>
      <c r="CE314" s="170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</row>
    <row r="315" spans="1:100" s="6" customFormat="1" ht="15.75" x14ac:dyDescent="0.2">
      <c r="A315" s="58"/>
      <c r="C315" s="58"/>
      <c r="D315" s="241"/>
      <c r="E315" s="8"/>
      <c r="F315" s="8"/>
      <c r="G315" s="8"/>
      <c r="H315" s="8"/>
      <c r="I315" s="8"/>
      <c r="J315" s="8"/>
      <c r="K315" s="8"/>
      <c r="L315" s="8"/>
      <c r="M315" s="8"/>
      <c r="N315" s="1269"/>
      <c r="O315" s="8"/>
      <c r="P315" s="8"/>
      <c r="Q315" s="8"/>
      <c r="R315" s="8"/>
      <c r="S315" s="8"/>
      <c r="T315" s="8"/>
      <c r="U315" s="8"/>
      <c r="V315" s="50"/>
      <c r="W315" s="8"/>
      <c r="AI315" s="66"/>
      <c r="AJ315" s="66"/>
      <c r="AK315" s="66"/>
      <c r="AL315" s="66"/>
      <c r="AM315" s="66"/>
      <c r="AN315" s="66"/>
      <c r="AO315" s="66"/>
      <c r="AP315" s="1310"/>
      <c r="BH315" s="67"/>
      <c r="BS315" s="66"/>
      <c r="BT315" s="66"/>
      <c r="BU315" s="66"/>
      <c r="BV315" s="66"/>
      <c r="BW315" s="66"/>
      <c r="BX315" s="66"/>
      <c r="BY315" s="66"/>
      <c r="BZ315" s="67"/>
      <c r="CA315" s="67"/>
      <c r="CB315" s="185"/>
      <c r="CC315" s="185"/>
      <c r="CE315" s="170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</row>
    <row r="316" spans="1:100" s="6" customFormat="1" ht="15.75" x14ac:dyDescent="0.2">
      <c r="A316" s="58"/>
      <c r="C316" s="58"/>
      <c r="D316" s="241"/>
      <c r="E316" s="8"/>
      <c r="F316" s="8"/>
      <c r="G316" s="8"/>
      <c r="H316" s="8"/>
      <c r="I316" s="8"/>
      <c r="J316" s="8"/>
      <c r="K316" s="8"/>
      <c r="L316" s="8"/>
      <c r="M316" s="8"/>
      <c r="N316" s="1269"/>
      <c r="O316" s="8"/>
      <c r="P316" s="8"/>
      <c r="Q316" s="8"/>
      <c r="R316" s="8"/>
      <c r="S316" s="8"/>
      <c r="T316" s="8"/>
      <c r="U316" s="8"/>
      <c r="V316" s="50"/>
      <c r="W316" s="8"/>
      <c r="AI316" s="66"/>
      <c r="AJ316" s="66"/>
      <c r="AK316" s="66"/>
      <c r="AL316" s="66"/>
      <c r="AM316" s="66"/>
      <c r="AN316" s="66"/>
      <c r="AO316" s="66"/>
      <c r="AP316" s="1310"/>
      <c r="BH316" s="67"/>
      <c r="BS316" s="66"/>
      <c r="BT316" s="66"/>
      <c r="BU316" s="66"/>
      <c r="BV316" s="66"/>
      <c r="BW316" s="66"/>
      <c r="BX316" s="66"/>
      <c r="BY316" s="66"/>
      <c r="BZ316" s="67"/>
      <c r="CA316" s="67"/>
      <c r="CB316" s="185"/>
      <c r="CC316" s="185"/>
      <c r="CE316" s="170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</row>
    <row r="317" spans="1:100" s="6" customFormat="1" ht="15.75" x14ac:dyDescent="0.2">
      <c r="A317" s="58"/>
      <c r="C317" s="58"/>
      <c r="D317" s="241"/>
      <c r="E317" s="8"/>
      <c r="F317" s="8"/>
      <c r="G317" s="8"/>
      <c r="H317" s="8"/>
      <c r="I317" s="8"/>
      <c r="J317" s="8"/>
      <c r="K317" s="8"/>
      <c r="L317" s="8"/>
      <c r="M317" s="8"/>
      <c r="N317" s="1269"/>
      <c r="O317" s="8"/>
      <c r="P317" s="8"/>
      <c r="Q317" s="8"/>
      <c r="R317" s="8"/>
      <c r="S317" s="8"/>
      <c r="T317" s="8"/>
      <c r="U317" s="8"/>
      <c r="V317" s="50"/>
      <c r="W317" s="8"/>
      <c r="AI317" s="66"/>
      <c r="AJ317" s="66"/>
      <c r="AK317" s="66"/>
      <c r="AL317" s="66"/>
      <c r="AM317" s="66"/>
      <c r="AN317" s="66"/>
      <c r="AO317" s="66"/>
      <c r="AP317" s="1310"/>
      <c r="BH317" s="67"/>
      <c r="BS317" s="66"/>
      <c r="BT317" s="66"/>
      <c r="BU317" s="66"/>
      <c r="BV317" s="66"/>
      <c r="BW317" s="66"/>
      <c r="BX317" s="66"/>
      <c r="BY317" s="66"/>
      <c r="BZ317" s="67"/>
      <c r="CA317" s="67"/>
      <c r="CB317" s="185"/>
      <c r="CC317" s="185"/>
      <c r="CE317" s="170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</row>
    <row r="318" spans="1:100" s="6" customFormat="1" ht="15.75" x14ac:dyDescent="0.2">
      <c r="A318" s="58"/>
      <c r="C318" s="58"/>
      <c r="D318" s="241"/>
      <c r="E318" s="8"/>
      <c r="F318" s="8"/>
      <c r="G318" s="8"/>
      <c r="H318" s="8"/>
      <c r="I318" s="8"/>
      <c r="J318" s="8"/>
      <c r="K318" s="8"/>
      <c r="L318" s="8"/>
      <c r="M318" s="8"/>
      <c r="N318" s="1269"/>
      <c r="O318" s="8"/>
      <c r="P318" s="8"/>
      <c r="Q318" s="8"/>
      <c r="R318" s="8"/>
      <c r="S318" s="8"/>
      <c r="T318" s="8"/>
      <c r="U318" s="8"/>
      <c r="V318" s="50"/>
      <c r="W318" s="8"/>
      <c r="AI318" s="66"/>
      <c r="AJ318" s="66"/>
      <c r="AK318" s="66"/>
      <c r="AL318" s="66"/>
      <c r="AM318" s="66"/>
      <c r="AN318" s="66"/>
      <c r="AO318" s="66"/>
      <c r="AP318" s="1310"/>
      <c r="BH318" s="67"/>
      <c r="BS318" s="66"/>
      <c r="BT318" s="66"/>
      <c r="BU318" s="66"/>
      <c r="BV318" s="66"/>
      <c r="BW318" s="66"/>
      <c r="BX318" s="66"/>
      <c r="BY318" s="66"/>
      <c r="BZ318" s="67"/>
      <c r="CA318" s="67"/>
      <c r="CB318" s="185"/>
      <c r="CC318" s="185"/>
      <c r="CE318" s="170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</row>
    <row r="319" spans="1:100" s="6" customFormat="1" ht="15.75" x14ac:dyDescent="0.2">
      <c r="A319" s="58"/>
      <c r="C319" s="58"/>
      <c r="D319" s="241"/>
      <c r="E319" s="8"/>
      <c r="F319" s="8"/>
      <c r="G319" s="8"/>
      <c r="H319" s="8"/>
      <c r="I319" s="8"/>
      <c r="J319" s="8"/>
      <c r="K319" s="8"/>
      <c r="L319" s="8"/>
      <c r="M319" s="8"/>
      <c r="N319" s="1269"/>
      <c r="O319" s="8"/>
      <c r="P319" s="8"/>
      <c r="Q319" s="8"/>
      <c r="R319" s="8"/>
      <c r="S319" s="8"/>
      <c r="T319" s="8"/>
      <c r="U319" s="8"/>
      <c r="V319" s="50"/>
      <c r="W319" s="8"/>
      <c r="AI319" s="66"/>
      <c r="AJ319" s="66"/>
      <c r="AK319" s="66"/>
      <c r="AL319" s="66"/>
      <c r="AM319" s="66"/>
      <c r="AN319" s="66"/>
      <c r="AO319" s="66"/>
      <c r="AP319" s="1310"/>
      <c r="BH319" s="67"/>
      <c r="BS319" s="66"/>
      <c r="BT319" s="66"/>
      <c r="BU319" s="66"/>
      <c r="BV319" s="66"/>
      <c r="BW319" s="66"/>
      <c r="BX319" s="66"/>
      <c r="BY319" s="66"/>
      <c r="BZ319" s="67"/>
      <c r="CA319" s="67"/>
      <c r="CB319" s="185"/>
      <c r="CC319" s="185"/>
      <c r="CE319" s="170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</row>
    <row r="320" spans="1:100" s="6" customFormat="1" ht="15.75" x14ac:dyDescent="0.2">
      <c r="A320" s="58"/>
      <c r="C320" s="58"/>
      <c r="D320" s="241"/>
      <c r="E320" s="8"/>
      <c r="F320" s="8"/>
      <c r="G320" s="8"/>
      <c r="H320" s="8"/>
      <c r="I320" s="8"/>
      <c r="J320" s="8"/>
      <c r="K320" s="8"/>
      <c r="L320" s="8"/>
      <c r="M320" s="8"/>
      <c r="N320" s="1269"/>
      <c r="O320" s="8"/>
      <c r="P320" s="8"/>
      <c r="Q320" s="8"/>
      <c r="R320" s="8"/>
      <c r="S320" s="8"/>
      <c r="T320" s="8"/>
      <c r="U320" s="8"/>
      <c r="V320" s="50"/>
      <c r="W320" s="8"/>
      <c r="AI320" s="66"/>
      <c r="AJ320" s="66"/>
      <c r="AK320" s="66"/>
      <c r="AL320" s="66"/>
      <c r="AM320" s="66"/>
      <c r="AN320" s="66"/>
      <c r="AO320" s="66"/>
      <c r="AP320" s="1310"/>
      <c r="BH320" s="67"/>
      <c r="BS320" s="66"/>
      <c r="BT320" s="66"/>
      <c r="BU320" s="66"/>
      <c r="BV320" s="66"/>
      <c r="BW320" s="66"/>
      <c r="BX320" s="66"/>
      <c r="BY320" s="66"/>
      <c r="BZ320" s="67"/>
      <c r="CA320" s="67"/>
      <c r="CB320" s="185"/>
      <c r="CC320" s="185"/>
      <c r="CE320" s="170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</row>
    <row r="321" spans="1:100" s="6" customFormat="1" ht="15.75" x14ac:dyDescent="0.2">
      <c r="A321" s="58"/>
      <c r="C321" s="58"/>
      <c r="D321" s="241"/>
      <c r="E321" s="8"/>
      <c r="F321" s="8"/>
      <c r="G321" s="8"/>
      <c r="H321" s="8"/>
      <c r="I321" s="8"/>
      <c r="J321" s="8"/>
      <c r="K321" s="8"/>
      <c r="L321" s="8"/>
      <c r="M321" s="8"/>
      <c r="N321" s="1269"/>
      <c r="O321" s="8"/>
      <c r="P321" s="8"/>
      <c r="Q321" s="8"/>
      <c r="R321" s="8"/>
      <c r="S321" s="8"/>
      <c r="T321" s="8"/>
      <c r="U321" s="8"/>
      <c r="V321" s="50"/>
      <c r="W321" s="8"/>
      <c r="AI321" s="66"/>
      <c r="AJ321" s="66"/>
      <c r="AK321" s="66"/>
      <c r="AL321" s="66"/>
      <c r="AM321" s="66"/>
      <c r="AN321" s="66"/>
      <c r="AO321" s="66"/>
      <c r="AP321" s="1310"/>
      <c r="BH321" s="67"/>
      <c r="BS321" s="66"/>
      <c r="BT321" s="66"/>
      <c r="BU321" s="66"/>
      <c r="BV321" s="66"/>
      <c r="BW321" s="66"/>
      <c r="BX321" s="66"/>
      <c r="BY321" s="66"/>
      <c r="BZ321" s="67"/>
      <c r="CA321" s="67"/>
      <c r="CB321" s="185"/>
      <c r="CC321" s="185"/>
      <c r="CE321" s="170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</row>
    <row r="322" spans="1:100" s="6" customFormat="1" ht="15.75" x14ac:dyDescent="0.2">
      <c r="A322" s="58"/>
      <c r="C322" s="58"/>
      <c r="D322" s="241"/>
      <c r="E322" s="8"/>
      <c r="F322" s="8"/>
      <c r="G322" s="8"/>
      <c r="H322" s="8"/>
      <c r="I322" s="8"/>
      <c r="J322" s="8"/>
      <c r="K322" s="8"/>
      <c r="L322" s="8"/>
      <c r="M322" s="8"/>
      <c r="N322" s="1269"/>
      <c r="O322" s="8"/>
      <c r="P322" s="8"/>
      <c r="Q322" s="8"/>
      <c r="R322" s="8"/>
      <c r="S322" s="8"/>
      <c r="T322" s="8"/>
      <c r="U322" s="8"/>
      <c r="V322" s="50"/>
      <c r="W322" s="8"/>
      <c r="AI322" s="66"/>
      <c r="AJ322" s="66"/>
      <c r="AK322" s="66"/>
      <c r="AL322" s="66"/>
      <c r="AM322" s="66"/>
      <c r="AN322" s="66"/>
      <c r="AO322" s="66"/>
      <c r="AP322" s="1310"/>
      <c r="BH322" s="67"/>
      <c r="BS322" s="66"/>
      <c r="BT322" s="66"/>
      <c r="BU322" s="66"/>
      <c r="BV322" s="66"/>
      <c r="BW322" s="66"/>
      <c r="BX322" s="66"/>
      <c r="BY322" s="66"/>
      <c r="BZ322" s="67"/>
      <c r="CA322" s="67"/>
      <c r="CB322" s="185"/>
      <c r="CC322" s="185"/>
      <c r="CE322" s="170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</row>
    <row r="323" spans="1:100" s="6" customFormat="1" ht="15.75" x14ac:dyDescent="0.2">
      <c r="A323" s="58"/>
      <c r="C323" s="58"/>
      <c r="D323" s="241"/>
      <c r="E323" s="8"/>
      <c r="F323" s="8"/>
      <c r="G323" s="8"/>
      <c r="H323" s="8"/>
      <c r="I323" s="8"/>
      <c r="J323" s="8"/>
      <c r="K323" s="8"/>
      <c r="L323" s="8"/>
      <c r="M323" s="8"/>
      <c r="N323" s="1269"/>
      <c r="O323" s="8"/>
      <c r="P323" s="8"/>
      <c r="Q323" s="8"/>
      <c r="R323" s="8"/>
      <c r="S323" s="8"/>
      <c r="T323" s="8"/>
      <c r="U323" s="8"/>
      <c r="V323" s="50"/>
      <c r="W323" s="8"/>
      <c r="AI323" s="66"/>
      <c r="AJ323" s="66"/>
      <c r="AK323" s="66"/>
      <c r="AL323" s="66"/>
      <c r="AM323" s="66"/>
      <c r="AN323" s="66"/>
      <c r="AO323" s="66"/>
      <c r="AP323" s="1310"/>
      <c r="BH323" s="67"/>
      <c r="BS323" s="66"/>
      <c r="BT323" s="66"/>
      <c r="BU323" s="66"/>
      <c r="BV323" s="66"/>
      <c r="BW323" s="66"/>
      <c r="BX323" s="66"/>
      <c r="BY323" s="66"/>
      <c r="BZ323" s="67"/>
      <c r="CA323" s="67"/>
      <c r="CB323" s="185"/>
      <c r="CC323" s="185"/>
      <c r="CE323" s="170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</row>
    <row r="324" spans="1:100" s="6" customFormat="1" ht="15.75" x14ac:dyDescent="0.2">
      <c r="A324" s="58"/>
      <c r="C324" s="58"/>
      <c r="D324" s="241"/>
      <c r="E324" s="8"/>
      <c r="F324" s="8"/>
      <c r="G324" s="8"/>
      <c r="H324" s="8"/>
      <c r="I324" s="8"/>
      <c r="J324" s="8"/>
      <c r="K324" s="8"/>
      <c r="L324" s="8"/>
      <c r="M324" s="8"/>
      <c r="N324" s="1269"/>
      <c r="O324" s="8"/>
      <c r="P324" s="8"/>
      <c r="Q324" s="8"/>
      <c r="R324" s="8"/>
      <c r="S324" s="8"/>
      <c r="T324" s="8"/>
      <c r="U324" s="8"/>
      <c r="V324" s="50"/>
      <c r="W324" s="8"/>
      <c r="AI324" s="66"/>
      <c r="AJ324" s="66"/>
      <c r="AK324" s="66"/>
      <c r="AL324" s="66"/>
      <c r="AM324" s="66"/>
      <c r="AN324" s="66"/>
      <c r="AO324" s="66"/>
      <c r="AP324" s="1310"/>
      <c r="BH324" s="67"/>
      <c r="BS324" s="66"/>
      <c r="BT324" s="66"/>
      <c r="BU324" s="66"/>
      <c r="BV324" s="66"/>
      <c r="BW324" s="66"/>
      <c r="BX324" s="66"/>
      <c r="BY324" s="66"/>
      <c r="BZ324" s="67"/>
      <c r="CA324" s="67"/>
      <c r="CB324" s="185"/>
      <c r="CC324" s="185"/>
      <c r="CE324" s="170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</row>
    <row r="325" spans="1:100" s="6" customFormat="1" ht="15.75" x14ac:dyDescent="0.2">
      <c r="A325" s="58"/>
      <c r="C325" s="58"/>
      <c r="D325" s="241"/>
      <c r="E325" s="8"/>
      <c r="F325" s="8"/>
      <c r="G325" s="8"/>
      <c r="H325" s="8"/>
      <c r="I325" s="8"/>
      <c r="J325" s="8"/>
      <c r="K325" s="8"/>
      <c r="L325" s="8"/>
      <c r="M325" s="8"/>
      <c r="N325" s="1269"/>
      <c r="O325" s="8"/>
      <c r="P325" s="8"/>
      <c r="Q325" s="8"/>
      <c r="R325" s="8"/>
      <c r="S325" s="8"/>
      <c r="T325" s="8"/>
      <c r="U325" s="8"/>
      <c r="V325" s="50"/>
      <c r="W325" s="8"/>
      <c r="AI325" s="66"/>
      <c r="AJ325" s="66"/>
      <c r="AK325" s="66"/>
      <c r="AL325" s="66"/>
      <c r="AM325" s="66"/>
      <c r="AN325" s="66"/>
      <c r="AO325" s="66"/>
      <c r="AP325" s="1310"/>
      <c r="BH325" s="67"/>
      <c r="BS325" s="66"/>
      <c r="BT325" s="66"/>
      <c r="BU325" s="66"/>
      <c r="BV325" s="66"/>
      <c r="BW325" s="66"/>
      <c r="BX325" s="66"/>
      <c r="BY325" s="66"/>
      <c r="BZ325" s="67"/>
      <c r="CA325" s="67"/>
      <c r="CB325" s="185"/>
      <c r="CC325" s="185"/>
      <c r="CE325" s="170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</row>
    <row r="326" spans="1:100" s="6" customFormat="1" ht="15.75" x14ac:dyDescent="0.2">
      <c r="A326" s="58"/>
      <c r="C326" s="58"/>
      <c r="D326" s="241"/>
      <c r="E326" s="8"/>
      <c r="F326" s="8"/>
      <c r="G326" s="8"/>
      <c r="H326" s="8"/>
      <c r="I326" s="8"/>
      <c r="J326" s="8"/>
      <c r="K326" s="8"/>
      <c r="L326" s="8"/>
      <c r="M326" s="8"/>
      <c r="N326" s="1269"/>
      <c r="O326" s="8"/>
      <c r="P326" s="8"/>
      <c r="Q326" s="8"/>
      <c r="R326" s="8"/>
      <c r="S326" s="8"/>
      <c r="T326" s="8"/>
      <c r="U326" s="8"/>
      <c r="V326" s="50"/>
      <c r="W326" s="8"/>
      <c r="AI326" s="66"/>
      <c r="AJ326" s="66"/>
      <c r="AK326" s="66"/>
      <c r="AL326" s="66"/>
      <c r="AM326" s="66"/>
      <c r="AN326" s="66"/>
      <c r="AO326" s="66"/>
      <c r="AP326" s="1310"/>
      <c r="BH326" s="67"/>
      <c r="BS326" s="66"/>
      <c r="BT326" s="66"/>
      <c r="BU326" s="66"/>
      <c r="BV326" s="66"/>
      <c r="BW326" s="66"/>
      <c r="BX326" s="66"/>
      <c r="BY326" s="66"/>
      <c r="BZ326" s="67"/>
      <c r="CA326" s="67"/>
      <c r="CB326" s="185"/>
      <c r="CC326" s="185"/>
      <c r="CE326" s="170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</row>
    <row r="327" spans="1:100" s="6" customFormat="1" ht="15.75" x14ac:dyDescent="0.2">
      <c r="A327" s="58"/>
      <c r="C327" s="58"/>
      <c r="D327" s="241"/>
      <c r="E327" s="8"/>
      <c r="F327" s="8"/>
      <c r="G327" s="8"/>
      <c r="H327" s="8"/>
      <c r="I327" s="8"/>
      <c r="J327" s="8"/>
      <c r="K327" s="8"/>
      <c r="L327" s="8"/>
      <c r="M327" s="8"/>
      <c r="N327" s="1269"/>
      <c r="O327" s="8"/>
      <c r="P327" s="8"/>
      <c r="Q327" s="8"/>
      <c r="R327" s="8"/>
      <c r="S327" s="8"/>
      <c r="T327" s="8"/>
      <c r="U327" s="8"/>
      <c r="V327" s="50"/>
      <c r="W327" s="8"/>
      <c r="AI327" s="66"/>
      <c r="AJ327" s="66"/>
      <c r="AK327" s="66"/>
      <c r="AL327" s="66"/>
      <c r="AM327" s="66"/>
      <c r="AN327" s="66"/>
      <c r="AO327" s="66"/>
      <c r="AP327" s="1310"/>
      <c r="BH327" s="67"/>
      <c r="BS327" s="66"/>
      <c r="BT327" s="66"/>
      <c r="BU327" s="66"/>
      <c r="BV327" s="66"/>
      <c r="BW327" s="66"/>
      <c r="BX327" s="66"/>
      <c r="BY327" s="66"/>
      <c r="BZ327" s="67"/>
      <c r="CA327" s="67"/>
      <c r="CB327" s="185"/>
      <c r="CC327" s="185"/>
      <c r="CE327" s="170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</row>
    <row r="328" spans="1:100" s="6" customFormat="1" ht="15.75" x14ac:dyDescent="0.2">
      <c r="A328" s="58"/>
      <c r="C328" s="58"/>
      <c r="D328" s="241"/>
      <c r="E328" s="8"/>
      <c r="F328" s="8"/>
      <c r="G328" s="8"/>
      <c r="H328" s="8"/>
      <c r="I328" s="8"/>
      <c r="J328" s="8"/>
      <c r="K328" s="8"/>
      <c r="L328" s="8"/>
      <c r="M328" s="8"/>
      <c r="N328" s="1269"/>
      <c r="O328" s="8"/>
      <c r="P328" s="8"/>
      <c r="Q328" s="8"/>
      <c r="R328" s="8"/>
      <c r="S328" s="8"/>
      <c r="T328" s="8"/>
      <c r="U328" s="8"/>
      <c r="V328" s="50"/>
      <c r="W328" s="8"/>
      <c r="AI328" s="66"/>
      <c r="AJ328" s="66"/>
      <c r="AK328" s="66"/>
      <c r="AL328" s="66"/>
      <c r="AM328" s="66"/>
      <c r="AN328" s="66"/>
      <c r="AO328" s="66"/>
      <c r="AP328" s="1310"/>
      <c r="BH328" s="67"/>
      <c r="BS328" s="66"/>
      <c r="BT328" s="66"/>
      <c r="BU328" s="66"/>
      <c r="BV328" s="66"/>
      <c r="BW328" s="66"/>
      <c r="BX328" s="66"/>
      <c r="BY328" s="66"/>
      <c r="BZ328" s="67"/>
      <c r="CA328" s="67"/>
      <c r="CB328" s="185"/>
      <c r="CC328" s="185"/>
      <c r="CE328" s="170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</row>
    <row r="329" spans="1:100" s="6" customFormat="1" ht="15.75" x14ac:dyDescent="0.2">
      <c r="A329" s="58"/>
      <c r="C329" s="58"/>
      <c r="D329" s="241"/>
      <c r="E329" s="8"/>
      <c r="F329" s="8"/>
      <c r="G329" s="8"/>
      <c r="H329" s="8"/>
      <c r="I329" s="8"/>
      <c r="J329" s="8"/>
      <c r="K329" s="8"/>
      <c r="L329" s="8"/>
      <c r="M329" s="8"/>
      <c r="N329" s="1269"/>
      <c r="O329" s="8"/>
      <c r="P329" s="8"/>
      <c r="Q329" s="8"/>
      <c r="R329" s="8"/>
      <c r="S329" s="8"/>
      <c r="T329" s="8"/>
      <c r="U329" s="8"/>
      <c r="V329" s="50"/>
      <c r="W329" s="8"/>
      <c r="AI329" s="66"/>
      <c r="AJ329" s="66"/>
      <c r="AK329" s="66"/>
      <c r="AL329" s="66"/>
      <c r="AM329" s="66"/>
      <c r="AN329" s="66"/>
      <c r="AO329" s="66"/>
      <c r="AP329" s="1310"/>
      <c r="BH329" s="67"/>
      <c r="BS329" s="66"/>
      <c r="BT329" s="66"/>
      <c r="BU329" s="66"/>
      <c r="BV329" s="66"/>
      <c r="BW329" s="66"/>
      <c r="BX329" s="66"/>
      <c r="BY329" s="66"/>
      <c r="BZ329" s="67"/>
      <c r="CA329" s="67"/>
      <c r="CB329" s="185"/>
      <c r="CC329" s="185"/>
      <c r="CE329" s="170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</row>
    <row r="330" spans="1:100" s="6" customFormat="1" ht="15.75" x14ac:dyDescent="0.2">
      <c r="A330" s="58"/>
      <c r="C330" s="58"/>
      <c r="D330" s="241"/>
      <c r="E330" s="8"/>
      <c r="F330" s="8"/>
      <c r="G330" s="8"/>
      <c r="H330" s="8"/>
      <c r="I330" s="8"/>
      <c r="J330" s="8"/>
      <c r="K330" s="8"/>
      <c r="L330" s="8"/>
      <c r="M330" s="8"/>
      <c r="N330" s="1269"/>
      <c r="O330" s="8"/>
      <c r="P330" s="8"/>
      <c r="Q330" s="8"/>
      <c r="R330" s="8"/>
      <c r="S330" s="8"/>
      <c r="T330" s="8"/>
      <c r="U330" s="8"/>
      <c r="V330" s="50"/>
      <c r="W330" s="8"/>
      <c r="AI330" s="66"/>
      <c r="AJ330" s="66"/>
      <c r="AK330" s="66"/>
      <c r="AL330" s="66"/>
      <c r="AM330" s="66"/>
      <c r="AN330" s="66"/>
      <c r="AO330" s="66"/>
      <c r="AP330" s="1310"/>
      <c r="BH330" s="67"/>
      <c r="BS330" s="66"/>
      <c r="BT330" s="66"/>
      <c r="BU330" s="66"/>
      <c r="BV330" s="66"/>
      <c r="BW330" s="66"/>
      <c r="BX330" s="66"/>
      <c r="BY330" s="66"/>
      <c r="BZ330" s="67"/>
      <c r="CA330" s="67"/>
      <c r="CB330" s="185"/>
      <c r="CC330" s="185"/>
      <c r="CE330" s="170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</row>
    <row r="331" spans="1:100" s="6" customFormat="1" ht="15.75" x14ac:dyDescent="0.2">
      <c r="A331" s="58"/>
      <c r="C331" s="58"/>
      <c r="D331" s="241"/>
      <c r="E331" s="8"/>
      <c r="F331" s="8"/>
      <c r="G331" s="8"/>
      <c r="H331" s="8"/>
      <c r="I331" s="8"/>
      <c r="J331" s="8"/>
      <c r="K331" s="8"/>
      <c r="L331" s="8"/>
      <c r="M331" s="8"/>
      <c r="N331" s="1269"/>
      <c r="O331" s="8"/>
      <c r="P331" s="8"/>
      <c r="Q331" s="8"/>
      <c r="R331" s="8"/>
      <c r="S331" s="8"/>
      <c r="T331" s="8"/>
      <c r="U331" s="8"/>
      <c r="V331" s="50"/>
      <c r="W331" s="8"/>
      <c r="AI331" s="66"/>
      <c r="AJ331" s="66"/>
      <c r="AK331" s="66"/>
      <c r="AL331" s="66"/>
      <c r="AM331" s="66"/>
      <c r="AN331" s="66"/>
      <c r="AO331" s="66"/>
      <c r="AP331" s="1310"/>
      <c r="BH331" s="67"/>
      <c r="BS331" s="66"/>
      <c r="BT331" s="66"/>
      <c r="BU331" s="66"/>
      <c r="BV331" s="66"/>
      <c r="BW331" s="66"/>
      <c r="BX331" s="66"/>
      <c r="BY331" s="66"/>
      <c r="BZ331" s="67"/>
      <c r="CA331" s="67"/>
      <c r="CB331" s="185"/>
      <c r="CC331" s="185"/>
      <c r="CE331" s="170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</row>
    <row r="332" spans="1:100" s="6" customFormat="1" ht="15.75" x14ac:dyDescent="0.2">
      <c r="A332" s="58"/>
      <c r="C332" s="58"/>
      <c r="D332" s="241"/>
      <c r="E332" s="8"/>
      <c r="F332" s="8"/>
      <c r="G332" s="8"/>
      <c r="H332" s="8"/>
      <c r="I332" s="8"/>
      <c r="J332" s="8"/>
      <c r="K332" s="8"/>
      <c r="L332" s="8"/>
      <c r="M332" s="8"/>
      <c r="N332" s="1269"/>
      <c r="O332" s="8"/>
      <c r="P332" s="8"/>
      <c r="Q332" s="8"/>
      <c r="R332" s="8"/>
      <c r="S332" s="8"/>
      <c r="T332" s="8"/>
      <c r="U332" s="8"/>
      <c r="V332" s="50"/>
      <c r="W332" s="8"/>
      <c r="AI332" s="66"/>
      <c r="AJ332" s="66"/>
      <c r="AK332" s="66"/>
      <c r="AL332" s="66"/>
      <c r="AM332" s="66"/>
      <c r="AN332" s="66"/>
      <c r="AO332" s="66"/>
      <c r="AP332" s="1310"/>
      <c r="BH332" s="67"/>
      <c r="BS332" s="66"/>
      <c r="BT332" s="66"/>
      <c r="BU332" s="66"/>
      <c r="BV332" s="66"/>
      <c r="BW332" s="66"/>
      <c r="BX332" s="66"/>
      <c r="BY332" s="66"/>
      <c r="BZ332" s="67"/>
      <c r="CA332" s="67"/>
      <c r="CB332" s="185"/>
      <c r="CC332" s="185"/>
      <c r="CE332" s="170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</row>
    <row r="333" spans="1:100" s="6" customFormat="1" ht="15.75" x14ac:dyDescent="0.2">
      <c r="A333" s="58"/>
      <c r="C333" s="58"/>
      <c r="D333" s="241"/>
      <c r="E333" s="8"/>
      <c r="F333" s="8"/>
      <c r="G333" s="8"/>
      <c r="H333" s="8"/>
      <c r="I333" s="8"/>
      <c r="J333" s="8"/>
      <c r="K333" s="8"/>
      <c r="L333" s="8"/>
      <c r="M333" s="8"/>
      <c r="N333" s="1269"/>
      <c r="O333" s="8"/>
      <c r="P333" s="8"/>
      <c r="Q333" s="8"/>
      <c r="R333" s="8"/>
      <c r="S333" s="8"/>
      <c r="T333" s="8"/>
      <c r="U333" s="8"/>
      <c r="V333" s="50"/>
      <c r="W333" s="8"/>
      <c r="AI333" s="66"/>
      <c r="AJ333" s="66"/>
      <c r="AK333" s="66"/>
      <c r="AL333" s="66"/>
      <c r="AM333" s="66"/>
      <c r="AN333" s="66"/>
      <c r="AO333" s="66"/>
      <c r="AP333" s="1310"/>
      <c r="BH333" s="67"/>
      <c r="BS333" s="66"/>
      <c r="BT333" s="66"/>
      <c r="BU333" s="66"/>
      <c r="BV333" s="66"/>
      <c r="BW333" s="66"/>
      <c r="BX333" s="66"/>
      <c r="BY333" s="66"/>
      <c r="BZ333" s="67"/>
      <c r="CA333" s="67"/>
      <c r="CB333" s="185"/>
      <c r="CC333" s="185"/>
      <c r="CE333" s="170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</row>
    <row r="334" spans="1:100" s="6" customFormat="1" ht="15.75" x14ac:dyDescent="0.2">
      <c r="A334" s="58"/>
      <c r="C334" s="58"/>
      <c r="D334" s="241"/>
      <c r="E334" s="8"/>
      <c r="F334" s="8"/>
      <c r="G334" s="8"/>
      <c r="H334" s="8"/>
      <c r="I334" s="8"/>
      <c r="J334" s="8"/>
      <c r="K334" s="8"/>
      <c r="L334" s="8"/>
      <c r="M334" s="8"/>
      <c r="N334" s="1269"/>
      <c r="O334" s="8"/>
      <c r="P334" s="8"/>
      <c r="Q334" s="8"/>
      <c r="R334" s="8"/>
      <c r="S334" s="8"/>
      <c r="T334" s="8"/>
      <c r="U334" s="8"/>
      <c r="V334" s="50"/>
      <c r="W334" s="8"/>
      <c r="AI334" s="66"/>
      <c r="AJ334" s="66"/>
      <c r="AK334" s="66"/>
      <c r="AL334" s="66"/>
      <c r="AM334" s="66"/>
      <c r="AN334" s="66"/>
      <c r="AO334" s="66"/>
      <c r="AP334" s="1310"/>
      <c r="BH334" s="67"/>
      <c r="BS334" s="66"/>
      <c r="BT334" s="66"/>
      <c r="BU334" s="66"/>
      <c r="BV334" s="66"/>
      <c r="BW334" s="66"/>
      <c r="BX334" s="66"/>
      <c r="BY334" s="66"/>
      <c r="BZ334" s="67"/>
      <c r="CA334" s="67"/>
      <c r="CB334" s="185"/>
      <c r="CC334" s="185"/>
      <c r="CE334" s="170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</row>
    <row r="335" spans="1:100" s="6" customFormat="1" ht="15.75" x14ac:dyDescent="0.2">
      <c r="A335" s="58"/>
      <c r="C335" s="58"/>
      <c r="D335" s="241"/>
      <c r="E335" s="8"/>
      <c r="F335" s="8"/>
      <c r="G335" s="8"/>
      <c r="H335" s="8"/>
      <c r="I335" s="8"/>
      <c r="J335" s="8"/>
      <c r="K335" s="8"/>
      <c r="L335" s="8"/>
      <c r="M335" s="8"/>
      <c r="N335" s="1269"/>
      <c r="O335" s="8"/>
      <c r="P335" s="8"/>
      <c r="Q335" s="8"/>
      <c r="R335" s="8"/>
      <c r="S335" s="8"/>
      <c r="T335" s="8"/>
      <c r="U335" s="8"/>
      <c r="V335" s="50"/>
      <c r="W335" s="8"/>
      <c r="AI335" s="66"/>
      <c r="AJ335" s="66"/>
      <c r="AK335" s="66"/>
      <c r="AL335" s="66"/>
      <c r="AM335" s="66"/>
      <c r="AN335" s="66"/>
      <c r="AO335" s="66"/>
      <c r="AP335" s="1310"/>
      <c r="BH335" s="67"/>
      <c r="BS335" s="66"/>
      <c r="BT335" s="66"/>
      <c r="BU335" s="66"/>
      <c r="BV335" s="66"/>
      <c r="BW335" s="66"/>
      <c r="BX335" s="66"/>
      <c r="BY335" s="66"/>
      <c r="BZ335" s="67"/>
      <c r="CA335" s="67"/>
      <c r="CB335" s="185"/>
      <c r="CC335" s="185"/>
      <c r="CE335" s="170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</row>
    <row r="336" spans="1:100" s="6" customFormat="1" ht="15.75" x14ac:dyDescent="0.2">
      <c r="A336" s="58"/>
      <c r="C336" s="58"/>
      <c r="D336" s="241"/>
      <c r="E336" s="8"/>
      <c r="F336" s="8"/>
      <c r="G336" s="8"/>
      <c r="H336" s="8"/>
      <c r="I336" s="8"/>
      <c r="J336" s="8"/>
      <c r="K336" s="8"/>
      <c r="L336" s="8"/>
      <c r="M336" s="8"/>
      <c r="N336" s="1269"/>
      <c r="O336" s="8"/>
      <c r="P336" s="8"/>
      <c r="Q336" s="8"/>
      <c r="R336" s="8"/>
      <c r="S336" s="8"/>
      <c r="T336" s="8"/>
      <c r="U336" s="8"/>
      <c r="V336" s="50"/>
      <c r="W336" s="8"/>
      <c r="AI336" s="66"/>
      <c r="AJ336" s="66"/>
      <c r="AK336" s="66"/>
      <c r="AL336" s="66"/>
      <c r="AM336" s="66"/>
      <c r="AN336" s="66"/>
      <c r="AO336" s="66"/>
      <c r="AP336" s="1310"/>
      <c r="BH336" s="67"/>
      <c r="BS336" s="66"/>
      <c r="BT336" s="66"/>
      <c r="BU336" s="66"/>
      <c r="BV336" s="66"/>
      <c r="BW336" s="66"/>
      <c r="BX336" s="66"/>
      <c r="BY336" s="66"/>
      <c r="BZ336" s="67"/>
      <c r="CA336" s="67"/>
      <c r="CB336" s="185"/>
      <c r="CC336" s="185"/>
      <c r="CE336" s="170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</row>
    <row r="337" spans="1:100" s="6" customFormat="1" ht="15.75" x14ac:dyDescent="0.2">
      <c r="A337" s="58"/>
      <c r="C337" s="58"/>
      <c r="D337" s="241"/>
      <c r="E337" s="8"/>
      <c r="F337" s="8"/>
      <c r="G337" s="8"/>
      <c r="H337" s="8"/>
      <c r="I337" s="8"/>
      <c r="J337" s="8"/>
      <c r="K337" s="8"/>
      <c r="L337" s="8"/>
      <c r="M337" s="8"/>
      <c r="N337" s="1269"/>
      <c r="O337" s="8"/>
      <c r="P337" s="8"/>
      <c r="Q337" s="8"/>
      <c r="R337" s="8"/>
      <c r="S337" s="8"/>
      <c r="T337" s="8"/>
      <c r="U337" s="8"/>
      <c r="V337" s="50"/>
      <c r="W337" s="8"/>
      <c r="AI337" s="66"/>
      <c r="AJ337" s="66"/>
      <c r="AK337" s="66"/>
      <c r="AL337" s="66"/>
      <c r="AM337" s="66"/>
      <c r="AN337" s="66"/>
      <c r="AO337" s="66"/>
      <c r="AP337" s="1310"/>
      <c r="BH337" s="67"/>
      <c r="BS337" s="66"/>
      <c r="BT337" s="66"/>
      <c r="BU337" s="66"/>
      <c r="BV337" s="66"/>
      <c r="BW337" s="66"/>
      <c r="BX337" s="66"/>
      <c r="BY337" s="66"/>
      <c r="BZ337" s="67"/>
      <c r="CA337" s="67"/>
      <c r="CB337" s="185"/>
      <c r="CC337" s="185"/>
      <c r="CE337" s="170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</row>
    <row r="338" spans="1:100" s="6" customFormat="1" ht="15.75" x14ac:dyDescent="0.2">
      <c r="A338" s="58"/>
      <c r="C338" s="58"/>
      <c r="D338" s="241"/>
      <c r="E338" s="8"/>
      <c r="F338" s="8"/>
      <c r="G338" s="8"/>
      <c r="H338" s="8"/>
      <c r="I338" s="8"/>
      <c r="J338" s="8"/>
      <c r="K338" s="8"/>
      <c r="L338" s="8"/>
      <c r="M338" s="8"/>
      <c r="N338" s="1269"/>
      <c r="O338" s="8"/>
      <c r="P338" s="8"/>
      <c r="Q338" s="8"/>
      <c r="R338" s="8"/>
      <c r="S338" s="8"/>
      <c r="T338" s="8"/>
      <c r="U338" s="8"/>
      <c r="V338" s="50"/>
      <c r="W338" s="8"/>
      <c r="AI338" s="66"/>
      <c r="AJ338" s="66"/>
      <c r="AK338" s="66"/>
      <c r="AL338" s="66"/>
      <c r="AM338" s="66"/>
      <c r="AN338" s="66"/>
      <c r="AO338" s="66"/>
      <c r="AP338" s="1310"/>
      <c r="BH338" s="67"/>
      <c r="BS338" s="66"/>
      <c r="BT338" s="66"/>
      <c r="BU338" s="66"/>
      <c r="BV338" s="66"/>
      <c r="BW338" s="66"/>
      <c r="BX338" s="66"/>
      <c r="BY338" s="66"/>
      <c r="BZ338" s="67"/>
      <c r="CA338" s="67"/>
      <c r="CB338" s="185"/>
      <c r="CC338" s="185"/>
      <c r="CE338" s="170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</row>
    <row r="339" spans="1:100" s="6" customFormat="1" ht="15.75" x14ac:dyDescent="0.2">
      <c r="A339" s="58"/>
      <c r="C339" s="58"/>
      <c r="D339" s="241"/>
      <c r="E339" s="8"/>
      <c r="F339" s="8"/>
      <c r="G339" s="8"/>
      <c r="H339" s="8"/>
      <c r="I339" s="8"/>
      <c r="J339" s="8"/>
      <c r="K339" s="8"/>
      <c r="L339" s="8"/>
      <c r="M339" s="8"/>
      <c r="N339" s="1269"/>
      <c r="O339" s="8"/>
      <c r="P339" s="8"/>
      <c r="Q339" s="8"/>
      <c r="R339" s="8"/>
      <c r="S339" s="8"/>
      <c r="T339" s="8"/>
      <c r="U339" s="8"/>
      <c r="V339" s="50"/>
      <c r="W339" s="8"/>
      <c r="AI339" s="66"/>
      <c r="AJ339" s="66"/>
      <c r="AK339" s="66"/>
      <c r="AL339" s="66"/>
      <c r="AM339" s="66"/>
      <c r="AN339" s="66"/>
      <c r="AO339" s="66"/>
      <c r="AP339" s="1310"/>
      <c r="BH339" s="67"/>
      <c r="BS339" s="66"/>
      <c r="BT339" s="66"/>
      <c r="BU339" s="66"/>
      <c r="BV339" s="66"/>
      <c r="BW339" s="66"/>
      <c r="BX339" s="66"/>
      <c r="BY339" s="66"/>
      <c r="BZ339" s="67"/>
      <c r="CA339" s="67"/>
      <c r="CB339" s="185"/>
      <c r="CC339" s="185"/>
      <c r="CE339" s="170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</row>
    <row r="340" spans="1:100" s="6" customFormat="1" ht="15.75" x14ac:dyDescent="0.2">
      <c r="A340" s="58"/>
      <c r="C340" s="58"/>
      <c r="D340" s="241"/>
      <c r="E340" s="8"/>
      <c r="F340" s="8"/>
      <c r="G340" s="8"/>
      <c r="H340" s="8"/>
      <c r="I340" s="8"/>
      <c r="J340" s="8"/>
      <c r="K340" s="8"/>
      <c r="L340" s="8"/>
      <c r="M340" s="8"/>
      <c r="N340" s="1269"/>
      <c r="O340" s="8"/>
      <c r="P340" s="8"/>
      <c r="Q340" s="8"/>
      <c r="R340" s="8"/>
      <c r="S340" s="8"/>
      <c r="T340" s="8"/>
      <c r="U340" s="8"/>
      <c r="V340" s="50"/>
      <c r="W340" s="8"/>
      <c r="AI340" s="66"/>
      <c r="AJ340" s="66"/>
      <c r="AK340" s="66"/>
      <c r="AL340" s="66"/>
      <c r="AM340" s="66"/>
      <c r="AN340" s="66"/>
      <c r="AO340" s="66"/>
      <c r="AP340" s="1310"/>
      <c r="BH340" s="67"/>
      <c r="BS340" s="66"/>
      <c r="BT340" s="66"/>
      <c r="BU340" s="66"/>
      <c r="BV340" s="66"/>
      <c r="BW340" s="66"/>
      <c r="BX340" s="66"/>
      <c r="BY340" s="66"/>
      <c r="BZ340" s="67"/>
      <c r="CA340" s="67"/>
      <c r="CB340" s="185"/>
      <c r="CC340" s="185"/>
      <c r="CE340" s="170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</row>
    <row r="341" spans="1:100" s="6" customFormat="1" ht="15.75" x14ac:dyDescent="0.2">
      <c r="A341" s="58"/>
      <c r="C341" s="58"/>
      <c r="D341" s="241"/>
      <c r="E341" s="8"/>
      <c r="F341" s="8"/>
      <c r="G341" s="8"/>
      <c r="H341" s="8"/>
      <c r="I341" s="8"/>
      <c r="J341" s="8"/>
      <c r="K341" s="8"/>
      <c r="L341" s="8"/>
      <c r="M341" s="8"/>
      <c r="N341" s="1269"/>
      <c r="O341" s="8"/>
      <c r="P341" s="8"/>
      <c r="Q341" s="8"/>
      <c r="R341" s="8"/>
      <c r="S341" s="8"/>
      <c r="T341" s="8"/>
      <c r="U341" s="8"/>
      <c r="V341" s="50"/>
      <c r="W341" s="8"/>
      <c r="AI341" s="66"/>
      <c r="AJ341" s="66"/>
      <c r="AK341" s="66"/>
      <c r="AL341" s="66"/>
      <c r="AM341" s="66"/>
      <c r="AN341" s="66"/>
      <c r="AO341" s="66"/>
      <c r="AP341" s="1310"/>
      <c r="BH341" s="67"/>
      <c r="BS341" s="66"/>
      <c r="BT341" s="66"/>
      <c r="BU341" s="66"/>
      <c r="BV341" s="66"/>
      <c r="BW341" s="66"/>
      <c r="BX341" s="66"/>
      <c r="BY341" s="66"/>
      <c r="BZ341" s="67"/>
      <c r="CA341" s="67"/>
      <c r="CB341" s="185"/>
      <c r="CC341" s="185"/>
      <c r="CE341" s="170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</row>
    <row r="342" spans="1:100" s="6" customFormat="1" ht="15.75" x14ac:dyDescent="0.2">
      <c r="A342" s="58"/>
      <c r="C342" s="58"/>
      <c r="D342" s="241"/>
      <c r="E342" s="8"/>
      <c r="F342" s="8"/>
      <c r="G342" s="8"/>
      <c r="H342" s="8"/>
      <c r="I342" s="8"/>
      <c r="J342" s="8"/>
      <c r="K342" s="8"/>
      <c r="L342" s="8"/>
      <c r="M342" s="8"/>
      <c r="N342" s="1269"/>
      <c r="O342" s="8"/>
      <c r="P342" s="8"/>
      <c r="Q342" s="8"/>
      <c r="R342" s="8"/>
      <c r="S342" s="8"/>
      <c r="T342" s="8"/>
      <c r="U342" s="8"/>
      <c r="V342" s="50"/>
      <c r="W342" s="8"/>
      <c r="AI342" s="66"/>
      <c r="AJ342" s="66"/>
      <c r="AK342" s="66"/>
      <c r="AL342" s="66"/>
      <c r="AM342" s="66"/>
      <c r="AN342" s="66"/>
      <c r="AO342" s="66"/>
      <c r="AP342" s="1310"/>
      <c r="BH342" s="67"/>
      <c r="BS342" s="66"/>
      <c r="BT342" s="66"/>
      <c r="BU342" s="66"/>
      <c r="BV342" s="66"/>
      <c r="BW342" s="66"/>
      <c r="BX342" s="66"/>
      <c r="BY342" s="66"/>
      <c r="BZ342" s="67"/>
      <c r="CA342" s="67"/>
      <c r="CB342" s="185"/>
      <c r="CC342" s="185"/>
      <c r="CE342" s="170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</row>
    <row r="343" spans="1:100" s="6" customFormat="1" ht="15.75" x14ac:dyDescent="0.2">
      <c r="A343" s="58"/>
      <c r="C343" s="58"/>
      <c r="D343" s="241"/>
      <c r="E343" s="8"/>
      <c r="F343" s="8"/>
      <c r="G343" s="8"/>
      <c r="H343" s="8"/>
      <c r="I343" s="8"/>
      <c r="J343" s="8"/>
      <c r="K343" s="8"/>
      <c r="L343" s="8"/>
      <c r="M343" s="8"/>
      <c r="N343" s="1269"/>
      <c r="O343" s="8"/>
      <c r="P343" s="8"/>
      <c r="Q343" s="8"/>
      <c r="R343" s="8"/>
      <c r="S343" s="8"/>
      <c r="T343" s="8"/>
      <c r="U343" s="8"/>
      <c r="V343" s="50"/>
      <c r="W343" s="8"/>
      <c r="AI343" s="66"/>
      <c r="AJ343" s="66"/>
      <c r="AK343" s="66"/>
      <c r="AL343" s="66"/>
      <c r="AM343" s="66"/>
      <c r="AN343" s="66"/>
      <c r="AO343" s="66"/>
      <c r="AP343" s="1310"/>
      <c r="BH343" s="67"/>
      <c r="BS343" s="66"/>
      <c r="BT343" s="66"/>
      <c r="BU343" s="66"/>
      <c r="BV343" s="66"/>
      <c r="BW343" s="66"/>
      <c r="BX343" s="66"/>
      <c r="BY343" s="66"/>
      <c r="BZ343" s="67"/>
      <c r="CA343" s="67"/>
      <c r="CB343" s="185"/>
      <c r="CC343" s="185"/>
      <c r="CE343" s="170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</row>
    <row r="344" spans="1:100" s="6" customFormat="1" ht="15.75" x14ac:dyDescent="0.2">
      <c r="A344" s="58"/>
      <c r="C344" s="58"/>
      <c r="D344" s="241"/>
      <c r="E344" s="8"/>
      <c r="F344" s="8"/>
      <c r="G344" s="8"/>
      <c r="H344" s="8"/>
      <c r="I344" s="8"/>
      <c r="J344" s="8"/>
      <c r="K344" s="8"/>
      <c r="L344" s="8"/>
      <c r="M344" s="8"/>
      <c r="N344" s="1269"/>
      <c r="O344" s="8"/>
      <c r="P344" s="8"/>
      <c r="Q344" s="8"/>
      <c r="R344" s="8"/>
      <c r="S344" s="8"/>
      <c r="T344" s="8"/>
      <c r="U344" s="8"/>
      <c r="V344" s="50"/>
      <c r="W344" s="8"/>
      <c r="AI344" s="66"/>
      <c r="AJ344" s="66"/>
      <c r="AK344" s="66"/>
      <c r="AL344" s="66"/>
      <c r="AM344" s="66"/>
      <c r="AN344" s="66"/>
      <c r="AO344" s="66"/>
      <c r="AP344" s="1310"/>
      <c r="BH344" s="67"/>
      <c r="BS344" s="66"/>
      <c r="BT344" s="66"/>
      <c r="BU344" s="66"/>
      <c r="BV344" s="66"/>
      <c r="BW344" s="66"/>
      <c r="BX344" s="66"/>
      <c r="BY344" s="66"/>
      <c r="BZ344" s="67"/>
      <c r="CA344" s="67"/>
      <c r="CB344" s="185"/>
      <c r="CC344" s="185"/>
      <c r="CE344" s="170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</row>
    <row r="345" spans="1:100" s="6" customFormat="1" ht="15.75" x14ac:dyDescent="0.2">
      <c r="A345" s="58"/>
      <c r="C345" s="58"/>
      <c r="D345" s="241"/>
      <c r="E345" s="8"/>
      <c r="F345" s="8"/>
      <c r="G345" s="8"/>
      <c r="H345" s="8"/>
      <c r="I345" s="8"/>
      <c r="J345" s="8"/>
      <c r="K345" s="8"/>
      <c r="L345" s="8"/>
      <c r="M345" s="8"/>
      <c r="N345" s="1269"/>
      <c r="O345" s="8"/>
      <c r="P345" s="8"/>
      <c r="Q345" s="8"/>
      <c r="R345" s="8"/>
      <c r="S345" s="8"/>
      <c r="T345" s="8"/>
      <c r="U345" s="8"/>
      <c r="V345" s="50"/>
      <c r="W345" s="8"/>
      <c r="AI345" s="66"/>
      <c r="AJ345" s="66"/>
      <c r="AK345" s="66"/>
      <c r="AL345" s="66"/>
      <c r="AM345" s="66"/>
      <c r="AN345" s="66"/>
      <c r="AO345" s="66"/>
      <c r="AP345" s="1310"/>
      <c r="BH345" s="67"/>
      <c r="BS345" s="66"/>
      <c r="BT345" s="66"/>
      <c r="BU345" s="66"/>
      <c r="BV345" s="66"/>
      <c r="BW345" s="66"/>
      <c r="BX345" s="66"/>
      <c r="BY345" s="66"/>
      <c r="BZ345" s="67"/>
      <c r="CA345" s="67"/>
      <c r="CB345" s="185"/>
      <c r="CC345" s="185"/>
      <c r="CE345" s="170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</row>
    <row r="346" spans="1:100" s="6" customFormat="1" ht="15.75" x14ac:dyDescent="0.2">
      <c r="A346" s="58"/>
      <c r="C346" s="58"/>
      <c r="D346" s="241"/>
      <c r="E346" s="8"/>
      <c r="F346" s="8"/>
      <c r="G346" s="8"/>
      <c r="H346" s="8"/>
      <c r="I346" s="8"/>
      <c r="J346" s="8"/>
      <c r="K346" s="8"/>
      <c r="L346" s="8"/>
      <c r="M346" s="8"/>
      <c r="N346" s="1269"/>
      <c r="O346" s="8"/>
      <c r="P346" s="8"/>
      <c r="Q346" s="8"/>
      <c r="R346" s="8"/>
      <c r="S346" s="8"/>
      <c r="T346" s="8"/>
      <c r="U346" s="8"/>
      <c r="V346" s="50"/>
      <c r="W346" s="8"/>
      <c r="AI346" s="66"/>
      <c r="AJ346" s="66"/>
      <c r="AK346" s="66"/>
      <c r="AL346" s="66"/>
      <c r="AM346" s="66"/>
      <c r="AN346" s="66"/>
      <c r="AO346" s="66"/>
      <c r="AP346" s="1310"/>
      <c r="BH346" s="67"/>
      <c r="BS346" s="66"/>
      <c r="BT346" s="66"/>
      <c r="BU346" s="66"/>
      <c r="BV346" s="66"/>
      <c r="BW346" s="66"/>
      <c r="BX346" s="66"/>
      <c r="BY346" s="66"/>
      <c r="BZ346" s="67"/>
      <c r="CA346" s="67"/>
      <c r="CB346" s="185"/>
      <c r="CC346" s="185"/>
      <c r="CE346" s="170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</row>
    <row r="347" spans="1:100" s="6" customFormat="1" ht="15.75" x14ac:dyDescent="0.2">
      <c r="A347" s="58"/>
      <c r="C347" s="58"/>
      <c r="D347" s="241"/>
      <c r="E347" s="8"/>
      <c r="F347" s="8"/>
      <c r="G347" s="8"/>
      <c r="H347" s="8"/>
      <c r="I347" s="8"/>
      <c r="J347" s="8"/>
      <c r="K347" s="8"/>
      <c r="L347" s="8"/>
      <c r="M347" s="8"/>
      <c r="N347" s="1269"/>
      <c r="O347" s="8"/>
      <c r="P347" s="8"/>
      <c r="Q347" s="8"/>
      <c r="R347" s="8"/>
      <c r="S347" s="8"/>
      <c r="T347" s="8"/>
      <c r="U347" s="8"/>
      <c r="V347" s="50"/>
      <c r="W347" s="8"/>
      <c r="AI347" s="66"/>
      <c r="AJ347" s="66"/>
      <c r="AK347" s="66"/>
      <c r="AL347" s="66"/>
      <c r="AM347" s="66"/>
      <c r="AN347" s="66"/>
      <c r="AO347" s="66"/>
      <c r="AP347" s="1310"/>
      <c r="BH347" s="67"/>
      <c r="BS347" s="66"/>
      <c r="BT347" s="66"/>
      <c r="BU347" s="66"/>
      <c r="BV347" s="66"/>
      <c r="BW347" s="66"/>
      <c r="BX347" s="66"/>
      <c r="BY347" s="66"/>
      <c r="BZ347" s="67"/>
      <c r="CA347" s="67"/>
      <c r="CB347" s="185"/>
      <c r="CC347" s="185"/>
      <c r="CE347" s="170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</row>
    <row r="348" spans="1:100" s="6" customFormat="1" ht="15.75" x14ac:dyDescent="0.2">
      <c r="A348" s="58"/>
      <c r="C348" s="58"/>
      <c r="D348" s="241"/>
      <c r="E348" s="8"/>
      <c r="F348" s="8"/>
      <c r="G348" s="8"/>
      <c r="H348" s="8"/>
      <c r="I348" s="8"/>
      <c r="J348" s="8"/>
      <c r="K348" s="8"/>
      <c r="L348" s="8"/>
      <c r="M348" s="8"/>
      <c r="N348" s="1269"/>
      <c r="O348" s="8"/>
      <c r="P348" s="8"/>
      <c r="Q348" s="8"/>
      <c r="R348" s="8"/>
      <c r="S348" s="8"/>
      <c r="T348" s="8"/>
      <c r="U348" s="8"/>
      <c r="V348" s="50"/>
      <c r="W348" s="8"/>
      <c r="AI348" s="66"/>
      <c r="AJ348" s="66"/>
      <c r="AK348" s="66"/>
      <c r="AL348" s="66"/>
      <c r="AM348" s="66"/>
      <c r="AN348" s="66"/>
      <c r="AO348" s="66"/>
      <c r="AP348" s="1310"/>
      <c r="BH348" s="67"/>
      <c r="BS348" s="66"/>
      <c r="BT348" s="66"/>
      <c r="BU348" s="66"/>
      <c r="BV348" s="66"/>
      <c r="BW348" s="66"/>
      <c r="BX348" s="66"/>
      <c r="BY348" s="66"/>
      <c r="BZ348" s="67"/>
      <c r="CA348" s="67"/>
      <c r="CB348" s="185"/>
      <c r="CC348" s="185"/>
      <c r="CE348" s="170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</row>
    <row r="349" spans="1:100" s="6" customFormat="1" ht="15.75" x14ac:dyDescent="0.2">
      <c r="A349" s="58"/>
      <c r="C349" s="58"/>
      <c r="D349" s="241"/>
      <c r="E349" s="8"/>
      <c r="F349" s="8"/>
      <c r="G349" s="8"/>
      <c r="H349" s="8"/>
      <c r="I349" s="8"/>
      <c r="J349" s="8"/>
      <c r="K349" s="8"/>
      <c r="L349" s="8"/>
      <c r="M349" s="8"/>
      <c r="N349" s="1269"/>
      <c r="O349" s="8"/>
      <c r="P349" s="8"/>
      <c r="Q349" s="8"/>
      <c r="R349" s="8"/>
      <c r="S349" s="8"/>
      <c r="T349" s="8"/>
      <c r="U349" s="8"/>
      <c r="V349" s="50"/>
      <c r="W349" s="8"/>
      <c r="AI349" s="66"/>
      <c r="AJ349" s="66"/>
      <c r="AK349" s="66"/>
      <c r="AL349" s="66"/>
      <c r="AM349" s="66"/>
      <c r="AN349" s="66"/>
      <c r="AO349" s="66"/>
      <c r="AP349" s="1310"/>
      <c r="BH349" s="67"/>
      <c r="BS349" s="66"/>
      <c r="BT349" s="66"/>
      <c r="BU349" s="66"/>
      <c r="BV349" s="66"/>
      <c r="BW349" s="66"/>
      <c r="BX349" s="66"/>
      <c r="BY349" s="66"/>
      <c r="BZ349" s="67"/>
      <c r="CA349" s="67"/>
      <c r="CB349" s="185"/>
      <c r="CC349" s="185"/>
      <c r="CE349" s="170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</row>
    <row r="350" spans="1:100" s="6" customFormat="1" ht="15.75" x14ac:dyDescent="0.2">
      <c r="A350" s="58"/>
      <c r="C350" s="58"/>
      <c r="D350" s="241"/>
      <c r="E350" s="8"/>
      <c r="F350" s="8"/>
      <c r="G350" s="8"/>
      <c r="H350" s="8"/>
      <c r="I350" s="8"/>
      <c r="J350" s="8"/>
      <c r="K350" s="8"/>
      <c r="L350" s="8"/>
      <c r="M350" s="8"/>
      <c r="N350" s="1269"/>
      <c r="O350" s="8"/>
      <c r="P350" s="8"/>
      <c r="Q350" s="8"/>
      <c r="R350" s="8"/>
      <c r="S350" s="8"/>
      <c r="T350" s="8"/>
      <c r="U350" s="8"/>
      <c r="V350" s="50"/>
      <c r="W350" s="8"/>
      <c r="AI350" s="66"/>
      <c r="AJ350" s="66"/>
      <c r="AK350" s="66"/>
      <c r="AL350" s="66"/>
      <c r="AM350" s="66"/>
      <c r="AN350" s="66"/>
      <c r="AO350" s="66"/>
      <c r="AP350" s="1310"/>
      <c r="BH350" s="67"/>
      <c r="BS350" s="66"/>
      <c r="BT350" s="66"/>
      <c r="BU350" s="66"/>
      <c r="BV350" s="66"/>
      <c r="BW350" s="66"/>
      <c r="BX350" s="66"/>
      <c r="BY350" s="66"/>
      <c r="BZ350" s="67"/>
      <c r="CA350" s="67"/>
      <c r="CB350" s="185"/>
      <c r="CC350" s="185"/>
      <c r="CE350" s="170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</row>
    <row r="351" spans="1:100" s="6" customFormat="1" ht="15.75" x14ac:dyDescent="0.2">
      <c r="A351" s="58"/>
      <c r="C351" s="58"/>
      <c r="D351" s="241"/>
      <c r="E351" s="8"/>
      <c r="F351" s="8"/>
      <c r="G351" s="8"/>
      <c r="H351" s="8"/>
      <c r="I351" s="8"/>
      <c r="J351" s="8"/>
      <c r="K351" s="8"/>
      <c r="L351" s="8"/>
      <c r="M351" s="8"/>
      <c r="N351" s="1269"/>
      <c r="O351" s="8"/>
      <c r="P351" s="8"/>
      <c r="Q351" s="8"/>
      <c r="R351" s="8"/>
      <c r="S351" s="8"/>
      <c r="T351" s="8"/>
      <c r="U351" s="8"/>
      <c r="V351" s="50"/>
      <c r="W351" s="8"/>
      <c r="AI351" s="66"/>
      <c r="AJ351" s="66"/>
      <c r="AK351" s="66"/>
      <c r="AL351" s="66"/>
      <c r="AM351" s="66"/>
      <c r="AN351" s="66"/>
      <c r="AO351" s="66"/>
      <c r="AP351" s="1310"/>
      <c r="BH351" s="67"/>
      <c r="BS351" s="66"/>
      <c r="BT351" s="66"/>
      <c r="BU351" s="66"/>
      <c r="BV351" s="66"/>
      <c r="BW351" s="66"/>
      <c r="BX351" s="66"/>
      <c r="BY351" s="66"/>
      <c r="BZ351" s="67"/>
      <c r="CA351" s="67"/>
      <c r="CB351" s="185"/>
      <c r="CC351" s="185"/>
      <c r="CE351" s="170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</row>
    <row r="352" spans="1:100" s="6" customFormat="1" ht="15.75" x14ac:dyDescent="0.2">
      <c r="A352" s="58"/>
      <c r="C352" s="58"/>
      <c r="D352" s="241"/>
      <c r="E352" s="8"/>
      <c r="F352" s="8"/>
      <c r="G352" s="8"/>
      <c r="H352" s="8"/>
      <c r="I352" s="8"/>
      <c r="J352" s="8"/>
      <c r="K352" s="8"/>
      <c r="L352" s="8"/>
      <c r="M352" s="8"/>
      <c r="N352" s="1269"/>
      <c r="O352" s="8"/>
      <c r="P352" s="8"/>
      <c r="Q352" s="8"/>
      <c r="R352" s="8"/>
      <c r="S352" s="8"/>
      <c r="T352" s="8"/>
      <c r="U352" s="8"/>
      <c r="V352" s="50"/>
      <c r="W352" s="8"/>
      <c r="AI352" s="66"/>
      <c r="AJ352" s="66"/>
      <c r="AK352" s="66"/>
      <c r="AL352" s="66"/>
      <c r="AM352" s="66"/>
      <c r="AN352" s="66"/>
      <c r="AO352" s="66"/>
      <c r="AP352" s="1310"/>
      <c r="BH352" s="67"/>
      <c r="BS352" s="66"/>
      <c r="BT352" s="66"/>
      <c r="BU352" s="66"/>
      <c r="BV352" s="66"/>
      <c r="BW352" s="66"/>
      <c r="BX352" s="66"/>
      <c r="BY352" s="66"/>
      <c r="BZ352" s="67"/>
      <c r="CA352" s="67"/>
      <c r="CB352" s="185"/>
      <c r="CC352" s="185"/>
      <c r="CE352" s="170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</row>
    <row r="353" spans="1:100" s="6" customFormat="1" ht="15.75" x14ac:dyDescent="0.2">
      <c r="A353" s="58"/>
      <c r="C353" s="58"/>
      <c r="D353" s="241"/>
      <c r="E353" s="8"/>
      <c r="F353" s="8"/>
      <c r="G353" s="8"/>
      <c r="H353" s="8"/>
      <c r="I353" s="8"/>
      <c r="J353" s="8"/>
      <c r="K353" s="8"/>
      <c r="L353" s="8"/>
      <c r="M353" s="8"/>
      <c r="N353" s="1269"/>
      <c r="O353" s="8"/>
      <c r="P353" s="8"/>
      <c r="Q353" s="8"/>
      <c r="R353" s="8"/>
      <c r="S353" s="8"/>
      <c r="T353" s="8"/>
      <c r="U353" s="8"/>
      <c r="V353" s="50"/>
      <c r="W353" s="8"/>
      <c r="AI353" s="66"/>
      <c r="AJ353" s="66"/>
      <c r="AK353" s="66"/>
      <c r="AL353" s="66"/>
      <c r="AM353" s="66"/>
      <c r="AN353" s="66"/>
      <c r="AO353" s="66"/>
      <c r="AP353" s="1310"/>
      <c r="BH353" s="67"/>
      <c r="BS353" s="66"/>
      <c r="BT353" s="66"/>
      <c r="BU353" s="66"/>
      <c r="BV353" s="66"/>
      <c r="BW353" s="66"/>
      <c r="BX353" s="66"/>
      <c r="BY353" s="66"/>
      <c r="BZ353" s="67"/>
      <c r="CA353" s="67"/>
      <c r="CB353" s="185"/>
      <c r="CC353" s="185"/>
      <c r="CE353" s="170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</row>
    <row r="354" spans="1:100" s="6" customFormat="1" ht="15.75" x14ac:dyDescent="0.2">
      <c r="A354" s="58"/>
      <c r="C354" s="58"/>
      <c r="D354" s="241"/>
      <c r="E354" s="8"/>
      <c r="F354" s="8"/>
      <c r="G354" s="8"/>
      <c r="H354" s="8"/>
      <c r="I354" s="8"/>
      <c r="J354" s="8"/>
      <c r="K354" s="8"/>
      <c r="L354" s="8"/>
      <c r="M354" s="8"/>
      <c r="N354" s="1269"/>
      <c r="O354" s="8"/>
      <c r="P354" s="8"/>
      <c r="Q354" s="8"/>
      <c r="R354" s="8"/>
      <c r="S354" s="8"/>
      <c r="T354" s="8"/>
      <c r="U354" s="8"/>
      <c r="V354" s="50"/>
      <c r="W354" s="8"/>
      <c r="AI354" s="66"/>
      <c r="AJ354" s="66"/>
      <c r="AK354" s="66"/>
      <c r="AL354" s="66"/>
      <c r="AM354" s="66"/>
      <c r="AN354" s="66"/>
      <c r="AO354" s="66"/>
      <c r="AP354" s="1310"/>
      <c r="BH354" s="67"/>
      <c r="BS354" s="66"/>
      <c r="BT354" s="66"/>
      <c r="BU354" s="66"/>
      <c r="BV354" s="66"/>
      <c r="BW354" s="66"/>
      <c r="BX354" s="66"/>
      <c r="BY354" s="66"/>
      <c r="BZ354" s="67"/>
      <c r="CA354" s="67"/>
      <c r="CB354" s="185"/>
      <c r="CC354" s="185"/>
      <c r="CE354" s="170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</row>
    <row r="355" spans="1:100" s="6" customFormat="1" ht="15.75" x14ac:dyDescent="0.2">
      <c r="A355" s="58"/>
      <c r="C355" s="58"/>
      <c r="D355" s="241"/>
      <c r="E355" s="8"/>
      <c r="F355" s="8"/>
      <c r="G355" s="8"/>
      <c r="H355" s="8"/>
      <c r="I355" s="8"/>
      <c r="J355" s="8"/>
      <c r="K355" s="8"/>
      <c r="L355" s="8"/>
      <c r="M355" s="8"/>
      <c r="N355" s="1269"/>
      <c r="O355" s="8"/>
      <c r="P355" s="8"/>
      <c r="Q355" s="8"/>
      <c r="R355" s="8"/>
      <c r="S355" s="8"/>
      <c r="T355" s="8"/>
      <c r="U355" s="8"/>
      <c r="V355" s="50"/>
      <c r="W355" s="8"/>
      <c r="AI355" s="66"/>
      <c r="AJ355" s="66"/>
      <c r="AK355" s="66"/>
      <c r="AL355" s="66"/>
      <c r="AM355" s="66"/>
      <c r="AN355" s="66"/>
      <c r="AO355" s="66"/>
      <c r="AP355" s="1310"/>
      <c r="BH355" s="67"/>
      <c r="BS355" s="66"/>
      <c r="BT355" s="66"/>
      <c r="BU355" s="66"/>
      <c r="BV355" s="66"/>
      <c r="BW355" s="66"/>
      <c r="BX355" s="66"/>
      <c r="BY355" s="66"/>
      <c r="BZ355" s="67"/>
      <c r="CA355" s="67"/>
      <c r="CB355" s="185"/>
      <c r="CC355" s="185"/>
      <c r="CE355" s="170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</row>
    <row r="356" spans="1:100" s="6" customFormat="1" ht="15.75" x14ac:dyDescent="0.2">
      <c r="A356" s="58"/>
      <c r="C356" s="58"/>
      <c r="D356" s="241"/>
      <c r="E356" s="8"/>
      <c r="F356" s="8"/>
      <c r="G356" s="8"/>
      <c r="H356" s="8"/>
      <c r="I356" s="8"/>
      <c r="J356" s="8"/>
      <c r="K356" s="8"/>
      <c r="L356" s="8"/>
      <c r="M356" s="8"/>
      <c r="N356" s="1269"/>
      <c r="O356" s="8"/>
      <c r="P356" s="8"/>
      <c r="Q356" s="8"/>
      <c r="R356" s="8"/>
      <c r="S356" s="8"/>
      <c r="T356" s="8"/>
      <c r="U356" s="8"/>
      <c r="V356" s="50"/>
      <c r="W356" s="8"/>
      <c r="AI356" s="66"/>
      <c r="AJ356" s="66"/>
      <c r="AK356" s="66"/>
      <c r="AL356" s="66"/>
      <c r="AM356" s="66"/>
      <c r="AN356" s="66"/>
      <c r="AO356" s="66"/>
      <c r="AP356" s="1310"/>
      <c r="BH356" s="67"/>
      <c r="BS356" s="66"/>
      <c r="BT356" s="66"/>
      <c r="BU356" s="66"/>
      <c r="BV356" s="66"/>
      <c r="BW356" s="66"/>
      <c r="BX356" s="66"/>
      <c r="BY356" s="66"/>
      <c r="BZ356" s="67"/>
      <c r="CA356" s="67"/>
      <c r="CB356" s="185"/>
      <c r="CC356" s="185"/>
      <c r="CE356" s="170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</row>
    <row r="357" spans="1:100" s="6" customFormat="1" ht="15.75" x14ac:dyDescent="0.2">
      <c r="A357" s="58"/>
      <c r="C357" s="58"/>
      <c r="D357" s="241"/>
      <c r="E357" s="8"/>
      <c r="F357" s="8"/>
      <c r="G357" s="8"/>
      <c r="H357" s="8"/>
      <c r="I357" s="8"/>
      <c r="J357" s="8"/>
      <c r="K357" s="8"/>
      <c r="L357" s="8"/>
      <c r="M357" s="8"/>
      <c r="N357" s="1269"/>
      <c r="O357" s="8"/>
      <c r="P357" s="8"/>
      <c r="Q357" s="8"/>
      <c r="R357" s="8"/>
      <c r="S357" s="8"/>
      <c r="T357" s="8"/>
      <c r="U357" s="8"/>
      <c r="V357" s="50"/>
      <c r="W357" s="8"/>
      <c r="AI357" s="66"/>
      <c r="AJ357" s="66"/>
      <c r="AK357" s="66"/>
      <c r="AL357" s="66"/>
      <c r="AM357" s="66"/>
      <c r="AN357" s="66"/>
      <c r="AO357" s="66"/>
      <c r="AP357" s="1310"/>
      <c r="BH357" s="67"/>
      <c r="BS357" s="66"/>
      <c r="BT357" s="66"/>
      <c r="BU357" s="66"/>
      <c r="BV357" s="66"/>
      <c r="BW357" s="66"/>
      <c r="BX357" s="66"/>
      <c r="BY357" s="66"/>
      <c r="BZ357" s="67"/>
      <c r="CA357" s="67"/>
      <c r="CB357" s="185"/>
      <c r="CC357" s="185"/>
      <c r="CE357" s="170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</row>
    <row r="358" spans="1:100" s="6" customFormat="1" ht="15.75" x14ac:dyDescent="0.2">
      <c r="A358" s="58"/>
      <c r="C358" s="58"/>
      <c r="D358" s="241"/>
      <c r="E358" s="8"/>
      <c r="F358" s="8"/>
      <c r="G358" s="8"/>
      <c r="H358" s="8"/>
      <c r="I358" s="8"/>
      <c r="J358" s="8"/>
      <c r="K358" s="8"/>
      <c r="L358" s="8"/>
      <c r="M358" s="8"/>
      <c r="N358" s="1269"/>
      <c r="O358" s="8"/>
      <c r="P358" s="8"/>
      <c r="Q358" s="8"/>
      <c r="R358" s="8"/>
      <c r="S358" s="8"/>
      <c r="T358" s="8"/>
      <c r="U358" s="8"/>
      <c r="V358" s="50"/>
      <c r="W358" s="8"/>
      <c r="AI358" s="66"/>
      <c r="AJ358" s="66"/>
      <c r="AK358" s="66"/>
      <c r="AL358" s="66"/>
      <c r="AM358" s="66"/>
      <c r="AN358" s="66"/>
      <c r="AO358" s="66"/>
      <c r="AP358" s="1310"/>
      <c r="BH358" s="67"/>
      <c r="BS358" s="66"/>
      <c r="BT358" s="66"/>
      <c r="BU358" s="66"/>
      <c r="BV358" s="66"/>
      <c r="BW358" s="66"/>
      <c r="BX358" s="66"/>
      <c r="BY358" s="66"/>
      <c r="BZ358" s="67"/>
      <c r="CA358" s="67"/>
      <c r="CB358" s="185"/>
      <c r="CC358" s="185"/>
      <c r="CE358" s="170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</row>
    <row r="359" spans="1:100" s="6" customFormat="1" ht="15.75" x14ac:dyDescent="0.2">
      <c r="A359" s="58"/>
      <c r="C359" s="58"/>
      <c r="D359" s="241"/>
      <c r="E359" s="8"/>
      <c r="F359" s="8"/>
      <c r="G359" s="8"/>
      <c r="H359" s="8"/>
      <c r="I359" s="8"/>
      <c r="J359" s="8"/>
      <c r="K359" s="8"/>
      <c r="L359" s="8"/>
      <c r="M359" s="8"/>
      <c r="N359" s="1269"/>
      <c r="O359" s="8"/>
      <c r="P359" s="8"/>
      <c r="Q359" s="8"/>
      <c r="R359" s="8"/>
      <c r="S359" s="8"/>
      <c r="T359" s="8"/>
      <c r="U359" s="8"/>
      <c r="V359" s="50"/>
      <c r="W359" s="8"/>
      <c r="AI359" s="66"/>
      <c r="AJ359" s="66"/>
      <c r="AK359" s="66"/>
      <c r="AL359" s="66"/>
      <c r="AM359" s="66"/>
      <c r="AN359" s="66"/>
      <c r="AO359" s="66"/>
      <c r="AP359" s="1310"/>
      <c r="BH359" s="67"/>
      <c r="BS359" s="66"/>
      <c r="BT359" s="66"/>
      <c r="BU359" s="66"/>
      <c r="BV359" s="66"/>
      <c r="BW359" s="66"/>
      <c r="BX359" s="66"/>
      <c r="BY359" s="66"/>
      <c r="BZ359" s="67"/>
      <c r="CA359" s="67"/>
      <c r="CB359" s="185"/>
      <c r="CC359" s="185"/>
      <c r="CE359" s="170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</row>
    <row r="360" spans="1:100" s="6" customFormat="1" ht="15.75" x14ac:dyDescent="0.2">
      <c r="A360" s="58"/>
      <c r="C360" s="58"/>
      <c r="D360" s="241"/>
      <c r="E360" s="8"/>
      <c r="F360" s="8"/>
      <c r="G360" s="8"/>
      <c r="H360" s="8"/>
      <c r="I360" s="8"/>
      <c r="J360" s="8"/>
      <c r="K360" s="8"/>
      <c r="L360" s="8"/>
      <c r="M360" s="8"/>
      <c r="N360" s="1269"/>
      <c r="O360" s="8"/>
      <c r="P360" s="8"/>
      <c r="Q360" s="8"/>
      <c r="R360" s="8"/>
      <c r="S360" s="8"/>
      <c r="T360" s="8"/>
      <c r="U360" s="8"/>
      <c r="V360" s="50"/>
      <c r="W360" s="8"/>
      <c r="AI360" s="66"/>
      <c r="AJ360" s="66"/>
      <c r="AK360" s="66"/>
      <c r="AL360" s="66"/>
      <c r="AM360" s="66"/>
      <c r="AN360" s="66"/>
      <c r="AO360" s="66"/>
      <c r="AP360" s="1310"/>
      <c r="BH360" s="67"/>
      <c r="BS360" s="66"/>
      <c r="BT360" s="66"/>
      <c r="BU360" s="66"/>
      <c r="BV360" s="66"/>
      <c r="BW360" s="66"/>
      <c r="BX360" s="66"/>
      <c r="BY360" s="66"/>
      <c r="BZ360" s="67"/>
      <c r="CA360" s="67"/>
      <c r="CB360" s="185"/>
      <c r="CC360" s="185"/>
      <c r="CE360" s="170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</row>
    <row r="361" spans="1:100" s="6" customFormat="1" ht="15.75" x14ac:dyDescent="0.2">
      <c r="A361" s="58"/>
      <c r="C361" s="58"/>
      <c r="D361" s="241"/>
      <c r="E361" s="8"/>
      <c r="F361" s="8"/>
      <c r="G361" s="8"/>
      <c r="H361" s="8"/>
      <c r="I361" s="8"/>
      <c r="J361" s="8"/>
      <c r="K361" s="8"/>
      <c r="L361" s="8"/>
      <c r="M361" s="8"/>
      <c r="N361" s="1269"/>
      <c r="O361" s="8"/>
      <c r="P361" s="8"/>
      <c r="Q361" s="8"/>
      <c r="R361" s="8"/>
      <c r="S361" s="8"/>
      <c r="T361" s="8"/>
      <c r="U361" s="8"/>
      <c r="V361" s="50"/>
      <c r="W361" s="8"/>
      <c r="AI361" s="66"/>
      <c r="AJ361" s="66"/>
      <c r="AK361" s="66"/>
      <c r="AL361" s="66"/>
      <c r="AM361" s="66"/>
      <c r="AN361" s="66"/>
      <c r="AO361" s="66"/>
      <c r="AP361" s="1310"/>
      <c r="BH361" s="67"/>
      <c r="BS361" s="66"/>
      <c r="BT361" s="66"/>
      <c r="BU361" s="66"/>
      <c r="BV361" s="66"/>
      <c r="BW361" s="66"/>
      <c r="BX361" s="66"/>
      <c r="BY361" s="66"/>
      <c r="BZ361" s="67"/>
      <c r="CA361" s="67"/>
      <c r="CB361" s="185"/>
      <c r="CC361" s="185"/>
      <c r="CE361" s="170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</row>
    <row r="362" spans="1:100" s="6" customFormat="1" ht="15.75" x14ac:dyDescent="0.2">
      <c r="A362" s="58"/>
      <c r="C362" s="58"/>
      <c r="D362" s="241"/>
      <c r="E362" s="8"/>
      <c r="F362" s="8"/>
      <c r="G362" s="8"/>
      <c r="H362" s="8"/>
      <c r="I362" s="8"/>
      <c r="J362" s="8"/>
      <c r="K362" s="8"/>
      <c r="L362" s="8"/>
      <c r="M362" s="8"/>
      <c r="N362" s="1269"/>
      <c r="O362" s="8"/>
      <c r="P362" s="8"/>
      <c r="Q362" s="8"/>
      <c r="R362" s="8"/>
      <c r="S362" s="8"/>
      <c r="T362" s="8"/>
      <c r="U362" s="8"/>
      <c r="V362" s="50"/>
      <c r="W362" s="8"/>
      <c r="AI362" s="66"/>
      <c r="AJ362" s="66"/>
      <c r="AK362" s="66"/>
      <c r="AL362" s="66"/>
      <c r="AM362" s="66"/>
      <c r="AN362" s="66"/>
      <c r="AO362" s="66"/>
      <c r="AP362" s="1310"/>
      <c r="BH362" s="67"/>
      <c r="BS362" s="66"/>
      <c r="BT362" s="66"/>
      <c r="BU362" s="66"/>
      <c r="BV362" s="66"/>
      <c r="BW362" s="66"/>
      <c r="BX362" s="66"/>
      <c r="BY362" s="66"/>
      <c r="BZ362" s="67"/>
      <c r="CA362" s="67"/>
      <c r="CB362" s="185"/>
      <c r="CC362" s="185"/>
      <c r="CE362" s="170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</row>
    <row r="363" spans="1:100" s="6" customFormat="1" ht="15.75" x14ac:dyDescent="0.2">
      <c r="A363" s="58"/>
      <c r="C363" s="58"/>
      <c r="D363" s="241"/>
      <c r="E363" s="8"/>
      <c r="F363" s="8"/>
      <c r="G363" s="8"/>
      <c r="H363" s="8"/>
      <c r="I363" s="8"/>
      <c r="J363" s="8"/>
      <c r="K363" s="8"/>
      <c r="L363" s="8"/>
      <c r="M363" s="8"/>
      <c r="N363" s="1269"/>
      <c r="O363" s="8"/>
      <c r="P363" s="8"/>
      <c r="Q363" s="8"/>
      <c r="R363" s="8"/>
      <c r="S363" s="8"/>
      <c r="T363" s="8"/>
      <c r="U363" s="8"/>
      <c r="V363" s="50"/>
      <c r="W363" s="8"/>
      <c r="AI363" s="66"/>
      <c r="AJ363" s="66"/>
      <c r="AK363" s="66"/>
      <c r="AL363" s="66"/>
      <c r="AM363" s="66"/>
      <c r="AN363" s="66"/>
      <c r="AO363" s="66"/>
      <c r="AP363" s="1310"/>
      <c r="BH363" s="67"/>
      <c r="BS363" s="66"/>
      <c r="BT363" s="66"/>
      <c r="BU363" s="66"/>
      <c r="BV363" s="66"/>
      <c r="BW363" s="66"/>
      <c r="BX363" s="66"/>
      <c r="BY363" s="66"/>
      <c r="BZ363" s="67"/>
      <c r="CA363" s="67"/>
      <c r="CB363" s="185"/>
      <c r="CC363" s="185"/>
      <c r="CE363" s="170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</row>
    <row r="364" spans="1:100" s="6" customFormat="1" ht="15.75" x14ac:dyDescent="0.2">
      <c r="A364" s="58"/>
      <c r="C364" s="58"/>
      <c r="D364" s="241"/>
      <c r="E364" s="8"/>
      <c r="F364" s="8"/>
      <c r="G364" s="8"/>
      <c r="H364" s="8"/>
      <c r="I364" s="8"/>
      <c r="J364" s="8"/>
      <c r="K364" s="8"/>
      <c r="L364" s="8"/>
      <c r="M364" s="8"/>
      <c r="N364" s="1269"/>
      <c r="O364" s="8"/>
      <c r="P364" s="8"/>
      <c r="Q364" s="8"/>
      <c r="R364" s="8"/>
      <c r="S364" s="8"/>
      <c r="T364" s="8"/>
      <c r="U364" s="8"/>
      <c r="V364" s="50"/>
      <c r="W364" s="8"/>
      <c r="AI364" s="66"/>
      <c r="AJ364" s="66"/>
      <c r="AK364" s="66"/>
      <c r="AL364" s="66"/>
      <c r="AM364" s="66"/>
      <c r="AN364" s="66"/>
      <c r="AO364" s="66"/>
      <c r="AP364" s="1310"/>
      <c r="BH364" s="67"/>
      <c r="BS364" s="66"/>
      <c r="BT364" s="66"/>
      <c r="BU364" s="66"/>
      <c r="BV364" s="66"/>
      <c r="BW364" s="66"/>
      <c r="BX364" s="66"/>
      <c r="BY364" s="66"/>
      <c r="BZ364" s="67"/>
      <c r="CA364" s="67"/>
      <c r="CB364" s="185"/>
      <c r="CC364" s="185"/>
      <c r="CE364" s="170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</row>
    <row r="365" spans="1:100" s="6" customFormat="1" ht="15.75" x14ac:dyDescent="0.2">
      <c r="A365" s="58"/>
      <c r="C365" s="58"/>
      <c r="D365" s="241"/>
      <c r="E365" s="8"/>
      <c r="F365" s="8"/>
      <c r="G365" s="8"/>
      <c r="H365" s="8"/>
      <c r="I365" s="8"/>
      <c r="J365" s="8"/>
      <c r="K365" s="8"/>
      <c r="L365" s="8"/>
      <c r="M365" s="8"/>
      <c r="N365" s="1269"/>
      <c r="O365" s="8"/>
      <c r="P365" s="8"/>
      <c r="Q365" s="8"/>
      <c r="R365" s="8"/>
      <c r="S365" s="8"/>
      <c r="T365" s="8"/>
      <c r="U365" s="8"/>
      <c r="V365" s="50"/>
      <c r="W365" s="8"/>
      <c r="AI365" s="66"/>
      <c r="AJ365" s="66"/>
      <c r="AK365" s="66"/>
      <c r="AL365" s="66"/>
      <c r="AM365" s="66"/>
      <c r="AN365" s="66"/>
      <c r="AO365" s="66"/>
      <c r="AP365" s="1310"/>
      <c r="BH365" s="67"/>
      <c r="BS365" s="66"/>
      <c r="BT365" s="66"/>
      <c r="BU365" s="66"/>
      <c r="BV365" s="66"/>
      <c r="BW365" s="66"/>
      <c r="BX365" s="66"/>
      <c r="BY365" s="66"/>
      <c r="BZ365" s="67"/>
      <c r="CA365" s="67"/>
      <c r="CB365" s="185"/>
      <c r="CC365" s="185"/>
      <c r="CE365" s="170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</row>
    <row r="366" spans="1:100" s="6" customFormat="1" ht="15.75" x14ac:dyDescent="0.2">
      <c r="A366" s="58"/>
      <c r="C366" s="58"/>
      <c r="D366" s="241"/>
      <c r="E366" s="8"/>
      <c r="F366" s="8"/>
      <c r="G366" s="8"/>
      <c r="H366" s="8"/>
      <c r="I366" s="8"/>
      <c r="J366" s="8"/>
      <c r="K366" s="8"/>
      <c r="L366" s="8"/>
      <c r="M366" s="8"/>
      <c r="N366" s="1269"/>
      <c r="O366" s="8"/>
      <c r="P366" s="8"/>
      <c r="Q366" s="8"/>
      <c r="R366" s="8"/>
      <c r="S366" s="8"/>
      <c r="T366" s="8"/>
      <c r="U366" s="8"/>
      <c r="V366" s="50"/>
      <c r="W366" s="8"/>
      <c r="AI366" s="66"/>
      <c r="AJ366" s="66"/>
      <c r="AK366" s="66"/>
      <c r="AL366" s="66"/>
      <c r="AM366" s="66"/>
      <c r="AN366" s="66"/>
      <c r="AO366" s="66"/>
      <c r="AP366" s="1310"/>
      <c r="BH366" s="67"/>
      <c r="BS366" s="66"/>
      <c r="BT366" s="66"/>
      <c r="BU366" s="66"/>
      <c r="BV366" s="66"/>
      <c r="BW366" s="66"/>
      <c r="BX366" s="66"/>
      <c r="BY366" s="66"/>
      <c r="BZ366" s="67"/>
      <c r="CA366" s="67"/>
      <c r="CB366" s="185"/>
      <c r="CC366" s="185"/>
      <c r="CE366" s="170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</row>
    <row r="367" spans="1:100" s="6" customFormat="1" ht="15.75" x14ac:dyDescent="0.2">
      <c r="A367" s="58"/>
      <c r="C367" s="58"/>
      <c r="D367" s="241"/>
      <c r="E367" s="8"/>
      <c r="F367" s="8"/>
      <c r="G367" s="8"/>
      <c r="H367" s="8"/>
      <c r="I367" s="8"/>
      <c r="J367" s="8"/>
      <c r="K367" s="8"/>
      <c r="L367" s="8"/>
      <c r="M367" s="8"/>
      <c r="N367" s="1269"/>
      <c r="O367" s="8"/>
      <c r="P367" s="8"/>
      <c r="Q367" s="8"/>
      <c r="R367" s="8"/>
      <c r="S367" s="8"/>
      <c r="T367" s="8"/>
      <c r="U367" s="8"/>
      <c r="V367" s="50"/>
      <c r="W367" s="8"/>
      <c r="AI367" s="66"/>
      <c r="AJ367" s="66"/>
      <c r="AK367" s="66"/>
      <c r="AL367" s="66"/>
      <c r="AM367" s="66"/>
      <c r="AN367" s="66"/>
      <c r="AO367" s="66"/>
      <c r="AP367" s="1310"/>
      <c r="BH367" s="67"/>
      <c r="BS367" s="66"/>
      <c r="BT367" s="66"/>
      <c r="BU367" s="66"/>
      <c r="BV367" s="66"/>
      <c r="BW367" s="66"/>
      <c r="BX367" s="66"/>
      <c r="BY367" s="66"/>
      <c r="BZ367" s="67"/>
      <c r="CA367" s="67"/>
      <c r="CB367" s="185"/>
      <c r="CC367" s="185"/>
      <c r="CE367" s="170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</row>
    <row r="368" spans="1:100" s="6" customFormat="1" ht="15.75" x14ac:dyDescent="0.2">
      <c r="A368" s="58"/>
      <c r="C368" s="58"/>
      <c r="D368" s="241"/>
      <c r="E368" s="8"/>
      <c r="F368" s="8"/>
      <c r="G368" s="8"/>
      <c r="H368" s="8"/>
      <c r="I368" s="8"/>
      <c r="J368" s="8"/>
      <c r="K368" s="8"/>
      <c r="L368" s="8"/>
      <c r="M368" s="8"/>
      <c r="N368" s="1269"/>
      <c r="O368" s="8"/>
      <c r="P368" s="8"/>
      <c r="Q368" s="8"/>
      <c r="R368" s="8"/>
      <c r="S368" s="8"/>
      <c r="T368" s="8"/>
      <c r="U368" s="8"/>
      <c r="V368" s="50"/>
      <c r="W368" s="8"/>
      <c r="AI368" s="66"/>
      <c r="AJ368" s="66"/>
      <c r="AK368" s="66"/>
      <c r="AL368" s="66"/>
      <c r="AM368" s="66"/>
      <c r="AN368" s="66"/>
      <c r="AO368" s="66"/>
      <c r="AP368" s="1310"/>
      <c r="BH368" s="67"/>
      <c r="BS368" s="66"/>
      <c r="BT368" s="66"/>
      <c r="BU368" s="66"/>
      <c r="BV368" s="66"/>
      <c r="BW368" s="66"/>
      <c r="BX368" s="66"/>
      <c r="BY368" s="66"/>
      <c r="BZ368" s="67"/>
      <c r="CA368" s="67"/>
      <c r="CB368" s="185"/>
      <c r="CC368" s="185"/>
      <c r="CE368" s="170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</row>
    <row r="369" spans="1:100" s="6" customFormat="1" ht="15.75" x14ac:dyDescent="0.2">
      <c r="A369" s="58"/>
      <c r="C369" s="58"/>
      <c r="D369" s="241"/>
      <c r="E369" s="8"/>
      <c r="F369" s="8"/>
      <c r="G369" s="8"/>
      <c r="H369" s="8"/>
      <c r="I369" s="8"/>
      <c r="J369" s="8"/>
      <c r="K369" s="8"/>
      <c r="L369" s="8"/>
      <c r="M369" s="8"/>
      <c r="N369" s="1269"/>
      <c r="O369" s="8"/>
      <c r="P369" s="8"/>
      <c r="Q369" s="8"/>
      <c r="R369" s="8"/>
      <c r="S369" s="8"/>
      <c r="T369" s="8"/>
      <c r="U369" s="8"/>
      <c r="V369" s="50"/>
      <c r="W369" s="8"/>
      <c r="AI369" s="66"/>
      <c r="AJ369" s="66"/>
      <c r="AK369" s="66"/>
      <c r="AL369" s="66"/>
      <c r="AM369" s="66"/>
      <c r="AN369" s="66"/>
      <c r="AO369" s="66"/>
      <c r="AP369" s="1310"/>
      <c r="BH369" s="67"/>
      <c r="BS369" s="66"/>
      <c r="BT369" s="66"/>
      <c r="BU369" s="66"/>
      <c r="BV369" s="66"/>
      <c r="BW369" s="66"/>
      <c r="BX369" s="66"/>
      <c r="BY369" s="66"/>
      <c r="BZ369" s="67"/>
      <c r="CA369" s="67"/>
      <c r="CB369" s="185"/>
      <c r="CC369" s="185"/>
      <c r="CE369" s="170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</row>
    <row r="370" spans="1:100" s="6" customFormat="1" ht="15.75" x14ac:dyDescent="0.2">
      <c r="A370" s="58"/>
      <c r="C370" s="58"/>
      <c r="D370" s="241"/>
      <c r="E370" s="8"/>
      <c r="F370" s="8"/>
      <c r="G370" s="8"/>
      <c r="H370" s="8"/>
      <c r="I370" s="8"/>
      <c r="J370" s="8"/>
      <c r="K370" s="8"/>
      <c r="L370" s="8"/>
      <c r="M370" s="8"/>
      <c r="N370" s="1269"/>
      <c r="O370" s="8"/>
      <c r="P370" s="8"/>
      <c r="Q370" s="8"/>
      <c r="R370" s="8"/>
      <c r="S370" s="8"/>
      <c r="T370" s="8"/>
      <c r="U370" s="8"/>
      <c r="V370" s="50"/>
      <c r="W370" s="8"/>
      <c r="AI370" s="66"/>
      <c r="AJ370" s="66"/>
      <c r="AK370" s="66"/>
      <c r="AL370" s="66"/>
      <c r="AM370" s="66"/>
      <c r="AN370" s="66"/>
      <c r="AO370" s="66"/>
      <c r="AP370" s="1310"/>
      <c r="BH370" s="67"/>
      <c r="BS370" s="66"/>
      <c r="BT370" s="66"/>
      <c r="BU370" s="66"/>
      <c r="BV370" s="66"/>
      <c r="BW370" s="66"/>
      <c r="BX370" s="66"/>
      <c r="BY370" s="66"/>
      <c r="BZ370" s="67"/>
      <c r="CA370" s="67"/>
      <c r="CB370" s="185"/>
      <c r="CC370" s="185"/>
      <c r="CE370" s="170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</row>
    <row r="371" spans="1:100" s="6" customFormat="1" ht="15.75" x14ac:dyDescent="0.2">
      <c r="A371" s="58"/>
      <c r="C371" s="58"/>
      <c r="D371" s="241"/>
      <c r="E371" s="8"/>
      <c r="F371" s="8"/>
      <c r="G371" s="8"/>
      <c r="H371" s="8"/>
      <c r="I371" s="8"/>
      <c r="J371" s="8"/>
      <c r="K371" s="8"/>
      <c r="L371" s="8"/>
      <c r="M371" s="8"/>
      <c r="N371" s="1269"/>
      <c r="O371" s="8"/>
      <c r="P371" s="8"/>
      <c r="Q371" s="8"/>
      <c r="R371" s="8"/>
      <c r="S371" s="8"/>
      <c r="T371" s="8"/>
      <c r="U371" s="8"/>
      <c r="V371" s="50"/>
      <c r="W371" s="8"/>
      <c r="AI371" s="66"/>
      <c r="AJ371" s="66"/>
      <c r="AK371" s="66"/>
      <c r="AL371" s="66"/>
      <c r="AM371" s="66"/>
      <c r="AN371" s="66"/>
      <c r="AO371" s="66"/>
      <c r="AP371" s="1310"/>
      <c r="BH371" s="67"/>
      <c r="BS371" s="66"/>
      <c r="BT371" s="66"/>
      <c r="BU371" s="66"/>
      <c r="BV371" s="66"/>
      <c r="BW371" s="66"/>
      <c r="BX371" s="66"/>
      <c r="BY371" s="66"/>
      <c r="BZ371" s="67"/>
      <c r="CA371" s="67"/>
      <c r="CB371" s="185"/>
      <c r="CC371" s="185"/>
      <c r="CE371" s="170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</row>
    <row r="372" spans="1:100" s="6" customFormat="1" ht="15.75" x14ac:dyDescent="0.2">
      <c r="A372" s="58"/>
      <c r="C372" s="58"/>
      <c r="D372" s="241"/>
      <c r="E372" s="8"/>
      <c r="F372" s="8"/>
      <c r="G372" s="8"/>
      <c r="H372" s="8"/>
      <c r="I372" s="8"/>
      <c r="J372" s="8"/>
      <c r="K372" s="8"/>
      <c r="L372" s="8"/>
      <c r="M372" s="8"/>
      <c r="N372" s="1269"/>
      <c r="O372" s="8"/>
      <c r="P372" s="8"/>
      <c r="Q372" s="8"/>
      <c r="R372" s="8"/>
      <c r="S372" s="8"/>
      <c r="T372" s="8"/>
      <c r="U372" s="8"/>
      <c r="V372" s="50"/>
      <c r="W372" s="8"/>
      <c r="AI372" s="66"/>
      <c r="AJ372" s="66"/>
      <c r="AK372" s="66"/>
      <c r="AL372" s="66"/>
      <c r="AM372" s="66"/>
      <c r="AN372" s="66"/>
      <c r="AO372" s="66"/>
      <c r="AP372" s="1310"/>
      <c r="BH372" s="67"/>
      <c r="BS372" s="66"/>
      <c r="BT372" s="66"/>
      <c r="BU372" s="66"/>
      <c r="BV372" s="66"/>
      <c r="BW372" s="66"/>
      <c r="BX372" s="66"/>
      <c r="BY372" s="66"/>
      <c r="BZ372" s="67"/>
      <c r="CA372" s="67"/>
      <c r="CB372" s="185"/>
      <c r="CC372" s="185"/>
      <c r="CE372" s="170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</row>
    <row r="373" spans="1:100" s="6" customFormat="1" ht="15.75" x14ac:dyDescent="0.2">
      <c r="A373" s="58"/>
      <c r="C373" s="58"/>
      <c r="D373" s="241"/>
      <c r="E373" s="8"/>
      <c r="F373" s="8"/>
      <c r="G373" s="8"/>
      <c r="H373" s="8"/>
      <c r="I373" s="8"/>
      <c r="J373" s="8"/>
      <c r="K373" s="8"/>
      <c r="L373" s="8"/>
      <c r="M373" s="8"/>
      <c r="N373" s="1269"/>
      <c r="O373" s="8"/>
      <c r="P373" s="8"/>
      <c r="Q373" s="8"/>
      <c r="R373" s="8"/>
      <c r="S373" s="8"/>
      <c r="T373" s="8"/>
      <c r="U373" s="8"/>
      <c r="V373" s="50"/>
      <c r="W373" s="8"/>
      <c r="AI373" s="66"/>
      <c r="AJ373" s="66"/>
      <c r="AK373" s="66"/>
      <c r="AL373" s="66"/>
      <c r="AM373" s="66"/>
      <c r="AN373" s="66"/>
      <c r="AO373" s="66"/>
      <c r="AP373" s="1310"/>
      <c r="BH373" s="67"/>
      <c r="BS373" s="66"/>
      <c r="BT373" s="66"/>
      <c r="BU373" s="66"/>
      <c r="BV373" s="66"/>
      <c r="BW373" s="66"/>
      <c r="BX373" s="66"/>
      <c r="BY373" s="66"/>
      <c r="BZ373" s="67"/>
      <c r="CA373" s="67"/>
      <c r="CB373" s="185"/>
      <c r="CC373" s="185"/>
      <c r="CE373" s="170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</row>
    <row r="374" spans="1:100" s="6" customFormat="1" ht="15.75" x14ac:dyDescent="0.2">
      <c r="A374" s="58"/>
      <c r="C374" s="58"/>
      <c r="D374" s="241"/>
      <c r="E374" s="8"/>
      <c r="F374" s="8"/>
      <c r="G374" s="8"/>
      <c r="H374" s="8"/>
      <c r="I374" s="8"/>
      <c r="J374" s="8"/>
      <c r="K374" s="8"/>
      <c r="L374" s="8"/>
      <c r="M374" s="8"/>
      <c r="N374" s="1269"/>
      <c r="O374" s="8"/>
      <c r="P374" s="8"/>
      <c r="Q374" s="8"/>
      <c r="R374" s="8"/>
      <c r="S374" s="8"/>
      <c r="T374" s="8"/>
      <c r="U374" s="8"/>
      <c r="V374" s="50"/>
      <c r="W374" s="8"/>
      <c r="AI374" s="66"/>
      <c r="AJ374" s="66"/>
      <c r="AK374" s="66"/>
      <c r="AL374" s="66"/>
      <c r="AM374" s="66"/>
      <c r="AN374" s="66"/>
      <c r="AO374" s="66"/>
      <c r="AP374" s="1310"/>
      <c r="BH374" s="67"/>
      <c r="BS374" s="66"/>
      <c r="BT374" s="66"/>
      <c r="BU374" s="66"/>
      <c r="BV374" s="66"/>
      <c r="BW374" s="66"/>
      <c r="BX374" s="66"/>
      <c r="BY374" s="66"/>
      <c r="BZ374" s="67"/>
      <c r="CA374" s="67"/>
      <c r="CB374" s="185"/>
      <c r="CC374" s="185"/>
      <c r="CE374" s="170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</row>
    <row r="375" spans="1:100" s="6" customFormat="1" ht="15.75" x14ac:dyDescent="0.2">
      <c r="A375" s="58"/>
      <c r="C375" s="58"/>
      <c r="D375" s="241"/>
      <c r="E375" s="8"/>
      <c r="F375" s="8"/>
      <c r="G375" s="8"/>
      <c r="H375" s="8"/>
      <c r="I375" s="8"/>
      <c r="J375" s="8"/>
      <c r="K375" s="8"/>
      <c r="L375" s="8"/>
      <c r="M375" s="8"/>
      <c r="N375" s="1269"/>
      <c r="O375" s="8"/>
      <c r="P375" s="8"/>
      <c r="Q375" s="8"/>
      <c r="R375" s="8"/>
      <c r="S375" s="8"/>
      <c r="T375" s="8"/>
      <c r="U375" s="8"/>
      <c r="V375" s="50"/>
      <c r="W375" s="8"/>
      <c r="AI375" s="66"/>
      <c r="AJ375" s="66"/>
      <c r="AK375" s="66"/>
      <c r="AL375" s="66"/>
      <c r="AM375" s="66"/>
      <c r="AN375" s="66"/>
      <c r="AO375" s="66"/>
      <c r="AP375" s="1310"/>
      <c r="BH375" s="67"/>
      <c r="BS375" s="66"/>
      <c r="BT375" s="66"/>
      <c r="BU375" s="66"/>
      <c r="BV375" s="66"/>
      <c r="BW375" s="66"/>
      <c r="BX375" s="66"/>
      <c r="BY375" s="66"/>
      <c r="BZ375" s="67"/>
      <c r="CA375" s="67"/>
      <c r="CB375" s="185"/>
      <c r="CC375" s="185"/>
      <c r="CE375" s="170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</row>
    <row r="376" spans="1:100" s="6" customFormat="1" ht="15.75" x14ac:dyDescent="0.2">
      <c r="A376" s="58"/>
      <c r="C376" s="58"/>
      <c r="D376" s="241"/>
      <c r="E376" s="8"/>
      <c r="F376" s="8"/>
      <c r="G376" s="8"/>
      <c r="H376" s="8"/>
      <c r="I376" s="8"/>
      <c r="J376" s="8"/>
      <c r="K376" s="8"/>
      <c r="L376" s="8"/>
      <c r="M376" s="8"/>
      <c r="N376" s="1269"/>
      <c r="O376" s="8"/>
      <c r="P376" s="8"/>
      <c r="Q376" s="8"/>
      <c r="R376" s="8"/>
      <c r="S376" s="8"/>
      <c r="T376" s="8"/>
      <c r="U376" s="8"/>
      <c r="V376" s="50"/>
      <c r="W376" s="8"/>
      <c r="AI376" s="66"/>
      <c r="AJ376" s="66"/>
      <c r="AK376" s="66"/>
      <c r="AL376" s="66"/>
      <c r="AM376" s="66"/>
      <c r="AN376" s="66"/>
      <c r="AO376" s="66"/>
      <c r="AP376" s="1310"/>
      <c r="BH376" s="67"/>
      <c r="BS376" s="66"/>
      <c r="BT376" s="66"/>
      <c r="BU376" s="66"/>
      <c r="BV376" s="66"/>
      <c r="BW376" s="66"/>
      <c r="BX376" s="66"/>
      <c r="BY376" s="66"/>
      <c r="BZ376" s="67"/>
      <c r="CA376" s="67"/>
      <c r="CB376" s="185"/>
      <c r="CC376" s="185"/>
      <c r="CE376" s="170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</row>
    <row r="377" spans="1:100" s="6" customFormat="1" ht="15.75" x14ac:dyDescent="0.2">
      <c r="A377" s="58"/>
      <c r="C377" s="58"/>
      <c r="D377" s="241"/>
      <c r="E377" s="8"/>
      <c r="F377" s="8"/>
      <c r="G377" s="8"/>
      <c r="H377" s="8"/>
      <c r="I377" s="8"/>
      <c r="J377" s="8"/>
      <c r="K377" s="8"/>
      <c r="L377" s="8"/>
      <c r="M377" s="8"/>
      <c r="N377" s="1269"/>
      <c r="O377" s="8"/>
      <c r="P377" s="8"/>
      <c r="Q377" s="8"/>
      <c r="R377" s="8"/>
      <c r="S377" s="8"/>
      <c r="T377" s="8"/>
      <c r="U377" s="8"/>
      <c r="V377" s="50"/>
      <c r="W377" s="8"/>
      <c r="AI377" s="66"/>
      <c r="AJ377" s="66"/>
      <c r="AK377" s="66"/>
      <c r="AL377" s="66"/>
      <c r="AM377" s="66"/>
      <c r="AN377" s="66"/>
      <c r="AO377" s="66"/>
      <c r="AP377" s="1310"/>
      <c r="BH377" s="67"/>
      <c r="BS377" s="66"/>
      <c r="BT377" s="66"/>
      <c r="BU377" s="66"/>
      <c r="BV377" s="66"/>
      <c r="BW377" s="66"/>
      <c r="BX377" s="66"/>
      <c r="BY377" s="66"/>
      <c r="BZ377" s="67"/>
      <c r="CA377" s="67"/>
      <c r="CB377" s="185"/>
      <c r="CC377" s="185"/>
      <c r="CE377" s="170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</row>
    <row r="378" spans="1:100" s="6" customFormat="1" ht="15.75" x14ac:dyDescent="0.2">
      <c r="A378" s="58"/>
      <c r="C378" s="58"/>
      <c r="D378" s="241"/>
      <c r="E378" s="8"/>
      <c r="F378" s="8"/>
      <c r="G378" s="8"/>
      <c r="H378" s="8"/>
      <c r="I378" s="8"/>
      <c r="J378" s="8"/>
      <c r="K378" s="8"/>
      <c r="L378" s="8"/>
      <c r="M378" s="8"/>
      <c r="N378" s="1269"/>
      <c r="O378" s="8"/>
      <c r="P378" s="8"/>
      <c r="Q378" s="8"/>
      <c r="R378" s="8"/>
      <c r="S378" s="8"/>
      <c r="T378" s="8"/>
      <c r="U378" s="8"/>
      <c r="V378" s="50"/>
      <c r="W378" s="8"/>
      <c r="AI378" s="66"/>
      <c r="AJ378" s="66"/>
      <c r="AK378" s="66"/>
      <c r="AL378" s="66"/>
      <c r="AM378" s="66"/>
      <c r="AN378" s="66"/>
      <c r="AO378" s="66"/>
      <c r="AP378" s="1310"/>
      <c r="BH378" s="67"/>
      <c r="BS378" s="66"/>
      <c r="BT378" s="66"/>
      <c r="BU378" s="66"/>
      <c r="BV378" s="66"/>
      <c r="BW378" s="66"/>
      <c r="BX378" s="66"/>
      <c r="BY378" s="66"/>
      <c r="BZ378" s="67"/>
      <c r="CA378" s="67"/>
      <c r="CB378" s="185"/>
      <c r="CC378" s="185"/>
      <c r="CE378" s="170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</row>
    <row r="379" spans="1:100" s="6" customFormat="1" ht="15.75" x14ac:dyDescent="0.2">
      <c r="A379" s="58"/>
      <c r="C379" s="58"/>
      <c r="D379" s="241"/>
      <c r="E379" s="8"/>
      <c r="F379" s="8"/>
      <c r="G379" s="8"/>
      <c r="H379" s="8"/>
      <c r="I379" s="8"/>
      <c r="J379" s="8"/>
      <c r="K379" s="8"/>
      <c r="L379" s="8"/>
      <c r="M379" s="8"/>
      <c r="N379" s="1269"/>
      <c r="O379" s="8"/>
      <c r="P379" s="8"/>
      <c r="Q379" s="8"/>
      <c r="R379" s="8"/>
      <c r="S379" s="8"/>
      <c r="T379" s="8"/>
      <c r="U379" s="8"/>
      <c r="V379" s="50"/>
      <c r="W379" s="8"/>
      <c r="AI379" s="66"/>
      <c r="AJ379" s="66"/>
      <c r="AK379" s="66"/>
      <c r="AL379" s="66"/>
      <c r="AM379" s="66"/>
      <c r="AN379" s="66"/>
      <c r="AO379" s="66"/>
      <c r="AP379" s="1310"/>
      <c r="BH379" s="67"/>
      <c r="BS379" s="66"/>
      <c r="BT379" s="66"/>
      <c r="BU379" s="66"/>
      <c r="BV379" s="66"/>
      <c r="BW379" s="66"/>
      <c r="BX379" s="66"/>
      <c r="BY379" s="66"/>
      <c r="BZ379" s="67"/>
      <c r="CA379" s="67"/>
      <c r="CB379" s="185"/>
      <c r="CC379" s="185"/>
      <c r="CE379" s="170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</row>
    <row r="380" spans="1:100" s="6" customFormat="1" ht="15.75" x14ac:dyDescent="0.2">
      <c r="A380" s="58"/>
      <c r="C380" s="58"/>
      <c r="D380" s="241"/>
      <c r="E380" s="8"/>
      <c r="F380" s="8"/>
      <c r="G380" s="8"/>
      <c r="H380" s="8"/>
      <c r="I380" s="8"/>
      <c r="J380" s="8"/>
      <c r="K380" s="8"/>
      <c r="L380" s="8"/>
      <c r="M380" s="8"/>
      <c r="N380" s="1269"/>
      <c r="O380" s="8"/>
      <c r="P380" s="8"/>
      <c r="Q380" s="8"/>
      <c r="R380" s="8"/>
      <c r="S380" s="8"/>
      <c r="T380" s="8"/>
      <c r="U380" s="8"/>
      <c r="V380" s="50"/>
      <c r="W380" s="8"/>
      <c r="AI380" s="66"/>
      <c r="AJ380" s="66"/>
      <c r="AK380" s="66"/>
      <c r="AL380" s="66"/>
      <c r="AM380" s="66"/>
      <c r="AN380" s="66"/>
      <c r="AO380" s="66"/>
      <c r="AP380" s="1310"/>
      <c r="BH380" s="67"/>
      <c r="BS380" s="66"/>
      <c r="BT380" s="66"/>
      <c r="BU380" s="66"/>
      <c r="BV380" s="66"/>
      <c r="BW380" s="66"/>
      <c r="BX380" s="66"/>
      <c r="BY380" s="66"/>
      <c r="BZ380" s="67"/>
      <c r="CA380" s="67"/>
      <c r="CB380" s="185"/>
      <c r="CC380" s="185"/>
      <c r="CE380" s="170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</row>
    <row r="381" spans="1:100" s="6" customFormat="1" ht="15.75" x14ac:dyDescent="0.2">
      <c r="A381" s="58"/>
      <c r="C381" s="58"/>
      <c r="D381" s="241"/>
      <c r="E381" s="8"/>
      <c r="F381" s="8"/>
      <c r="G381" s="8"/>
      <c r="H381" s="8"/>
      <c r="I381" s="8"/>
      <c r="J381" s="8"/>
      <c r="K381" s="8"/>
      <c r="L381" s="8"/>
      <c r="M381" s="8"/>
      <c r="N381" s="1269"/>
      <c r="O381" s="8"/>
      <c r="P381" s="8"/>
      <c r="Q381" s="8"/>
      <c r="R381" s="8"/>
      <c r="S381" s="8"/>
      <c r="T381" s="8"/>
      <c r="U381" s="8"/>
      <c r="V381" s="50"/>
      <c r="W381" s="8"/>
      <c r="AI381" s="66"/>
      <c r="AJ381" s="66"/>
      <c r="AK381" s="66"/>
      <c r="AL381" s="66"/>
      <c r="AM381" s="66"/>
      <c r="AN381" s="66"/>
      <c r="AO381" s="66"/>
      <c r="AP381" s="1310"/>
      <c r="BH381" s="67"/>
      <c r="BS381" s="66"/>
      <c r="BT381" s="66"/>
      <c r="BU381" s="66"/>
      <c r="BV381" s="66"/>
      <c r="BW381" s="66"/>
      <c r="BX381" s="66"/>
      <c r="BY381" s="66"/>
      <c r="BZ381" s="67"/>
      <c r="CA381" s="67"/>
      <c r="CB381" s="185"/>
      <c r="CC381" s="185"/>
      <c r="CE381" s="170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</row>
    <row r="382" spans="1:100" s="6" customFormat="1" ht="15.75" x14ac:dyDescent="0.2">
      <c r="A382" s="58"/>
      <c r="C382" s="58"/>
      <c r="D382" s="241"/>
      <c r="E382" s="8"/>
      <c r="F382" s="8"/>
      <c r="G382" s="8"/>
      <c r="H382" s="8"/>
      <c r="I382" s="8"/>
      <c r="J382" s="8"/>
      <c r="K382" s="8"/>
      <c r="L382" s="8"/>
      <c r="M382" s="8"/>
      <c r="N382" s="1269"/>
      <c r="O382" s="8"/>
      <c r="P382" s="8"/>
      <c r="Q382" s="8"/>
      <c r="R382" s="8"/>
      <c r="S382" s="8"/>
      <c r="T382" s="8"/>
      <c r="U382" s="8"/>
      <c r="V382" s="50"/>
      <c r="W382" s="8"/>
      <c r="AI382" s="66"/>
      <c r="AJ382" s="66"/>
      <c r="AK382" s="66"/>
      <c r="AL382" s="66"/>
      <c r="AM382" s="66"/>
      <c r="AN382" s="66"/>
      <c r="AO382" s="66"/>
      <c r="AP382" s="1310"/>
      <c r="BH382" s="67"/>
      <c r="BS382" s="66"/>
      <c r="BT382" s="66"/>
      <c r="BU382" s="66"/>
      <c r="BV382" s="66"/>
      <c r="BW382" s="66"/>
      <c r="BX382" s="66"/>
      <c r="BY382" s="66"/>
      <c r="BZ382" s="67"/>
      <c r="CA382" s="67"/>
      <c r="CB382" s="185"/>
      <c r="CC382" s="185"/>
      <c r="CE382" s="170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</row>
    <row r="383" spans="1:100" s="6" customFormat="1" ht="15.75" x14ac:dyDescent="0.2">
      <c r="A383" s="58"/>
      <c r="C383" s="58"/>
      <c r="D383" s="241"/>
      <c r="E383" s="8"/>
      <c r="F383" s="8"/>
      <c r="G383" s="8"/>
      <c r="H383" s="8"/>
      <c r="I383" s="8"/>
      <c r="J383" s="8"/>
      <c r="K383" s="8"/>
      <c r="L383" s="8"/>
      <c r="M383" s="8"/>
      <c r="N383" s="1269"/>
      <c r="O383" s="8"/>
      <c r="P383" s="8"/>
      <c r="Q383" s="8"/>
      <c r="R383" s="8"/>
      <c r="S383" s="8"/>
      <c r="T383" s="8"/>
      <c r="U383" s="8"/>
      <c r="V383" s="50"/>
      <c r="W383" s="8"/>
      <c r="AI383" s="66"/>
      <c r="AJ383" s="66"/>
      <c r="AK383" s="66"/>
      <c r="AL383" s="66"/>
      <c r="AM383" s="66"/>
      <c r="AN383" s="66"/>
      <c r="AO383" s="66"/>
      <c r="AP383" s="1310"/>
      <c r="BH383" s="67"/>
      <c r="BS383" s="66"/>
      <c r="BT383" s="66"/>
      <c r="BU383" s="66"/>
      <c r="BV383" s="66"/>
      <c r="BW383" s="66"/>
      <c r="BX383" s="66"/>
      <c r="BY383" s="66"/>
      <c r="BZ383" s="67"/>
      <c r="CA383" s="67"/>
      <c r="CB383" s="185"/>
      <c r="CC383" s="185"/>
      <c r="CE383" s="170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</row>
    <row r="384" spans="1:100" s="6" customFormat="1" ht="15.75" x14ac:dyDescent="0.2">
      <c r="A384" s="58"/>
      <c r="C384" s="58"/>
      <c r="D384" s="241"/>
      <c r="E384" s="8"/>
      <c r="F384" s="8"/>
      <c r="G384" s="8"/>
      <c r="H384" s="8"/>
      <c r="I384" s="8"/>
      <c r="J384" s="8"/>
      <c r="K384" s="8"/>
      <c r="L384" s="8"/>
      <c r="M384" s="8"/>
      <c r="N384" s="1269"/>
      <c r="O384" s="8"/>
      <c r="P384" s="8"/>
      <c r="Q384" s="8"/>
      <c r="R384" s="8"/>
      <c r="S384" s="8"/>
      <c r="T384" s="8"/>
      <c r="U384" s="8"/>
      <c r="V384" s="50"/>
      <c r="W384" s="8"/>
      <c r="AI384" s="66"/>
      <c r="AJ384" s="66"/>
      <c r="AK384" s="66"/>
      <c r="AL384" s="66"/>
      <c r="AM384" s="66"/>
      <c r="AN384" s="66"/>
      <c r="AO384" s="66"/>
      <c r="AP384" s="1310"/>
      <c r="BH384" s="67"/>
      <c r="BS384" s="66"/>
      <c r="BT384" s="66"/>
      <c r="BU384" s="66"/>
      <c r="BV384" s="66"/>
      <c r="BW384" s="66"/>
      <c r="BX384" s="66"/>
      <c r="BY384" s="66"/>
      <c r="BZ384" s="67"/>
      <c r="CA384" s="67"/>
      <c r="CB384" s="185"/>
      <c r="CC384" s="185"/>
      <c r="CE384" s="170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</row>
    <row r="385" spans="1:100" s="6" customFormat="1" ht="15.75" x14ac:dyDescent="0.2">
      <c r="A385" s="58"/>
      <c r="C385" s="58"/>
      <c r="D385" s="241"/>
      <c r="E385" s="8"/>
      <c r="F385" s="8"/>
      <c r="G385" s="8"/>
      <c r="H385" s="8"/>
      <c r="I385" s="8"/>
      <c r="J385" s="8"/>
      <c r="K385" s="8"/>
      <c r="L385" s="8"/>
      <c r="M385" s="8"/>
      <c r="N385" s="1269"/>
      <c r="O385" s="8"/>
      <c r="P385" s="8"/>
      <c r="Q385" s="8"/>
      <c r="R385" s="8"/>
      <c r="S385" s="8"/>
      <c r="T385" s="8"/>
      <c r="U385" s="8"/>
      <c r="V385" s="50"/>
      <c r="W385" s="8"/>
      <c r="AI385" s="66"/>
      <c r="AJ385" s="66"/>
      <c r="AK385" s="66"/>
      <c r="AL385" s="66"/>
      <c r="AM385" s="66"/>
      <c r="AN385" s="66"/>
      <c r="AO385" s="66"/>
      <c r="AP385" s="1310"/>
      <c r="BH385" s="67"/>
      <c r="BS385" s="66"/>
      <c r="BT385" s="66"/>
      <c r="BU385" s="66"/>
      <c r="BV385" s="66"/>
      <c r="BW385" s="66"/>
      <c r="BX385" s="66"/>
      <c r="BY385" s="66"/>
      <c r="BZ385" s="67"/>
      <c r="CA385" s="67"/>
      <c r="CB385" s="185"/>
      <c r="CC385" s="185"/>
      <c r="CE385" s="170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</row>
    <row r="386" spans="1:100" s="6" customFormat="1" ht="15.75" x14ac:dyDescent="0.2">
      <c r="A386" s="58"/>
      <c r="C386" s="58"/>
      <c r="D386" s="241"/>
      <c r="E386" s="8"/>
      <c r="F386" s="8"/>
      <c r="G386" s="8"/>
      <c r="H386" s="8"/>
      <c r="I386" s="8"/>
      <c r="J386" s="8"/>
      <c r="K386" s="8"/>
      <c r="L386" s="8"/>
      <c r="M386" s="8"/>
      <c r="N386" s="1269"/>
      <c r="O386" s="8"/>
      <c r="P386" s="8"/>
      <c r="Q386" s="8"/>
      <c r="R386" s="8"/>
      <c r="S386" s="8"/>
      <c r="T386" s="8"/>
      <c r="U386" s="8"/>
      <c r="V386" s="50"/>
      <c r="W386" s="8"/>
      <c r="AI386" s="66"/>
      <c r="AJ386" s="66"/>
      <c r="AK386" s="66"/>
      <c r="AL386" s="66"/>
      <c r="AM386" s="66"/>
      <c r="AN386" s="66"/>
      <c r="AO386" s="66"/>
      <c r="AP386" s="1310"/>
      <c r="BH386" s="67"/>
      <c r="BS386" s="66"/>
      <c r="BT386" s="66"/>
      <c r="BU386" s="66"/>
      <c r="BV386" s="66"/>
      <c r="BW386" s="66"/>
      <c r="BX386" s="66"/>
      <c r="BY386" s="66"/>
      <c r="BZ386" s="67"/>
      <c r="CA386" s="67"/>
      <c r="CB386" s="185"/>
      <c r="CC386" s="185"/>
      <c r="CE386" s="170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</row>
    <row r="387" spans="1:100" s="6" customFormat="1" ht="15.75" x14ac:dyDescent="0.2">
      <c r="A387" s="58"/>
      <c r="C387" s="58"/>
      <c r="D387" s="241"/>
      <c r="E387" s="8"/>
      <c r="F387" s="8"/>
      <c r="G387" s="8"/>
      <c r="H387" s="8"/>
      <c r="I387" s="8"/>
      <c r="J387" s="8"/>
      <c r="K387" s="8"/>
      <c r="L387" s="8"/>
      <c r="M387" s="8"/>
      <c r="N387" s="1269"/>
      <c r="O387" s="8"/>
      <c r="P387" s="8"/>
      <c r="Q387" s="8"/>
      <c r="R387" s="8"/>
      <c r="S387" s="8"/>
      <c r="T387" s="8"/>
      <c r="U387" s="8"/>
      <c r="V387" s="50"/>
      <c r="W387" s="8"/>
      <c r="AI387" s="66"/>
      <c r="AJ387" s="66"/>
      <c r="AK387" s="66"/>
      <c r="AL387" s="66"/>
      <c r="AM387" s="66"/>
      <c r="AN387" s="66"/>
      <c r="AO387" s="66"/>
      <c r="AP387" s="1310"/>
      <c r="BH387" s="67"/>
      <c r="BS387" s="66"/>
      <c r="BT387" s="66"/>
      <c r="BU387" s="66"/>
      <c r="BV387" s="66"/>
      <c r="BW387" s="66"/>
      <c r="BX387" s="66"/>
      <c r="BY387" s="66"/>
      <c r="BZ387" s="67"/>
      <c r="CA387" s="67"/>
      <c r="CB387" s="185"/>
      <c r="CC387" s="185"/>
      <c r="CE387" s="170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</row>
    <row r="388" spans="1:100" s="6" customFormat="1" ht="15.75" x14ac:dyDescent="0.2">
      <c r="A388" s="58"/>
      <c r="C388" s="58"/>
      <c r="D388" s="241"/>
      <c r="E388" s="8"/>
      <c r="F388" s="8"/>
      <c r="G388" s="8"/>
      <c r="H388" s="8"/>
      <c r="I388" s="8"/>
      <c r="J388" s="8"/>
      <c r="K388" s="8"/>
      <c r="L388" s="8"/>
      <c r="M388" s="8"/>
      <c r="N388" s="1269"/>
      <c r="O388" s="8"/>
      <c r="P388" s="8"/>
      <c r="Q388" s="8"/>
      <c r="R388" s="8"/>
      <c r="S388" s="8"/>
      <c r="T388" s="8"/>
      <c r="U388" s="8"/>
      <c r="V388" s="50"/>
      <c r="W388" s="8"/>
      <c r="AI388" s="66"/>
      <c r="AJ388" s="66"/>
      <c r="AK388" s="66"/>
      <c r="AL388" s="66"/>
      <c r="AM388" s="66"/>
      <c r="AN388" s="66"/>
      <c r="AO388" s="66"/>
      <c r="AP388" s="1310"/>
      <c r="BH388" s="67"/>
      <c r="BS388" s="66"/>
      <c r="BT388" s="66"/>
      <c r="BU388" s="66"/>
      <c r="BV388" s="66"/>
      <c r="BW388" s="66"/>
      <c r="BX388" s="66"/>
      <c r="BY388" s="66"/>
      <c r="BZ388" s="67"/>
      <c r="CA388" s="67"/>
      <c r="CB388" s="185"/>
      <c r="CC388" s="185"/>
      <c r="CE388" s="170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</row>
    <row r="389" spans="1:100" s="6" customFormat="1" ht="15.75" x14ac:dyDescent="0.2">
      <c r="A389" s="58"/>
      <c r="C389" s="58"/>
      <c r="D389" s="241"/>
      <c r="E389" s="8"/>
      <c r="F389" s="8"/>
      <c r="G389" s="8"/>
      <c r="H389" s="8"/>
      <c r="I389" s="8"/>
      <c r="J389" s="8"/>
      <c r="K389" s="8"/>
      <c r="L389" s="8"/>
      <c r="M389" s="8"/>
      <c r="N389" s="1269"/>
      <c r="O389" s="8"/>
      <c r="P389" s="8"/>
      <c r="Q389" s="8"/>
      <c r="R389" s="8"/>
      <c r="S389" s="8"/>
      <c r="T389" s="8"/>
      <c r="U389" s="8"/>
      <c r="V389" s="50"/>
      <c r="W389" s="8"/>
      <c r="AI389" s="66"/>
      <c r="AJ389" s="66"/>
      <c r="AK389" s="66"/>
      <c r="AL389" s="66"/>
      <c r="AM389" s="66"/>
      <c r="AN389" s="66"/>
      <c r="AO389" s="66"/>
      <c r="AP389" s="1310"/>
      <c r="BH389" s="67"/>
      <c r="BS389" s="66"/>
      <c r="BT389" s="66"/>
      <c r="BU389" s="66"/>
      <c r="BV389" s="66"/>
      <c r="BW389" s="66"/>
      <c r="BX389" s="66"/>
      <c r="BY389" s="66"/>
      <c r="BZ389" s="67"/>
      <c r="CA389" s="67"/>
      <c r="CB389" s="185"/>
      <c r="CC389" s="185"/>
      <c r="CE389" s="170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</row>
    <row r="390" spans="1:100" s="6" customFormat="1" ht="15.75" x14ac:dyDescent="0.2">
      <c r="A390" s="58"/>
      <c r="C390" s="58"/>
      <c r="D390" s="241"/>
      <c r="E390" s="8"/>
      <c r="F390" s="8"/>
      <c r="G390" s="8"/>
      <c r="H390" s="8"/>
      <c r="I390" s="8"/>
      <c r="J390" s="8"/>
      <c r="K390" s="8"/>
      <c r="L390" s="8"/>
      <c r="M390" s="8"/>
      <c r="N390" s="1269"/>
      <c r="O390" s="8"/>
      <c r="P390" s="8"/>
      <c r="Q390" s="8"/>
      <c r="R390" s="8"/>
      <c r="S390" s="8"/>
      <c r="T390" s="8"/>
      <c r="U390" s="8"/>
      <c r="V390" s="50"/>
      <c r="W390" s="8"/>
      <c r="AI390" s="66"/>
      <c r="AJ390" s="66"/>
      <c r="AK390" s="66"/>
      <c r="AL390" s="66"/>
      <c r="AM390" s="66"/>
      <c r="AN390" s="66"/>
      <c r="AO390" s="66"/>
      <c r="AP390" s="1310"/>
      <c r="BH390" s="67"/>
      <c r="BS390" s="66"/>
      <c r="BT390" s="66"/>
      <c r="BU390" s="66"/>
      <c r="BV390" s="66"/>
      <c r="BW390" s="66"/>
      <c r="BX390" s="66"/>
      <c r="BY390" s="66"/>
      <c r="BZ390" s="67"/>
      <c r="CA390" s="67"/>
      <c r="CB390" s="185"/>
      <c r="CC390" s="185"/>
      <c r="CE390" s="170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</row>
    <row r="391" spans="1:100" s="6" customFormat="1" ht="15.75" x14ac:dyDescent="0.2">
      <c r="A391" s="58"/>
      <c r="C391" s="58"/>
      <c r="D391" s="241"/>
      <c r="E391" s="8"/>
      <c r="F391" s="8"/>
      <c r="G391" s="8"/>
      <c r="H391" s="8"/>
      <c r="I391" s="8"/>
      <c r="J391" s="8"/>
      <c r="K391" s="8"/>
      <c r="L391" s="8"/>
      <c r="M391" s="8"/>
      <c r="N391" s="1269"/>
      <c r="O391" s="8"/>
      <c r="P391" s="8"/>
      <c r="Q391" s="8"/>
      <c r="R391" s="8"/>
      <c r="S391" s="8"/>
      <c r="T391" s="8"/>
      <c r="U391" s="8"/>
      <c r="V391" s="50"/>
      <c r="W391" s="8"/>
      <c r="AI391" s="66"/>
      <c r="AJ391" s="66"/>
      <c r="AK391" s="66"/>
      <c r="AL391" s="66"/>
      <c r="AM391" s="66"/>
      <c r="AN391" s="66"/>
      <c r="AO391" s="66"/>
      <c r="AP391" s="1310"/>
      <c r="BH391" s="67"/>
      <c r="BS391" s="66"/>
      <c r="BT391" s="66"/>
      <c r="BU391" s="66"/>
      <c r="BV391" s="66"/>
      <c r="BW391" s="66"/>
      <c r="BX391" s="66"/>
      <c r="BY391" s="66"/>
      <c r="BZ391" s="67"/>
      <c r="CA391" s="67"/>
      <c r="CB391" s="185"/>
      <c r="CC391" s="185"/>
      <c r="CE391" s="170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</row>
    <row r="392" spans="1:100" s="6" customFormat="1" ht="15.75" x14ac:dyDescent="0.2">
      <c r="A392" s="58"/>
      <c r="C392" s="58"/>
      <c r="D392" s="241"/>
      <c r="E392" s="8"/>
      <c r="F392" s="8"/>
      <c r="G392" s="8"/>
      <c r="H392" s="8"/>
      <c r="I392" s="8"/>
      <c r="J392" s="8"/>
      <c r="K392" s="8"/>
      <c r="L392" s="8"/>
      <c r="M392" s="8"/>
      <c r="N392" s="1269"/>
      <c r="O392" s="8"/>
      <c r="P392" s="8"/>
      <c r="Q392" s="8"/>
      <c r="R392" s="8"/>
      <c r="S392" s="8"/>
      <c r="T392" s="8"/>
      <c r="U392" s="8"/>
      <c r="V392" s="50"/>
      <c r="W392" s="8"/>
      <c r="AI392" s="66"/>
      <c r="AJ392" s="66"/>
      <c r="AK392" s="66"/>
      <c r="AL392" s="66"/>
      <c r="AM392" s="66"/>
      <c r="AN392" s="66"/>
      <c r="AO392" s="66"/>
      <c r="AP392" s="1310"/>
      <c r="BH392" s="67"/>
      <c r="BS392" s="66"/>
      <c r="BT392" s="66"/>
      <c r="BU392" s="66"/>
      <c r="BV392" s="66"/>
      <c r="BW392" s="66"/>
      <c r="BX392" s="66"/>
      <c r="BY392" s="66"/>
      <c r="BZ392" s="67"/>
      <c r="CA392" s="67"/>
      <c r="CB392" s="185"/>
      <c r="CC392" s="185"/>
      <c r="CE392" s="170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</row>
    <row r="393" spans="1:100" s="6" customFormat="1" ht="15.75" x14ac:dyDescent="0.2">
      <c r="A393" s="58"/>
      <c r="C393" s="58"/>
      <c r="D393" s="241"/>
      <c r="E393" s="8"/>
      <c r="F393" s="8"/>
      <c r="G393" s="8"/>
      <c r="H393" s="8"/>
      <c r="I393" s="8"/>
      <c r="J393" s="8"/>
      <c r="K393" s="8"/>
      <c r="L393" s="8"/>
      <c r="M393" s="8"/>
      <c r="N393" s="1269"/>
      <c r="O393" s="8"/>
      <c r="P393" s="8"/>
      <c r="Q393" s="8"/>
      <c r="R393" s="8"/>
      <c r="S393" s="8"/>
      <c r="T393" s="8"/>
      <c r="U393" s="8"/>
      <c r="V393" s="50"/>
      <c r="W393" s="8"/>
      <c r="AI393" s="66"/>
      <c r="AJ393" s="66"/>
      <c r="AK393" s="66"/>
      <c r="AL393" s="66"/>
      <c r="AM393" s="66"/>
      <c r="AN393" s="66"/>
      <c r="AO393" s="66"/>
      <c r="AP393" s="1310"/>
      <c r="BH393" s="67"/>
      <c r="BS393" s="66"/>
      <c r="BT393" s="66"/>
      <c r="BU393" s="66"/>
      <c r="BV393" s="66"/>
      <c r="BW393" s="66"/>
      <c r="BX393" s="66"/>
      <c r="BY393" s="66"/>
      <c r="BZ393" s="67"/>
      <c r="CA393" s="67"/>
      <c r="CB393" s="185"/>
      <c r="CC393" s="185"/>
      <c r="CE393" s="170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</row>
    <row r="394" spans="1:100" s="6" customFormat="1" ht="15.75" x14ac:dyDescent="0.2">
      <c r="A394" s="58"/>
      <c r="C394" s="58"/>
      <c r="D394" s="241"/>
      <c r="E394" s="8"/>
      <c r="F394" s="8"/>
      <c r="G394" s="8"/>
      <c r="H394" s="8"/>
      <c r="I394" s="8"/>
      <c r="J394" s="8"/>
      <c r="K394" s="8"/>
      <c r="L394" s="8"/>
      <c r="M394" s="8"/>
      <c r="N394" s="1269"/>
      <c r="O394" s="8"/>
      <c r="P394" s="8"/>
      <c r="Q394" s="8"/>
      <c r="R394" s="8"/>
      <c r="S394" s="8"/>
      <c r="T394" s="8"/>
      <c r="U394" s="8"/>
      <c r="V394" s="50"/>
      <c r="W394" s="8"/>
      <c r="AI394" s="66"/>
      <c r="AJ394" s="66"/>
      <c r="AK394" s="66"/>
      <c r="AL394" s="66"/>
      <c r="AM394" s="66"/>
      <c r="AN394" s="66"/>
      <c r="AO394" s="66"/>
      <c r="AP394" s="1310"/>
      <c r="BH394" s="67"/>
      <c r="BS394" s="66"/>
      <c r="BT394" s="66"/>
      <c r="BU394" s="66"/>
      <c r="BV394" s="66"/>
      <c r="BW394" s="66"/>
      <c r="BX394" s="66"/>
      <c r="BY394" s="66"/>
      <c r="BZ394" s="67"/>
      <c r="CA394" s="67"/>
      <c r="CB394" s="185"/>
      <c r="CC394" s="185"/>
      <c r="CE394" s="170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</row>
  </sheetData>
  <mergeCells count="230">
    <mergeCell ref="CE166:CG166"/>
    <mergeCell ref="CI201:DH201"/>
    <mergeCell ref="CE202:CG202"/>
    <mergeCell ref="CI202:CU202"/>
    <mergeCell ref="CV202:DH202"/>
    <mergeCell ref="CE203:CG203"/>
    <mergeCell ref="CI142:DH142"/>
    <mergeCell ref="CE143:CG143"/>
    <mergeCell ref="CI143:CU143"/>
    <mergeCell ref="CV143:DH143"/>
    <mergeCell ref="CE144:CG144"/>
    <mergeCell ref="CI164:DH164"/>
    <mergeCell ref="CE165:CG165"/>
    <mergeCell ref="CI165:CU165"/>
    <mergeCell ref="CV165:DH165"/>
    <mergeCell ref="CE125:CG125"/>
    <mergeCell ref="CI29:DH29"/>
    <mergeCell ref="CE30:CG30"/>
    <mergeCell ref="CI30:CU30"/>
    <mergeCell ref="CV30:DH30"/>
    <mergeCell ref="CE31:CG31"/>
    <mergeCell ref="CI43:DH43"/>
    <mergeCell ref="CE44:CG44"/>
    <mergeCell ref="CI44:CU44"/>
    <mergeCell ref="CV44:DH44"/>
    <mergeCell ref="CE45:CG45"/>
    <mergeCell ref="CI84:DH84"/>
    <mergeCell ref="CE85:CG85"/>
    <mergeCell ref="CI85:CU85"/>
    <mergeCell ref="CV85:DH85"/>
    <mergeCell ref="CE86:CG86"/>
    <mergeCell ref="CI97:DH97"/>
    <mergeCell ref="CE98:CG98"/>
    <mergeCell ref="CI98:CU98"/>
    <mergeCell ref="CV98:DH98"/>
    <mergeCell ref="CE99:CG99"/>
    <mergeCell ref="CI105:DH105"/>
    <mergeCell ref="CE106:CG106"/>
    <mergeCell ref="CI106:CU106"/>
    <mergeCell ref="CI123:DH123"/>
    <mergeCell ref="CE124:CG124"/>
    <mergeCell ref="CI124:CU124"/>
    <mergeCell ref="CV124:DH124"/>
    <mergeCell ref="CV106:DH106"/>
    <mergeCell ref="CE107:CG107"/>
    <mergeCell ref="CI2:DH2"/>
    <mergeCell ref="CE3:CG3"/>
    <mergeCell ref="CI3:CU3"/>
    <mergeCell ref="CV3:DH3"/>
    <mergeCell ref="CE4:CG4"/>
    <mergeCell ref="E124:V124"/>
    <mergeCell ref="D164:V164"/>
    <mergeCell ref="W164:W166"/>
    <mergeCell ref="CB164:CB166"/>
    <mergeCell ref="CB142:CB144"/>
    <mergeCell ref="X201:AO201"/>
    <mergeCell ref="AP164:BH164"/>
    <mergeCell ref="CC201:CC203"/>
    <mergeCell ref="X202:X203"/>
    <mergeCell ref="CB201:CB203"/>
    <mergeCell ref="CC164:CC166"/>
    <mergeCell ref="D165:D166"/>
    <mergeCell ref="E165:V165"/>
    <mergeCell ref="X165:X166"/>
    <mergeCell ref="Y165:AO165"/>
    <mergeCell ref="AP165:AP166"/>
    <mergeCell ref="AQ165:BH165"/>
    <mergeCell ref="W142:W144"/>
    <mergeCell ref="X142:AO142"/>
    <mergeCell ref="AP202:AP203"/>
    <mergeCell ref="AQ202:BH202"/>
    <mergeCell ref="X164:AO164"/>
    <mergeCell ref="CA164:CA166"/>
    <mergeCell ref="CC142:CC144"/>
    <mergeCell ref="W97:W99"/>
    <mergeCell ref="X97:AO97"/>
    <mergeCell ref="CA97:CA99"/>
    <mergeCell ref="BI97:BZ98"/>
    <mergeCell ref="CC97:CC99"/>
    <mergeCell ref="C123:C125"/>
    <mergeCell ref="A141:B141"/>
    <mergeCell ref="D201:V201"/>
    <mergeCell ref="W201:W203"/>
    <mergeCell ref="A200:B200"/>
    <mergeCell ref="A201:A203"/>
    <mergeCell ref="B201:B203"/>
    <mergeCell ref="C201:C203"/>
    <mergeCell ref="A163:B163"/>
    <mergeCell ref="A164:A166"/>
    <mergeCell ref="B164:B166"/>
    <mergeCell ref="A142:A144"/>
    <mergeCell ref="B142:B144"/>
    <mergeCell ref="C142:C144"/>
    <mergeCell ref="C164:C166"/>
    <mergeCell ref="D202:D203"/>
    <mergeCell ref="E202:V202"/>
    <mergeCell ref="D123:V123"/>
    <mergeCell ref="W123:W125"/>
    <mergeCell ref="Y85:AO85"/>
    <mergeCell ref="AP85:AP86"/>
    <mergeCell ref="AQ85:BH85"/>
    <mergeCell ref="BI84:BZ85"/>
    <mergeCell ref="CA43:CA45"/>
    <mergeCell ref="AP44:AP45"/>
    <mergeCell ref="AQ44:BH44"/>
    <mergeCell ref="AP84:BH84"/>
    <mergeCell ref="E44:V44"/>
    <mergeCell ref="Y44:AO44"/>
    <mergeCell ref="D106:D107"/>
    <mergeCell ref="E106:V106"/>
    <mergeCell ref="X106:X107"/>
    <mergeCell ref="AP201:BH201"/>
    <mergeCell ref="BI201:BZ202"/>
    <mergeCell ref="CA201:CA203"/>
    <mergeCell ref="CA123:CA125"/>
    <mergeCell ref="BI164:BZ165"/>
    <mergeCell ref="X124:X125"/>
    <mergeCell ref="Y124:AO124"/>
    <mergeCell ref="AP124:AP125"/>
    <mergeCell ref="AQ124:BH124"/>
    <mergeCell ref="Y202:AO202"/>
    <mergeCell ref="D143:D144"/>
    <mergeCell ref="E143:V143"/>
    <mergeCell ref="X143:X144"/>
    <mergeCell ref="Y143:AO143"/>
    <mergeCell ref="AP143:AP144"/>
    <mergeCell ref="AQ143:BH143"/>
    <mergeCell ref="AP142:BH142"/>
    <mergeCell ref="CA142:CA144"/>
    <mergeCell ref="BI142:BZ143"/>
    <mergeCell ref="D142:V142"/>
    <mergeCell ref="D124:D125"/>
    <mergeCell ref="X123:AO123"/>
    <mergeCell ref="AP123:BH123"/>
    <mergeCell ref="BI123:BZ124"/>
    <mergeCell ref="CB123:CB125"/>
    <mergeCell ref="CB105:CB107"/>
    <mergeCell ref="CB97:CB99"/>
    <mergeCell ref="AQ98:BH98"/>
    <mergeCell ref="AP105:BH105"/>
    <mergeCell ref="CA105:CA107"/>
    <mergeCell ref="BI105:BZ106"/>
    <mergeCell ref="AQ106:BH106"/>
    <mergeCell ref="Y106:AO106"/>
    <mergeCell ref="CC105:CC107"/>
    <mergeCell ref="X98:X99"/>
    <mergeCell ref="Y98:AO98"/>
    <mergeCell ref="AP98:AP99"/>
    <mergeCell ref="CC123:CC125"/>
    <mergeCell ref="CB29:CB31"/>
    <mergeCell ref="A1:B1"/>
    <mergeCell ref="A2:A4"/>
    <mergeCell ref="B2:B4"/>
    <mergeCell ref="C2:C4"/>
    <mergeCell ref="A83:B83"/>
    <mergeCell ref="A84:A86"/>
    <mergeCell ref="B84:B86"/>
    <mergeCell ref="C84:C86"/>
    <mergeCell ref="X44:X45"/>
    <mergeCell ref="D84:V84"/>
    <mergeCell ref="W84:W86"/>
    <mergeCell ref="X84:AO84"/>
    <mergeCell ref="W43:W45"/>
    <mergeCell ref="D29:V29"/>
    <mergeCell ref="A28:B28"/>
    <mergeCell ref="A29:A31"/>
    <mergeCell ref="C29:C31"/>
    <mergeCell ref="A42:B42"/>
    <mergeCell ref="A43:A45"/>
    <mergeCell ref="B43:B45"/>
    <mergeCell ref="C43:C45"/>
    <mergeCell ref="B29:B31"/>
    <mergeCell ref="X43:AO43"/>
    <mergeCell ref="Y30:AO30"/>
    <mergeCell ref="AP30:AP31"/>
    <mergeCell ref="A122:B122"/>
    <mergeCell ref="A123:A125"/>
    <mergeCell ref="B123:B125"/>
    <mergeCell ref="AP106:AP107"/>
    <mergeCell ref="W105:W107"/>
    <mergeCell ref="X105:AO105"/>
    <mergeCell ref="A105:A107"/>
    <mergeCell ref="B105:B107"/>
    <mergeCell ref="C105:C107"/>
    <mergeCell ref="B97:B99"/>
    <mergeCell ref="C97:C99"/>
    <mergeCell ref="A97:A99"/>
    <mergeCell ref="D105:V105"/>
    <mergeCell ref="A96:B96"/>
    <mergeCell ref="A104:B104"/>
    <mergeCell ref="D43:V43"/>
    <mergeCell ref="D44:D45"/>
    <mergeCell ref="E98:V98"/>
    <mergeCell ref="D98:D99"/>
    <mergeCell ref="AQ30:BH30"/>
    <mergeCell ref="AP29:BH29"/>
    <mergeCell ref="W29:W31"/>
    <mergeCell ref="X29:AO29"/>
    <mergeCell ref="CC29:CC31"/>
    <mergeCell ref="D30:D31"/>
    <mergeCell ref="E30:V30"/>
    <mergeCell ref="X30:X31"/>
    <mergeCell ref="CA29:CA31"/>
    <mergeCell ref="BI29:BZ30"/>
    <mergeCell ref="AP97:BH97"/>
    <mergeCell ref="D97:V97"/>
    <mergeCell ref="CB43:CB45"/>
    <mergeCell ref="CC43:CC45"/>
    <mergeCell ref="AP43:BH43"/>
    <mergeCell ref="BI43:BZ44"/>
    <mergeCell ref="CA84:CA86"/>
    <mergeCell ref="CB84:CB86"/>
    <mergeCell ref="CC84:CC86"/>
    <mergeCell ref="D85:D86"/>
    <mergeCell ref="E85:V85"/>
    <mergeCell ref="X85:X86"/>
    <mergeCell ref="CC2:CC4"/>
    <mergeCell ref="D3:D4"/>
    <mergeCell ref="E3:V3"/>
    <mergeCell ref="X3:X4"/>
    <mergeCell ref="Y3:AO3"/>
    <mergeCell ref="AP3:AP4"/>
    <mergeCell ref="AQ3:BH3"/>
    <mergeCell ref="X2:AO2"/>
    <mergeCell ref="AP2:BH2"/>
    <mergeCell ref="CA2:CA4"/>
    <mergeCell ref="D2:V2"/>
    <mergeCell ref="W2:W4"/>
    <mergeCell ref="BI2:BZ3"/>
    <mergeCell ref="CB2:CB4"/>
  </mergeCells>
  <pageMargins left="0.70866141732283472" right="0.70866141732283472" top="0.74803149606299213" bottom="1.5354330708661419" header="0.31496062992125984" footer="0.31496062992125984"/>
  <pageSetup paperSize="5" scale="75"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H125"/>
  <sheetViews>
    <sheetView topLeftCell="L1" zoomScale="90" zoomScaleNormal="90" workbookViewId="0">
      <pane ySplit="2070" topLeftCell="A92" activePane="bottomLeft"/>
      <selection pane="bottomLeft" activeCell="T98" sqref="T98"/>
    </sheetView>
  </sheetViews>
  <sheetFormatPr defaultRowHeight="15.75" x14ac:dyDescent="0.2"/>
  <cols>
    <col min="1" max="1" width="6.33203125" style="4" customWidth="1"/>
    <col min="2" max="2" width="73.5" customWidth="1"/>
    <col min="3" max="6" width="25.6640625" customWidth="1"/>
    <col min="7" max="7" width="25.6640625" style="122" customWidth="1"/>
    <col min="8" max="9" width="24.1640625" customWidth="1"/>
    <col min="10" max="11" width="21.83203125" customWidth="1"/>
    <col min="12" max="12" width="25.6640625" customWidth="1"/>
    <col min="13" max="16" width="21.83203125" customWidth="1"/>
    <col min="17" max="17" width="25.6640625" style="383" customWidth="1"/>
    <col min="18" max="19" width="23.83203125" customWidth="1"/>
    <col min="20" max="20" width="23.83203125" style="122" customWidth="1"/>
    <col min="21" max="21" width="12.33203125" style="471" customWidth="1"/>
    <col min="22" max="26" width="17.5" style="433" customWidth="1"/>
    <col min="27" max="27" width="19.6640625" style="433" customWidth="1"/>
    <col min="28" max="28" width="14.1640625" customWidth="1"/>
    <col min="29" max="29" width="40.33203125" customWidth="1"/>
    <col min="30" max="30" width="12" bestFit="1" customWidth="1"/>
  </cols>
  <sheetData>
    <row r="1" spans="1:34" ht="33" x14ac:dyDescent="0.2">
      <c r="A1" s="1805" t="s">
        <v>407</v>
      </c>
      <c r="B1" s="1805"/>
      <c r="C1" s="1805"/>
      <c r="D1" s="1805"/>
      <c r="E1" s="1805"/>
      <c r="F1" s="1805"/>
      <c r="G1" s="1805"/>
      <c r="H1" s="1805"/>
      <c r="I1" s="1805"/>
      <c r="J1" s="1805"/>
      <c r="K1" s="1805"/>
      <c r="L1" s="1805"/>
      <c r="M1" s="1805"/>
      <c r="N1" s="1805"/>
      <c r="O1" s="1805"/>
      <c r="P1" s="1805"/>
      <c r="Q1" s="1805"/>
      <c r="R1" s="1805"/>
      <c r="S1" s="1805"/>
      <c r="T1" s="1805"/>
      <c r="V1" s="843"/>
    </row>
    <row r="2" spans="1:34" s="19" customFormat="1" ht="30" customHeight="1" x14ac:dyDescent="0.2">
      <c r="A2" s="1800" t="s">
        <v>10</v>
      </c>
      <c r="B2" s="1800" t="s">
        <v>11</v>
      </c>
      <c r="C2" s="1806" t="s">
        <v>256</v>
      </c>
      <c r="D2" s="1807"/>
      <c r="E2" s="1807"/>
      <c r="F2" s="1807"/>
      <c r="G2" s="1808"/>
      <c r="H2" s="1809" t="s">
        <v>258</v>
      </c>
      <c r="I2" s="1810"/>
      <c r="J2" s="1810"/>
      <c r="K2" s="1810"/>
      <c r="L2" s="1811"/>
      <c r="M2" s="1812" t="s">
        <v>41</v>
      </c>
      <c r="N2" s="1813"/>
      <c r="O2" s="1813"/>
      <c r="P2" s="1813"/>
      <c r="Q2" s="1814"/>
      <c r="R2" s="1802" t="s">
        <v>40</v>
      </c>
      <c r="S2" s="1803"/>
      <c r="T2" s="1804"/>
      <c r="U2" s="470" t="s">
        <v>285</v>
      </c>
      <c r="V2" s="380"/>
      <c r="W2" s="380"/>
      <c r="X2" s="380"/>
      <c r="Y2" s="380"/>
      <c r="Z2" s="380" t="s">
        <v>286</v>
      </c>
      <c r="AA2" s="380"/>
    </row>
    <row r="3" spans="1:34" s="121" customFormat="1" ht="38.25" customHeight="1" thickBot="1" x14ac:dyDescent="0.25">
      <c r="A3" s="1801"/>
      <c r="B3" s="1801"/>
      <c r="C3" s="502" t="s">
        <v>25</v>
      </c>
      <c r="D3" s="503" t="s">
        <v>24</v>
      </c>
      <c r="E3" s="504" t="s">
        <v>54</v>
      </c>
      <c r="F3" s="505" t="s">
        <v>649</v>
      </c>
      <c r="G3" s="506" t="s">
        <v>21</v>
      </c>
      <c r="H3" s="502" t="s">
        <v>25</v>
      </c>
      <c r="I3" s="503" t="s">
        <v>24</v>
      </c>
      <c r="J3" s="504" t="s">
        <v>54</v>
      </c>
      <c r="K3" s="505" t="s">
        <v>650</v>
      </c>
      <c r="L3" s="506" t="s">
        <v>21</v>
      </c>
      <c r="M3" s="502" t="s">
        <v>25</v>
      </c>
      <c r="N3" s="503" t="s">
        <v>24</v>
      </c>
      <c r="O3" s="504" t="s">
        <v>54</v>
      </c>
      <c r="P3" s="505" t="s">
        <v>650</v>
      </c>
      <c r="Q3" s="507" t="s">
        <v>21</v>
      </c>
      <c r="R3" s="487" t="s">
        <v>26</v>
      </c>
      <c r="S3" s="487" t="s">
        <v>52</v>
      </c>
      <c r="T3" s="508" t="s">
        <v>43</v>
      </c>
      <c r="U3" s="470"/>
      <c r="V3" s="509" t="s">
        <v>25</v>
      </c>
      <c r="W3" s="510" t="s">
        <v>24</v>
      </c>
      <c r="X3" s="511" t="s">
        <v>54</v>
      </c>
      <c r="Y3" s="512" t="s">
        <v>651</v>
      </c>
      <c r="Z3" s="513" t="s">
        <v>21</v>
      </c>
      <c r="AA3" s="23"/>
    </row>
    <row r="4" spans="1:34" s="455" customFormat="1" ht="35.25" customHeight="1" thickTop="1" thickBot="1" x14ac:dyDescent="0.25">
      <c r="A4" s="516" t="s">
        <v>56</v>
      </c>
      <c r="B4" s="516" t="s">
        <v>61</v>
      </c>
      <c r="C4" s="517"/>
      <c r="D4" s="517"/>
      <c r="E4" s="517"/>
      <c r="F4" s="517"/>
      <c r="G4" s="518"/>
      <c r="H4" s="517"/>
      <c r="I4" s="517"/>
      <c r="J4" s="517"/>
      <c r="K4" s="517"/>
      <c r="L4" s="517"/>
      <c r="M4" s="517"/>
      <c r="N4" s="517"/>
      <c r="O4" s="517"/>
      <c r="P4" s="517"/>
      <c r="Q4" s="518"/>
      <c r="R4" s="519"/>
      <c r="S4" s="519"/>
      <c r="T4" s="520"/>
      <c r="U4" s="521"/>
      <c r="V4" s="522"/>
      <c r="W4" s="522"/>
      <c r="X4" s="522"/>
      <c r="Y4" s="522"/>
      <c r="Z4" s="522"/>
      <c r="AA4" s="1518"/>
      <c r="AB4" s="1519"/>
      <c r="AC4" s="1519"/>
      <c r="AD4" s="1519"/>
      <c r="AE4" s="1519"/>
      <c r="AF4" s="1519"/>
      <c r="AG4" s="1519"/>
      <c r="AH4" s="1519"/>
    </row>
    <row r="5" spans="1:34" s="7" customFormat="1" ht="35.25" customHeight="1" thickTop="1" x14ac:dyDescent="0.2">
      <c r="A5" s="21">
        <v>1</v>
      </c>
      <c r="B5" s="514" t="s">
        <v>304</v>
      </c>
      <c r="C5" s="446">
        <f>SUM(REN!BH10)</f>
        <v>2209600</v>
      </c>
      <c r="D5" s="446"/>
      <c r="E5" s="446"/>
      <c r="F5" s="446"/>
      <c r="G5" s="447">
        <f t="shared" ref="G5:G25" si="0">SUM(C5:F5)</f>
        <v>2209600</v>
      </c>
      <c r="H5" s="446">
        <f>SUM(REN!AS10)</f>
        <v>1040000</v>
      </c>
      <c r="I5" s="446"/>
      <c r="J5" s="446"/>
      <c r="K5" s="446"/>
      <c r="L5" s="447">
        <f>SUM(H5:K5)</f>
        <v>1040000</v>
      </c>
      <c r="M5" s="446">
        <f>SUM(REN!BF10)</f>
        <v>77600</v>
      </c>
      <c r="N5" s="446"/>
      <c r="O5" s="446"/>
      <c r="P5" s="446"/>
      <c r="Q5" s="452">
        <f>SUM(M5:P5)</f>
        <v>77600</v>
      </c>
      <c r="R5" s="446">
        <f>SUM(REN!BG10)</f>
        <v>192000</v>
      </c>
      <c r="S5" s="446">
        <f>SUM(T5-R5)</f>
        <v>0</v>
      </c>
      <c r="T5" s="447">
        <f>SUM(G5-L5-Q5)-900000</f>
        <v>192000</v>
      </c>
      <c r="U5" s="497">
        <f>SUM(REN!BJ10)</f>
        <v>1</v>
      </c>
      <c r="V5" s="515">
        <f>SUM(H5+M5)/C5</f>
        <v>0.50579290369297614</v>
      </c>
      <c r="W5" s="515"/>
      <c r="X5" s="515"/>
      <c r="Y5" s="515"/>
      <c r="Z5" s="515">
        <f t="shared" ref="Z5" si="1">SUM(L5+Q5)/G5</f>
        <v>0.50579290369297614</v>
      </c>
      <c r="AA5" s="630"/>
    </row>
    <row r="6" spans="1:34" s="7" customFormat="1" ht="35.25" customHeight="1" x14ac:dyDescent="0.2">
      <c r="A6" s="22">
        <v>2</v>
      </c>
      <c r="B6" s="160" t="s">
        <v>305</v>
      </c>
      <c r="C6" s="443">
        <f>SUM(REN!BH21)</f>
        <v>2209600</v>
      </c>
      <c r="D6" s="443"/>
      <c r="E6" s="443"/>
      <c r="F6" s="443"/>
      <c r="G6" s="444">
        <f t="shared" si="0"/>
        <v>2209600</v>
      </c>
      <c r="H6" s="443">
        <f>SUM(REN!AS21)</f>
        <v>1684600</v>
      </c>
      <c r="I6" s="443"/>
      <c r="J6" s="443"/>
      <c r="K6" s="443"/>
      <c r="L6" s="444">
        <f t="shared" ref="L6:L25" si="2">SUM(H6:K6)</f>
        <v>1684600</v>
      </c>
      <c r="M6" s="443">
        <f>SUM(REN!BF21)</f>
        <v>231200</v>
      </c>
      <c r="N6" s="443"/>
      <c r="O6" s="443"/>
      <c r="P6" s="443"/>
      <c r="Q6" s="445">
        <f t="shared" ref="Q6:Q24" si="3">SUM(M6:P6)</f>
        <v>231200</v>
      </c>
      <c r="R6" s="443">
        <f>SUM(REN!BG21)</f>
        <v>25000</v>
      </c>
      <c r="S6" s="446">
        <f t="shared" ref="S6:S25" si="4">SUM(T6-R6)</f>
        <v>0</v>
      </c>
      <c r="T6" s="447">
        <f>SUM(G6-L6)-500000</f>
        <v>25000</v>
      </c>
      <c r="U6" s="473">
        <f>SUM(REN!BJ21)</f>
        <v>1</v>
      </c>
      <c r="V6" s="448">
        <f t="shared" ref="V6:X64" si="5">SUM(H6+M6)/C6</f>
        <v>0.86703475742215785</v>
      </c>
      <c r="W6" s="448"/>
      <c r="X6" s="448"/>
      <c r="Y6" s="448"/>
      <c r="Z6" s="448">
        <f t="shared" ref="Z6:Z77" si="6">SUM(L6+Q6)/G6</f>
        <v>0.86703475742215785</v>
      </c>
      <c r="AA6" s="912"/>
    </row>
    <row r="7" spans="1:34" s="7" customFormat="1" ht="35.25" customHeight="1" x14ac:dyDescent="0.2">
      <c r="A7" s="21">
        <v>3</v>
      </c>
      <c r="B7" s="161" t="s">
        <v>306</v>
      </c>
      <c r="C7" s="443">
        <f>SUM(REN!BH31)</f>
        <v>1234000</v>
      </c>
      <c r="D7" s="443"/>
      <c r="E7" s="443"/>
      <c r="F7" s="443"/>
      <c r="G7" s="444">
        <f t="shared" si="0"/>
        <v>1234000</v>
      </c>
      <c r="H7" s="443">
        <f>SUM(REN!AS31)</f>
        <v>1119000</v>
      </c>
      <c r="I7" s="443"/>
      <c r="J7" s="443"/>
      <c r="K7" s="443"/>
      <c r="L7" s="444">
        <f t="shared" si="2"/>
        <v>1119000</v>
      </c>
      <c r="M7" s="443">
        <f>SUM(REN!BF31)</f>
        <v>139280</v>
      </c>
      <c r="N7" s="443"/>
      <c r="O7" s="443"/>
      <c r="P7" s="443"/>
      <c r="Q7" s="445">
        <f t="shared" si="3"/>
        <v>139280</v>
      </c>
      <c r="R7" s="443">
        <f>SUM(REN!BG31)</f>
        <v>15000</v>
      </c>
      <c r="S7" s="446">
        <f t="shared" si="4"/>
        <v>0</v>
      </c>
      <c r="T7" s="447">
        <f>SUM(G7-L7)-100000</f>
        <v>15000</v>
      </c>
      <c r="U7" s="473">
        <f>SUM(REN!BJ31)</f>
        <v>1</v>
      </c>
      <c r="V7" s="448">
        <f t="shared" si="5"/>
        <v>1.0196758508914101</v>
      </c>
      <c r="W7" s="448"/>
      <c r="X7" s="448"/>
      <c r="Y7" s="448"/>
      <c r="Z7" s="448">
        <f t="shared" si="6"/>
        <v>1.0196758508914101</v>
      </c>
      <c r="AA7" s="912"/>
    </row>
    <row r="8" spans="1:34" s="7" customFormat="1" ht="35.25" customHeight="1" x14ac:dyDescent="0.2">
      <c r="A8" s="22">
        <v>4</v>
      </c>
      <c r="B8" s="161" t="s">
        <v>307</v>
      </c>
      <c r="C8" s="443">
        <f>SUM(REN!BH41)</f>
        <v>1234000</v>
      </c>
      <c r="D8" s="443"/>
      <c r="E8" s="443"/>
      <c r="F8" s="443"/>
      <c r="G8" s="444">
        <f t="shared" si="0"/>
        <v>1234000</v>
      </c>
      <c r="H8" s="443">
        <f>SUM(REN!AS41)</f>
        <v>1119000</v>
      </c>
      <c r="I8" s="443"/>
      <c r="J8" s="443"/>
      <c r="K8" s="443"/>
      <c r="L8" s="444">
        <f t="shared" si="2"/>
        <v>1119000</v>
      </c>
      <c r="M8" s="443">
        <f>SUM(REN!BF41)</f>
        <v>139280</v>
      </c>
      <c r="N8" s="443"/>
      <c r="O8" s="443"/>
      <c r="P8" s="443"/>
      <c r="Q8" s="445">
        <f t="shared" si="3"/>
        <v>139280</v>
      </c>
      <c r="R8" s="443">
        <f>SUM(REN!BG41)</f>
        <v>15000</v>
      </c>
      <c r="S8" s="446">
        <f t="shared" si="4"/>
        <v>0</v>
      </c>
      <c r="T8" s="447">
        <f>SUM(REN!BI41)</f>
        <v>15000</v>
      </c>
      <c r="U8" s="473">
        <f>SUM(REN!BJ41)</f>
        <v>1</v>
      </c>
      <c r="V8" s="448">
        <f t="shared" si="5"/>
        <v>1.0196758508914101</v>
      </c>
      <c r="W8" s="448"/>
      <c r="X8" s="448"/>
      <c r="Y8" s="448"/>
      <c r="Z8" s="448">
        <f t="shared" si="6"/>
        <v>1.0196758508914101</v>
      </c>
      <c r="AA8" s="912"/>
    </row>
    <row r="9" spans="1:34" s="7" customFormat="1" ht="35.25" customHeight="1" x14ac:dyDescent="0.2">
      <c r="A9" s="21">
        <v>5</v>
      </c>
      <c r="B9" s="161" t="s">
        <v>200</v>
      </c>
      <c r="C9" s="443">
        <f>SUM(REN!BH52)</f>
        <v>2209600</v>
      </c>
      <c r="D9" s="443"/>
      <c r="E9" s="443"/>
      <c r="F9" s="443"/>
      <c r="G9" s="444">
        <f t="shared" si="0"/>
        <v>2209600</v>
      </c>
      <c r="H9" s="443">
        <f>SUM(REN!AS52)</f>
        <v>1740000</v>
      </c>
      <c r="I9" s="443"/>
      <c r="J9" s="443"/>
      <c r="K9" s="443"/>
      <c r="L9" s="444">
        <f t="shared" si="2"/>
        <v>1740000</v>
      </c>
      <c r="M9" s="443">
        <f>SUM(REN!BF52)</f>
        <v>77600</v>
      </c>
      <c r="N9" s="443"/>
      <c r="O9" s="443"/>
      <c r="P9" s="443"/>
      <c r="Q9" s="445">
        <f t="shared" si="3"/>
        <v>77600</v>
      </c>
      <c r="R9" s="443">
        <f>SUM(REN!BG52)</f>
        <v>192000</v>
      </c>
      <c r="S9" s="446">
        <f t="shared" si="4"/>
        <v>0</v>
      </c>
      <c r="T9" s="447">
        <f>SUM(G9-L9-Q9)-200000</f>
        <v>192000</v>
      </c>
      <c r="U9" s="473">
        <f>SUM(REN!BJ52)</f>
        <v>1</v>
      </c>
      <c r="V9" s="448">
        <f t="shared" si="5"/>
        <v>0.82259232440260677</v>
      </c>
      <c r="W9" s="448"/>
      <c r="X9" s="448"/>
      <c r="Y9" s="448"/>
      <c r="Z9" s="448">
        <f t="shared" si="6"/>
        <v>0.82259232440260677</v>
      </c>
      <c r="AA9" s="912"/>
    </row>
    <row r="10" spans="1:34" s="7" customFormat="1" ht="35.25" customHeight="1" x14ac:dyDescent="0.2">
      <c r="A10" s="22">
        <v>6</v>
      </c>
      <c r="B10" s="161" t="s">
        <v>378</v>
      </c>
      <c r="C10" s="443">
        <f>SUM(REN!BH63)</f>
        <v>2209600</v>
      </c>
      <c r="D10" s="443"/>
      <c r="E10" s="443"/>
      <c r="F10" s="443"/>
      <c r="G10" s="444">
        <f t="shared" si="0"/>
        <v>2209600</v>
      </c>
      <c r="H10" s="443">
        <f>SUM(REN!AS63)</f>
        <v>2084600</v>
      </c>
      <c r="I10" s="443"/>
      <c r="J10" s="443"/>
      <c r="K10" s="443"/>
      <c r="L10" s="444">
        <f t="shared" si="2"/>
        <v>2084600</v>
      </c>
      <c r="M10" s="443">
        <f>SUM(REN!BF63)</f>
        <v>255152</v>
      </c>
      <c r="N10" s="443"/>
      <c r="O10" s="443"/>
      <c r="P10" s="443"/>
      <c r="Q10" s="445">
        <f t="shared" si="3"/>
        <v>255152</v>
      </c>
      <c r="R10" s="443">
        <f>SUM(REN!BG63)</f>
        <v>0</v>
      </c>
      <c r="S10" s="446">
        <f t="shared" si="4"/>
        <v>25000</v>
      </c>
      <c r="T10" s="447">
        <f>SUM(REN!BI63)</f>
        <v>25000</v>
      </c>
      <c r="U10" s="473">
        <f>SUM(REN!BJ63)</f>
        <v>1</v>
      </c>
      <c r="V10" s="448">
        <f t="shared" si="5"/>
        <v>1.0589029688631426</v>
      </c>
      <c r="W10" s="448"/>
      <c r="X10" s="448"/>
      <c r="Y10" s="448"/>
      <c r="Z10" s="448">
        <f t="shared" si="6"/>
        <v>1.0589029688631426</v>
      </c>
      <c r="AA10" s="912"/>
    </row>
    <row r="11" spans="1:34" s="7" customFormat="1" ht="35.25" customHeight="1" x14ac:dyDescent="0.2">
      <c r="A11" s="21">
        <v>7</v>
      </c>
      <c r="B11" s="161" t="s">
        <v>308</v>
      </c>
      <c r="C11" s="443">
        <f>SUM(REN!BH74)</f>
        <v>1333800</v>
      </c>
      <c r="D11" s="443"/>
      <c r="E11" s="443"/>
      <c r="F11" s="443"/>
      <c r="G11" s="444">
        <f t="shared" si="0"/>
        <v>1333800</v>
      </c>
      <c r="H11" s="443">
        <f>SUM(REN!AS74)</f>
        <v>1118800</v>
      </c>
      <c r="I11" s="443"/>
      <c r="J11" s="443"/>
      <c r="K11" s="443"/>
      <c r="L11" s="444">
        <f t="shared" si="2"/>
        <v>1118800</v>
      </c>
      <c r="M11" s="443">
        <f>SUM(REN!BF74)</f>
        <v>139280</v>
      </c>
      <c r="N11" s="443"/>
      <c r="O11" s="443"/>
      <c r="P11" s="443"/>
      <c r="Q11" s="445">
        <f t="shared" si="3"/>
        <v>139280</v>
      </c>
      <c r="R11" s="443">
        <f>SUM(REN!BG74)</f>
        <v>15000</v>
      </c>
      <c r="S11" s="446">
        <f t="shared" si="4"/>
        <v>0</v>
      </c>
      <c r="T11" s="447">
        <f>SUM(REN!BI74)</f>
        <v>15000</v>
      </c>
      <c r="U11" s="473">
        <f>SUM(REN!BJ74)</f>
        <v>1</v>
      </c>
      <c r="V11" s="448">
        <f t="shared" si="5"/>
        <v>0.94322986954565902</v>
      </c>
      <c r="W11" s="448"/>
      <c r="X11" s="448"/>
      <c r="Y11" s="448"/>
      <c r="Z11" s="448">
        <f t="shared" si="6"/>
        <v>0.94322986954565902</v>
      </c>
      <c r="AA11" s="912"/>
    </row>
    <row r="12" spans="1:34" s="37" customFormat="1" ht="35.25" customHeight="1" x14ac:dyDescent="0.2">
      <c r="A12" s="22">
        <v>8</v>
      </c>
      <c r="B12" s="161" t="s">
        <v>309</v>
      </c>
      <c r="C12" s="180">
        <f>SUM(REN!BH85)</f>
        <v>0</v>
      </c>
      <c r="D12" s="180"/>
      <c r="E12" s="180"/>
      <c r="F12" s="180"/>
      <c r="G12" s="454">
        <f t="shared" ref="G12" si="7">SUM(C12:F12)</f>
        <v>0</v>
      </c>
      <c r="H12" s="180">
        <f>SUM(REN!AS85)</f>
        <v>0</v>
      </c>
      <c r="I12" s="180"/>
      <c r="J12" s="180"/>
      <c r="K12" s="180"/>
      <c r="L12" s="454">
        <f t="shared" ref="L12" si="8">SUM(H12:K12)</f>
        <v>0</v>
      </c>
      <c r="M12" s="180">
        <f>SUM(REN!BF85)</f>
        <v>0</v>
      </c>
      <c r="N12" s="180"/>
      <c r="O12" s="180"/>
      <c r="P12" s="180"/>
      <c r="Q12" s="454">
        <f t="shared" ref="Q12" si="9">SUM(M12:P12)</f>
        <v>0</v>
      </c>
      <c r="R12" s="180">
        <f>SUM(REN!BG85)</f>
        <v>0</v>
      </c>
      <c r="S12" s="182">
        <f t="shared" ref="S12:S22" si="10">SUM(T12-R12)</f>
        <v>0</v>
      </c>
      <c r="T12" s="181">
        <f t="shared" ref="T12" si="11">SUM(G12-L12-Q12)</f>
        <v>0</v>
      </c>
      <c r="U12" s="473"/>
      <c r="V12" s="448"/>
      <c r="W12" s="448"/>
      <c r="X12" s="448"/>
      <c r="Y12" s="448"/>
      <c r="Z12" s="448" t="e">
        <f t="shared" ref="Z12" si="12">SUM(L12+Q12)/G12</f>
        <v>#DIV/0!</v>
      </c>
      <c r="AA12" s="912"/>
      <c r="AC12" s="7"/>
    </row>
    <row r="13" spans="1:34" s="37" customFormat="1" ht="35.25" customHeight="1" x14ac:dyDescent="0.2">
      <c r="A13" s="21">
        <v>9</v>
      </c>
      <c r="B13" s="161" t="s">
        <v>313</v>
      </c>
      <c r="C13" s="180">
        <f>SUM(REN!BH96)</f>
        <v>1333800</v>
      </c>
      <c r="D13" s="180"/>
      <c r="E13" s="180"/>
      <c r="F13" s="180"/>
      <c r="G13" s="454">
        <f t="shared" ref="G13" si="13">SUM(C13:F13)</f>
        <v>1333800</v>
      </c>
      <c r="H13" s="180">
        <f>SUM(REN!AS96)</f>
        <v>0</v>
      </c>
      <c r="I13" s="180"/>
      <c r="J13" s="180"/>
      <c r="K13" s="180"/>
      <c r="L13" s="454">
        <f t="shared" ref="L13" si="14">SUM(H13:K13)</f>
        <v>0</v>
      </c>
      <c r="M13" s="180">
        <f>SUM(REN!BF96)</f>
        <v>0</v>
      </c>
      <c r="N13" s="180"/>
      <c r="O13" s="180"/>
      <c r="P13" s="180"/>
      <c r="Q13" s="454">
        <f t="shared" ref="Q13" si="15">SUM(M13:P13)</f>
        <v>0</v>
      </c>
      <c r="R13" s="180">
        <f>SUM(REN!BG96)</f>
        <v>0</v>
      </c>
      <c r="S13" s="182">
        <f t="shared" si="10"/>
        <v>1333800</v>
      </c>
      <c r="T13" s="181">
        <f t="shared" ref="T13" si="16">SUM(G13-L13-Q13)</f>
        <v>1333800</v>
      </c>
      <c r="U13" s="473">
        <f>SUM(REN!BJ86)</f>
        <v>0</v>
      </c>
      <c r="V13" s="448">
        <f t="shared" ref="V13:V22" si="17">SUM(H13+M13)/C13</f>
        <v>0</v>
      </c>
      <c r="W13" s="448"/>
      <c r="X13" s="448"/>
      <c r="Y13" s="448"/>
      <c r="Z13" s="448">
        <f t="shared" ref="Z13" si="18">SUM(L13+Q13)/G13</f>
        <v>0</v>
      </c>
      <c r="AA13" s="1525">
        <f>SUM(T13)</f>
        <v>1333800</v>
      </c>
      <c r="AC13" s="7"/>
    </row>
    <row r="14" spans="1:34" s="7" customFormat="1" ht="35.25" customHeight="1" x14ac:dyDescent="0.2">
      <c r="A14" s="22">
        <v>10</v>
      </c>
      <c r="B14" s="161" t="s">
        <v>207</v>
      </c>
      <c r="C14" s="443">
        <f>SUM(REN!BH107)</f>
        <v>1433600</v>
      </c>
      <c r="D14" s="443"/>
      <c r="E14" s="443"/>
      <c r="F14" s="443"/>
      <c r="G14" s="444">
        <f t="shared" ref="G14:G22" si="19">SUM(C14:F14)</f>
        <v>1433600</v>
      </c>
      <c r="H14" s="443">
        <f>SUM(REN!AS107)</f>
        <v>1218600</v>
      </c>
      <c r="I14" s="443"/>
      <c r="J14" s="443"/>
      <c r="K14" s="443"/>
      <c r="L14" s="444">
        <f t="shared" ref="L14:L22" si="20">SUM(H14:K14)</f>
        <v>1218600</v>
      </c>
      <c r="M14" s="443">
        <f>SUM(REN!BF107)</f>
        <v>0</v>
      </c>
      <c r="N14" s="443"/>
      <c r="O14" s="443"/>
      <c r="P14" s="443"/>
      <c r="Q14" s="445">
        <f>SUM(M14:P14)</f>
        <v>0</v>
      </c>
      <c r="R14" s="443">
        <f>SUM(REN!BG107)</f>
        <v>15000</v>
      </c>
      <c r="S14" s="446">
        <f t="shared" si="10"/>
        <v>0</v>
      </c>
      <c r="T14" s="447">
        <f>SUM(G14-L14-Q14)-200000</f>
        <v>15000</v>
      </c>
      <c r="U14" s="473">
        <f>SUM(REN!BJ107)</f>
        <v>1</v>
      </c>
      <c r="V14" s="448">
        <f t="shared" si="17"/>
        <v>0.8500279017857143</v>
      </c>
      <c r="W14" s="448"/>
      <c r="X14" s="448"/>
      <c r="Y14" s="448"/>
      <c r="Z14" s="448">
        <f t="shared" ref="Z14:Z22" si="21">SUM(L14+Q14)/G14</f>
        <v>0.8500279017857143</v>
      </c>
      <c r="AA14" s="912"/>
    </row>
    <row r="15" spans="1:34" s="7" customFormat="1" ht="35.25" customHeight="1" x14ac:dyDescent="0.2">
      <c r="A15" s="21">
        <v>11</v>
      </c>
      <c r="B15" s="160" t="s">
        <v>201</v>
      </c>
      <c r="C15" s="443">
        <f>SUM(REN!BH117)</f>
        <v>3244000</v>
      </c>
      <c r="D15" s="443"/>
      <c r="E15" s="443"/>
      <c r="F15" s="443"/>
      <c r="G15" s="444">
        <f t="shared" si="19"/>
        <v>3244000</v>
      </c>
      <c r="H15" s="443">
        <f>SUM(REN!AS117)</f>
        <v>2640000</v>
      </c>
      <c r="I15" s="443"/>
      <c r="J15" s="443"/>
      <c r="K15" s="443"/>
      <c r="L15" s="444">
        <f t="shared" si="20"/>
        <v>2640000</v>
      </c>
      <c r="M15" s="443">
        <f>SUM(REN!BF117)</f>
        <v>113600</v>
      </c>
      <c r="N15" s="443"/>
      <c r="O15" s="443"/>
      <c r="P15" s="443"/>
      <c r="Q15" s="445">
        <f>SUM(REN!BF117)</f>
        <v>113600</v>
      </c>
      <c r="R15" s="443">
        <f>SUM(REN!BG117)</f>
        <v>290400</v>
      </c>
      <c r="S15" s="446">
        <f t="shared" si="10"/>
        <v>0</v>
      </c>
      <c r="T15" s="447">
        <f>SUM(G15-L15-Q15)-200000</f>
        <v>290400</v>
      </c>
      <c r="U15" s="473">
        <f>SUM(REN!BJ117)</f>
        <v>1</v>
      </c>
      <c r="V15" s="448">
        <f t="shared" si="17"/>
        <v>0.84882860665844639</v>
      </c>
      <c r="W15" s="448"/>
      <c r="X15" s="448"/>
      <c r="Y15" s="448"/>
      <c r="Z15" s="448">
        <f t="shared" si="21"/>
        <v>0.84882860665844639</v>
      </c>
      <c r="AA15" s="912"/>
    </row>
    <row r="16" spans="1:34" s="7" customFormat="1" ht="35.25" customHeight="1" x14ac:dyDescent="0.2">
      <c r="A16" s="22">
        <v>12</v>
      </c>
      <c r="B16" s="160" t="s">
        <v>202</v>
      </c>
      <c r="C16" s="443">
        <f>SUM(REN!BH127)</f>
        <v>4020000</v>
      </c>
      <c r="D16" s="443"/>
      <c r="E16" s="443"/>
      <c r="F16" s="443"/>
      <c r="G16" s="444">
        <f t="shared" si="19"/>
        <v>4020000</v>
      </c>
      <c r="H16" s="443">
        <f>SUM(REN!AS127)</f>
        <v>3315000</v>
      </c>
      <c r="I16" s="443"/>
      <c r="J16" s="443"/>
      <c r="K16" s="443"/>
      <c r="L16" s="444">
        <f t="shared" si="20"/>
        <v>3315000</v>
      </c>
      <c r="M16" s="443">
        <f>SUM(REN!BF127)</f>
        <v>68000</v>
      </c>
      <c r="N16" s="443"/>
      <c r="O16" s="443"/>
      <c r="P16" s="443"/>
      <c r="Q16" s="445">
        <f>SUM(REN!BF127)</f>
        <v>68000</v>
      </c>
      <c r="R16" s="443">
        <f>SUM(REN!BG127)</f>
        <v>265000</v>
      </c>
      <c r="S16" s="446">
        <f t="shared" si="10"/>
        <v>72000</v>
      </c>
      <c r="T16" s="447">
        <f>SUM(REN!BI127)</f>
        <v>337000</v>
      </c>
      <c r="U16" s="473">
        <f>SUM(REN!BJ127)</f>
        <v>1</v>
      </c>
      <c r="V16" s="448">
        <f t="shared" si="17"/>
        <v>0.84154228855721391</v>
      </c>
      <c r="W16" s="448"/>
      <c r="X16" s="448"/>
      <c r="Y16" s="448"/>
      <c r="Z16" s="448">
        <f t="shared" si="21"/>
        <v>0.84154228855721391</v>
      </c>
      <c r="AA16" s="912"/>
    </row>
    <row r="17" spans="1:34" s="7" customFormat="1" ht="35.25" customHeight="1" x14ac:dyDescent="0.2">
      <c r="A17" s="21">
        <v>13</v>
      </c>
      <c r="B17" s="160" t="s">
        <v>203</v>
      </c>
      <c r="C17" s="443">
        <f>SUM(REN!BH138)</f>
        <v>1433600</v>
      </c>
      <c r="D17" s="443"/>
      <c r="E17" s="443"/>
      <c r="F17" s="443"/>
      <c r="G17" s="444">
        <f t="shared" si="19"/>
        <v>1433600</v>
      </c>
      <c r="H17" s="443">
        <f>SUM(REN!AS138)</f>
        <v>960000</v>
      </c>
      <c r="I17" s="443"/>
      <c r="J17" s="443"/>
      <c r="K17" s="443"/>
      <c r="L17" s="444">
        <f t="shared" si="20"/>
        <v>960000</v>
      </c>
      <c r="M17" s="443">
        <f>SUM(REN!BF138)</f>
        <v>50400</v>
      </c>
      <c r="N17" s="443"/>
      <c r="O17" s="443"/>
      <c r="P17" s="443"/>
      <c r="Q17" s="445">
        <f t="shared" ref="Q17:Q22" si="22">SUM(M17:P17)</f>
        <v>50400</v>
      </c>
      <c r="R17" s="443">
        <f>SUM(REN!BG138)</f>
        <v>123200</v>
      </c>
      <c r="S17" s="446">
        <f t="shared" si="10"/>
        <v>0</v>
      </c>
      <c r="T17" s="447">
        <f>SUM(G17-L17-Q17)-300000</f>
        <v>123200</v>
      </c>
      <c r="U17" s="473">
        <f>SUM(REN!BJ138)</f>
        <v>1</v>
      </c>
      <c r="V17" s="448">
        <f t="shared" si="17"/>
        <v>0.7047991071428571</v>
      </c>
      <c r="W17" s="448"/>
      <c r="X17" s="448"/>
      <c r="Y17" s="448"/>
      <c r="Z17" s="448">
        <f t="shared" si="21"/>
        <v>0.7047991071428571</v>
      </c>
      <c r="AA17" s="912"/>
    </row>
    <row r="18" spans="1:34" s="7" customFormat="1" ht="35.25" customHeight="1" x14ac:dyDescent="0.2">
      <c r="A18" s="22">
        <v>14</v>
      </c>
      <c r="B18" s="160" t="s">
        <v>204</v>
      </c>
      <c r="C18" s="443">
        <f>SUM(REN!BH149)</f>
        <v>1433600</v>
      </c>
      <c r="D18" s="443"/>
      <c r="E18" s="443"/>
      <c r="F18" s="443"/>
      <c r="G18" s="444">
        <f t="shared" si="19"/>
        <v>1433600</v>
      </c>
      <c r="H18" s="443">
        <f>SUM(REN!AS149)</f>
        <v>960000</v>
      </c>
      <c r="I18" s="443"/>
      <c r="J18" s="443"/>
      <c r="K18" s="443"/>
      <c r="L18" s="444">
        <f t="shared" si="20"/>
        <v>960000</v>
      </c>
      <c r="M18" s="443">
        <f>SUM(REN!BF149)</f>
        <v>50400</v>
      </c>
      <c r="N18" s="443"/>
      <c r="O18" s="443"/>
      <c r="P18" s="443"/>
      <c r="Q18" s="445">
        <f t="shared" si="22"/>
        <v>50400</v>
      </c>
      <c r="R18" s="443">
        <f>SUM(REN!BG149)</f>
        <v>123200</v>
      </c>
      <c r="S18" s="446">
        <f t="shared" si="10"/>
        <v>0</v>
      </c>
      <c r="T18" s="447">
        <f>SUM(G18-L18-Q18)-300000</f>
        <v>123200</v>
      </c>
      <c r="U18" s="473">
        <f>SUM(REN!BJ149)</f>
        <v>1</v>
      </c>
      <c r="V18" s="448">
        <f t="shared" si="17"/>
        <v>0.7047991071428571</v>
      </c>
      <c r="W18" s="448"/>
      <c r="X18" s="448"/>
      <c r="Y18" s="448"/>
      <c r="Z18" s="448">
        <f t="shared" si="21"/>
        <v>0.7047991071428571</v>
      </c>
      <c r="AA18" s="912"/>
    </row>
    <row r="19" spans="1:34" s="7" customFormat="1" ht="35.25" customHeight="1" x14ac:dyDescent="0.2">
      <c r="A19" s="21">
        <v>15</v>
      </c>
      <c r="B19" s="160" t="s">
        <v>205</v>
      </c>
      <c r="C19" s="443">
        <f>SUM(REN!BH160)</f>
        <v>1433600</v>
      </c>
      <c r="D19" s="443"/>
      <c r="E19" s="443"/>
      <c r="F19" s="443"/>
      <c r="G19" s="444">
        <f t="shared" si="19"/>
        <v>1433600</v>
      </c>
      <c r="H19" s="443">
        <f>SUM(REN!AS160)</f>
        <v>960000</v>
      </c>
      <c r="I19" s="443"/>
      <c r="J19" s="443"/>
      <c r="K19" s="443"/>
      <c r="L19" s="444">
        <f t="shared" si="20"/>
        <v>960000</v>
      </c>
      <c r="M19" s="443">
        <f>SUM(REN!BF160)</f>
        <v>50400</v>
      </c>
      <c r="N19" s="443"/>
      <c r="O19" s="443"/>
      <c r="P19" s="443"/>
      <c r="Q19" s="445">
        <f t="shared" si="22"/>
        <v>50400</v>
      </c>
      <c r="R19" s="443">
        <f>SUM(REN!BG160)</f>
        <v>123200</v>
      </c>
      <c r="S19" s="446">
        <f t="shared" si="10"/>
        <v>0</v>
      </c>
      <c r="T19" s="447">
        <f>SUM(G19-L19-Q19)-300000</f>
        <v>123200</v>
      </c>
      <c r="U19" s="473">
        <f>SUM(REN!BJ160)</f>
        <v>1</v>
      </c>
      <c r="V19" s="448">
        <f t="shared" si="17"/>
        <v>0.7047991071428571</v>
      </c>
      <c r="W19" s="448"/>
      <c r="X19" s="448"/>
      <c r="Y19" s="448"/>
      <c r="Z19" s="448">
        <f t="shared" si="21"/>
        <v>0.7047991071428571</v>
      </c>
      <c r="AA19" s="912"/>
    </row>
    <row r="20" spans="1:34" s="7" customFormat="1" ht="35.25" customHeight="1" x14ac:dyDescent="0.2">
      <c r="A20" s="22">
        <v>16</v>
      </c>
      <c r="B20" s="782" t="s">
        <v>379</v>
      </c>
      <c r="C20" s="449">
        <f>SUM(REN!BH170)</f>
        <v>2529200</v>
      </c>
      <c r="D20" s="449"/>
      <c r="E20" s="449"/>
      <c r="F20" s="449"/>
      <c r="G20" s="450">
        <f t="shared" si="19"/>
        <v>2529200</v>
      </c>
      <c r="H20" s="449">
        <f>SUM(REN!AS170)</f>
        <v>2220000</v>
      </c>
      <c r="I20" s="449"/>
      <c r="J20" s="449"/>
      <c r="K20" s="449"/>
      <c r="L20" s="444">
        <f t="shared" si="20"/>
        <v>2220000</v>
      </c>
      <c r="M20" s="443">
        <f>SUM(REN!BF170)</f>
        <v>88800</v>
      </c>
      <c r="N20" s="449"/>
      <c r="O20" s="449"/>
      <c r="P20" s="449"/>
      <c r="Q20" s="445">
        <f t="shared" si="22"/>
        <v>88800</v>
      </c>
      <c r="R20" s="449">
        <f>SUM(REN!BG170)</f>
        <v>220400</v>
      </c>
      <c r="S20" s="451">
        <f t="shared" si="10"/>
        <v>0</v>
      </c>
      <c r="T20" s="447">
        <f t="shared" ref="T14:T20" si="23">SUM(G20-L20-Q20)</f>
        <v>220400</v>
      </c>
      <c r="U20" s="473">
        <f>SUM(REN!BJ170)</f>
        <v>1</v>
      </c>
      <c r="V20" s="448">
        <f t="shared" si="17"/>
        <v>0.91285782065475252</v>
      </c>
      <c r="W20" s="448"/>
      <c r="X20" s="448"/>
      <c r="Y20" s="448"/>
      <c r="Z20" s="448">
        <f t="shared" si="21"/>
        <v>0.91285782065475252</v>
      </c>
      <c r="AA20" s="912"/>
    </row>
    <row r="21" spans="1:34" s="7" customFormat="1" ht="35.25" customHeight="1" x14ac:dyDescent="0.2">
      <c r="A21" s="21">
        <v>17</v>
      </c>
      <c r="B21" s="160" t="s">
        <v>206</v>
      </c>
      <c r="C21" s="443">
        <f>SUM(REN!BH185)</f>
        <v>11216700</v>
      </c>
      <c r="D21" s="443"/>
      <c r="E21" s="443"/>
      <c r="F21" s="443"/>
      <c r="G21" s="444">
        <f t="shared" si="19"/>
        <v>11216700</v>
      </c>
      <c r="H21" s="443">
        <f>SUM(REN!AS185)</f>
        <v>10194500</v>
      </c>
      <c r="I21" s="443"/>
      <c r="J21" s="443"/>
      <c r="K21" s="443"/>
      <c r="L21" s="444">
        <f t="shared" si="20"/>
        <v>10194500</v>
      </c>
      <c r="M21" s="443">
        <f>SUM(REN!BF185)</f>
        <v>507390</v>
      </c>
      <c r="N21" s="443"/>
      <c r="O21" s="443"/>
      <c r="P21" s="443"/>
      <c r="Q21" s="445">
        <f t="shared" si="22"/>
        <v>507390</v>
      </c>
      <c r="R21" s="443">
        <f>SUM(REN!BG185)</f>
        <v>22200</v>
      </c>
      <c r="S21" s="446">
        <f t="shared" si="10"/>
        <v>0</v>
      </c>
      <c r="T21" s="447">
        <f>SUM(G21-L21)-1000000</f>
        <v>22200</v>
      </c>
      <c r="U21" s="473">
        <f>SUM(REN!BJ185)</f>
        <v>1</v>
      </c>
      <c r="V21" s="448">
        <f t="shared" si="17"/>
        <v>0.95410325675109431</v>
      </c>
      <c r="W21" s="448"/>
      <c r="X21" s="448"/>
      <c r="Y21" s="448"/>
      <c r="Z21" s="448">
        <f t="shared" si="21"/>
        <v>0.95410325675109431</v>
      </c>
      <c r="AA21" s="912"/>
    </row>
    <row r="22" spans="1:34" s="7" customFormat="1" ht="35.25" customHeight="1" x14ac:dyDescent="0.2">
      <c r="A22" s="22">
        <v>18</v>
      </c>
      <c r="B22" s="160" t="s">
        <v>318</v>
      </c>
      <c r="C22" s="443">
        <f>SUM(REN!BH199)</f>
        <v>11216700</v>
      </c>
      <c r="D22" s="443"/>
      <c r="E22" s="443"/>
      <c r="F22" s="443"/>
      <c r="G22" s="444">
        <f t="shared" si="19"/>
        <v>11216700</v>
      </c>
      <c r="H22" s="443">
        <f>SUM(REN!AS199)</f>
        <v>10194500</v>
      </c>
      <c r="I22" s="443"/>
      <c r="J22" s="443"/>
      <c r="K22" s="443"/>
      <c r="L22" s="444">
        <f t="shared" si="20"/>
        <v>10194500</v>
      </c>
      <c r="M22" s="443">
        <f>SUM(REN!BF199)</f>
        <v>507390</v>
      </c>
      <c r="N22" s="443"/>
      <c r="O22" s="443"/>
      <c r="P22" s="443"/>
      <c r="Q22" s="445">
        <f t="shared" si="22"/>
        <v>507390</v>
      </c>
      <c r="R22" s="443">
        <f>SUM(REN!BG199)</f>
        <v>22200</v>
      </c>
      <c r="S22" s="446">
        <f t="shared" si="10"/>
        <v>0</v>
      </c>
      <c r="T22" s="447">
        <f>SUM(G22-L22)-1000000</f>
        <v>22200</v>
      </c>
      <c r="U22" s="473">
        <f>SUM(REN!BJ199)</f>
        <v>1</v>
      </c>
      <c r="V22" s="448">
        <f t="shared" si="17"/>
        <v>0.95410325675109431</v>
      </c>
      <c r="W22" s="448"/>
      <c r="X22" s="448"/>
      <c r="Y22" s="448"/>
      <c r="Z22" s="448">
        <f t="shared" si="21"/>
        <v>0.95410325675109431</v>
      </c>
      <c r="AA22" s="912"/>
    </row>
    <row r="23" spans="1:34" s="7" customFormat="1" ht="35.25" customHeight="1" x14ac:dyDescent="0.2">
      <c r="A23" s="21">
        <v>19</v>
      </c>
      <c r="B23" s="161" t="s">
        <v>380</v>
      </c>
      <c r="C23" s="443">
        <f>SUM(REN!BH208)</f>
        <v>313200</v>
      </c>
      <c r="D23" s="443"/>
      <c r="E23" s="443"/>
      <c r="F23" s="443"/>
      <c r="G23" s="444">
        <f t="shared" si="0"/>
        <v>313200</v>
      </c>
      <c r="H23" s="443">
        <f>SUM(REN!AS208)</f>
        <v>304500</v>
      </c>
      <c r="I23" s="443"/>
      <c r="J23" s="443"/>
      <c r="K23" s="443"/>
      <c r="L23" s="444">
        <f t="shared" si="2"/>
        <v>304500</v>
      </c>
      <c r="M23" s="443">
        <f>SUM(REN!BF208)</f>
        <v>12180</v>
      </c>
      <c r="N23" s="443"/>
      <c r="O23" s="443"/>
      <c r="P23" s="443"/>
      <c r="Q23" s="445">
        <f t="shared" si="3"/>
        <v>12180</v>
      </c>
      <c r="R23" s="443">
        <f>SUM(REN!BG208)</f>
        <v>8700</v>
      </c>
      <c r="S23" s="446">
        <f t="shared" si="4"/>
        <v>0</v>
      </c>
      <c r="T23" s="447">
        <f>SUM(G23-L23)</f>
        <v>8700</v>
      </c>
      <c r="U23" s="473">
        <f>SUM(REN!BJ208)</f>
        <v>1</v>
      </c>
      <c r="V23" s="448">
        <f t="shared" si="5"/>
        <v>1.0111111111111111</v>
      </c>
      <c r="W23" s="448"/>
      <c r="X23" s="448"/>
      <c r="Y23" s="448"/>
      <c r="Z23" s="448">
        <f t="shared" si="6"/>
        <v>1.0111111111111111</v>
      </c>
      <c r="AA23" s="912"/>
    </row>
    <row r="24" spans="1:34" s="7" customFormat="1" ht="35.25" customHeight="1" x14ac:dyDescent="0.2">
      <c r="A24" s="22">
        <v>20</v>
      </c>
      <c r="B24" s="161" t="s">
        <v>381</v>
      </c>
      <c r="C24" s="443">
        <f>SUM(REN!BH217)</f>
        <v>313200</v>
      </c>
      <c r="D24" s="443"/>
      <c r="E24" s="443"/>
      <c r="F24" s="443"/>
      <c r="G24" s="444">
        <f t="shared" si="0"/>
        <v>313200</v>
      </c>
      <c r="H24" s="443">
        <f>SUM(REN!AS217)</f>
        <v>304500</v>
      </c>
      <c r="I24" s="443"/>
      <c r="J24" s="443"/>
      <c r="K24" s="443"/>
      <c r="L24" s="444">
        <f t="shared" si="2"/>
        <v>304500</v>
      </c>
      <c r="M24" s="443">
        <f>SUM(REN!BF217)</f>
        <v>6090</v>
      </c>
      <c r="N24" s="443"/>
      <c r="O24" s="443"/>
      <c r="P24" s="443"/>
      <c r="Q24" s="445">
        <f t="shared" si="3"/>
        <v>6090</v>
      </c>
      <c r="R24" s="443">
        <f>SUM(REN!BG217)</f>
        <v>2610</v>
      </c>
      <c r="S24" s="446">
        <f>SUM(T24-R24)</f>
        <v>6090</v>
      </c>
      <c r="T24" s="447">
        <f>SUM(G24-L24)</f>
        <v>8700</v>
      </c>
      <c r="U24" s="473">
        <f>SUM(REN!BJ217)</f>
        <v>1</v>
      </c>
      <c r="V24" s="448">
        <f t="shared" si="5"/>
        <v>0.9916666666666667</v>
      </c>
      <c r="W24" s="448"/>
      <c r="X24" s="448"/>
      <c r="Y24" s="448"/>
      <c r="Z24" s="448">
        <f t="shared" si="6"/>
        <v>0.9916666666666667</v>
      </c>
      <c r="AA24" s="912"/>
    </row>
    <row r="25" spans="1:34" s="7" customFormat="1" ht="35.25" customHeight="1" x14ac:dyDescent="0.2">
      <c r="A25" s="21">
        <v>21</v>
      </c>
      <c r="B25" s="161" t="s">
        <v>382</v>
      </c>
      <c r="C25" s="443">
        <f>SUM(REN!BH227)</f>
        <v>6694500</v>
      </c>
      <c r="D25" s="443"/>
      <c r="E25" s="443"/>
      <c r="F25" s="443"/>
      <c r="G25" s="444">
        <f t="shared" si="0"/>
        <v>6694500</v>
      </c>
      <c r="H25" s="443">
        <f>SUM(REN!AS227)</f>
        <v>5257058</v>
      </c>
      <c r="I25" s="443"/>
      <c r="J25" s="443"/>
      <c r="K25" s="443"/>
      <c r="L25" s="444">
        <f t="shared" si="2"/>
        <v>5257058</v>
      </c>
      <c r="M25" s="443">
        <f>SUM(REN!BF227)</f>
        <v>176420</v>
      </c>
      <c r="N25" s="443"/>
      <c r="O25" s="443"/>
      <c r="P25" s="443"/>
      <c r="Q25" s="445">
        <f>SUM(REN!BF227)</f>
        <v>176420</v>
      </c>
      <c r="R25" s="443">
        <f>SUM(REN!BG227)</f>
        <v>373600</v>
      </c>
      <c r="S25" s="443">
        <f t="shared" si="4"/>
        <v>3120</v>
      </c>
      <c r="T25" s="444">
        <f>SUM(REN!BI227)</f>
        <v>376720</v>
      </c>
      <c r="U25" s="473">
        <f>SUM(REN!BJ227)</f>
        <v>1.0064242424242424</v>
      </c>
      <c r="V25" s="448">
        <f t="shared" si="5"/>
        <v>0.81163313167525586</v>
      </c>
      <c r="W25" s="448"/>
      <c r="X25" s="448"/>
      <c r="Y25" s="448"/>
      <c r="Z25" s="448">
        <f t="shared" si="6"/>
        <v>0.81163313167525586</v>
      </c>
      <c r="AA25" s="912"/>
    </row>
    <row r="26" spans="1:34" s="7" customFormat="1" ht="35.25" customHeight="1" x14ac:dyDescent="0.2">
      <c r="A26" s="22">
        <v>22</v>
      </c>
      <c r="B26" s="491" t="s">
        <v>319</v>
      </c>
      <c r="C26" s="449"/>
      <c r="D26" s="449"/>
      <c r="E26" s="449">
        <f>SUM(REN!BH236)</f>
        <v>313200</v>
      </c>
      <c r="F26" s="449"/>
      <c r="G26" s="450">
        <f>SUM(C26:F26)</f>
        <v>313200</v>
      </c>
      <c r="H26" s="449"/>
      <c r="I26" s="449"/>
      <c r="J26" s="645">
        <f>SUM(PEMER!AS252)</f>
        <v>0</v>
      </c>
      <c r="K26" s="449"/>
      <c r="L26" s="450">
        <f>SUM(H26:K26)</f>
        <v>0</v>
      </c>
      <c r="M26" s="449"/>
      <c r="N26" s="449"/>
      <c r="O26" s="180">
        <f>SUM(PEMER!BF252)</f>
        <v>0</v>
      </c>
      <c r="P26" s="449"/>
      <c r="Q26" s="492">
        <f>SUM(M26:P26)</f>
        <v>0</v>
      </c>
      <c r="R26" s="449">
        <f>SUM(REN!BG236)</f>
        <v>2610</v>
      </c>
      <c r="S26" s="443">
        <f>SUM(T26-R26)</f>
        <v>6090</v>
      </c>
      <c r="T26" s="444">
        <f>SUM(REN!BI236)</f>
        <v>8700</v>
      </c>
      <c r="U26" s="474">
        <f>SUM(REN!BJ236)</f>
        <v>1</v>
      </c>
      <c r="V26" s="472"/>
      <c r="W26" s="472"/>
      <c r="X26" s="448">
        <f t="shared" si="5"/>
        <v>0</v>
      </c>
      <c r="Y26" s="472"/>
      <c r="Z26" s="472">
        <f>SUM(L26+Q26)/G26</f>
        <v>0</v>
      </c>
      <c r="AA26" s="912"/>
    </row>
    <row r="27" spans="1:34" s="7" customFormat="1" ht="35.25" customHeight="1" thickBot="1" x14ac:dyDescent="0.25">
      <c r="A27" s="21">
        <v>23</v>
      </c>
      <c r="B27" s="491" t="s">
        <v>591</v>
      </c>
      <c r="C27" s="449">
        <f>SUM(REN!BH245)</f>
        <v>5290000</v>
      </c>
      <c r="D27" s="449"/>
      <c r="E27" s="449"/>
      <c r="F27" s="449"/>
      <c r="G27" s="450">
        <f>SUM(C27:F27)</f>
        <v>5290000</v>
      </c>
      <c r="H27" s="443">
        <f>SUM(REN!AS245)</f>
        <v>3915000</v>
      </c>
      <c r="I27" s="449"/>
      <c r="J27" s="645"/>
      <c r="K27" s="449"/>
      <c r="L27" s="450">
        <f>SUM(H27:K27)</f>
        <v>3915000</v>
      </c>
      <c r="M27" s="443">
        <f>SUM(REN!BF245)</f>
        <v>94800</v>
      </c>
      <c r="N27" s="449"/>
      <c r="O27" s="180"/>
      <c r="P27" s="449"/>
      <c r="Q27" s="492">
        <f>SUM(M27:P27)</f>
        <v>94800</v>
      </c>
      <c r="R27" s="449">
        <f>SUM(REN!BG245)</f>
        <v>250200</v>
      </c>
      <c r="S27" s="830">
        <f>SUM(T27-R27)</f>
        <v>1030000</v>
      </c>
      <c r="T27" s="831">
        <f>SUM(G27-L27-Q27)</f>
        <v>1280200</v>
      </c>
      <c r="U27" s="474">
        <f>SUM(REN!BJ245)</f>
        <v>1</v>
      </c>
      <c r="V27" s="448">
        <f t="shared" si="5"/>
        <v>0.7579962192816635</v>
      </c>
      <c r="W27" s="472"/>
      <c r="X27" s="448"/>
      <c r="Y27" s="472"/>
      <c r="Z27" s="472">
        <f>SUM(L27+Q27)/G27</f>
        <v>0.7579962192816635</v>
      </c>
      <c r="AA27" s="912"/>
    </row>
    <row r="28" spans="1:34" s="40" customFormat="1" ht="35.25" customHeight="1" thickTop="1" thickBot="1" x14ac:dyDescent="0.25">
      <c r="A28" s="523"/>
      <c r="B28" s="524" t="s">
        <v>58</v>
      </c>
      <c r="C28" s="525">
        <f>SUM(C5:C27)</f>
        <v>64545900</v>
      </c>
      <c r="D28" s="525">
        <f t="shared" ref="D28:T28" si="24">SUM(D5:D27)</f>
        <v>0</v>
      </c>
      <c r="E28" s="525">
        <f t="shared" si="24"/>
        <v>313200</v>
      </c>
      <c r="F28" s="525">
        <f t="shared" si="24"/>
        <v>0</v>
      </c>
      <c r="G28" s="525">
        <f t="shared" si="24"/>
        <v>64859100</v>
      </c>
      <c r="H28" s="525">
        <f t="shared" si="24"/>
        <v>52349658</v>
      </c>
      <c r="I28" s="525">
        <f t="shared" si="24"/>
        <v>0</v>
      </c>
      <c r="J28" s="525">
        <f t="shared" si="24"/>
        <v>0</v>
      </c>
      <c r="K28" s="525">
        <f t="shared" si="24"/>
        <v>0</v>
      </c>
      <c r="L28" s="525">
        <f t="shared" si="24"/>
        <v>52349658</v>
      </c>
      <c r="M28" s="525">
        <f t="shared" si="24"/>
        <v>2785262</v>
      </c>
      <c r="N28" s="525">
        <f t="shared" si="24"/>
        <v>0</v>
      </c>
      <c r="O28" s="525">
        <f t="shared" si="24"/>
        <v>0</v>
      </c>
      <c r="P28" s="525">
        <f t="shared" si="24"/>
        <v>0</v>
      </c>
      <c r="Q28" s="525">
        <f t="shared" si="24"/>
        <v>2785262</v>
      </c>
      <c r="R28" s="525">
        <f t="shared" si="24"/>
        <v>2296520</v>
      </c>
      <c r="S28" s="525">
        <f t="shared" si="24"/>
        <v>2476100</v>
      </c>
      <c r="T28" s="525">
        <f t="shared" si="24"/>
        <v>4772620</v>
      </c>
      <c r="U28" s="526">
        <f>SUM(U5:U27)/22</f>
        <v>0.95483746556473825</v>
      </c>
      <c r="V28" s="592">
        <f t="shared" si="5"/>
        <v>0.8541970907524723</v>
      </c>
      <c r="W28" s="592"/>
      <c r="X28" s="592"/>
      <c r="Y28" s="592"/>
      <c r="Z28" s="592">
        <f t="shared" si="6"/>
        <v>0.85007223350308592</v>
      </c>
      <c r="AA28" s="913"/>
    </row>
    <row r="29" spans="1:34" s="455" customFormat="1" ht="35.25" customHeight="1" thickTop="1" thickBot="1" x14ac:dyDescent="0.25">
      <c r="A29" s="516" t="s">
        <v>57</v>
      </c>
      <c r="B29" s="516" t="s">
        <v>62</v>
      </c>
      <c r="C29" s="517"/>
      <c r="D29" s="517"/>
      <c r="E29" s="517"/>
      <c r="F29" s="517"/>
      <c r="G29" s="518"/>
      <c r="H29" s="517"/>
      <c r="I29" s="517"/>
      <c r="J29" s="517"/>
      <c r="K29" s="517"/>
      <c r="L29" s="518"/>
      <c r="M29" s="517"/>
      <c r="N29" s="517"/>
      <c r="O29" s="517"/>
      <c r="P29" s="517"/>
      <c r="Q29" s="518"/>
      <c r="R29" s="519"/>
      <c r="S29" s="519"/>
      <c r="T29" s="520"/>
      <c r="U29" s="521"/>
      <c r="V29" s="527"/>
      <c r="W29" s="527"/>
      <c r="X29" s="527"/>
      <c r="Y29" s="527"/>
      <c r="Z29" s="527"/>
      <c r="AA29" s="1520"/>
      <c r="AB29" s="1519"/>
      <c r="AC29" s="1519"/>
      <c r="AD29" s="1519"/>
      <c r="AE29" s="1519"/>
      <c r="AF29" s="1519"/>
      <c r="AG29" s="1519"/>
      <c r="AH29" s="1519"/>
    </row>
    <row r="30" spans="1:34" s="7" customFormat="1" ht="35.25" customHeight="1" thickTop="1" x14ac:dyDescent="0.2">
      <c r="A30" s="21">
        <v>1</v>
      </c>
      <c r="B30" s="783" t="s">
        <v>78</v>
      </c>
      <c r="C30" s="446">
        <f>SUM(KEU!BH7)</f>
        <v>46800000</v>
      </c>
      <c r="D30" s="446"/>
      <c r="E30" s="446"/>
      <c r="F30" s="446"/>
      <c r="G30" s="447">
        <f>SUM(C30:F30)</f>
        <v>46800000</v>
      </c>
      <c r="H30" s="446">
        <f>SUM(KEU!AS7)</f>
        <v>46800000</v>
      </c>
      <c r="I30" s="446"/>
      <c r="J30" s="446"/>
      <c r="K30" s="446"/>
      <c r="L30" s="447">
        <f>SUM(H30:K30)</f>
        <v>46800000</v>
      </c>
      <c r="M30" s="182">
        <f>SUM(KEU!BF7)</f>
        <v>0</v>
      </c>
      <c r="N30" s="446"/>
      <c r="O30" s="446"/>
      <c r="P30" s="446"/>
      <c r="Q30" s="452">
        <f t="shared" ref="Q30:Q45" si="25">SUM(M30:P30)</f>
        <v>0</v>
      </c>
      <c r="R30" s="446">
        <f>SUM(KEU!BG7)</f>
        <v>0</v>
      </c>
      <c r="S30" s="446">
        <f>SUM(T30-R30)</f>
        <v>0</v>
      </c>
      <c r="T30" s="447">
        <f>SUM(G30-L30-Q30)</f>
        <v>0</v>
      </c>
      <c r="U30" s="497">
        <f>SUM(KEU!BJ7)</f>
        <v>1</v>
      </c>
      <c r="V30" s="494">
        <f t="shared" si="5"/>
        <v>1</v>
      </c>
      <c r="W30" s="494"/>
      <c r="X30" s="494"/>
      <c r="Y30" s="494"/>
      <c r="Z30" s="494">
        <f t="shared" si="6"/>
        <v>1</v>
      </c>
      <c r="AA30" s="912"/>
    </row>
    <row r="31" spans="1:34" s="7" customFormat="1" ht="35.25" customHeight="1" x14ac:dyDescent="0.2">
      <c r="A31" s="21">
        <f>A30+1</f>
        <v>2</v>
      </c>
      <c r="B31" s="783" t="s">
        <v>79</v>
      </c>
      <c r="C31" s="446">
        <f>SUM(KEU!BH15)</f>
        <v>12000000</v>
      </c>
      <c r="D31" s="446"/>
      <c r="E31" s="446"/>
      <c r="F31" s="446"/>
      <c r="G31" s="447">
        <f t="shared" ref="G31:G49" si="26">SUM(C31:F31)</f>
        <v>12000000</v>
      </c>
      <c r="H31" s="446">
        <f>SUM(KEU!AS15)</f>
        <v>12000000</v>
      </c>
      <c r="I31" s="446"/>
      <c r="J31" s="446"/>
      <c r="K31" s="446"/>
      <c r="L31" s="444">
        <f t="shared" ref="L31:L49" si="27">SUM(H31:K31)</f>
        <v>12000000</v>
      </c>
      <c r="M31" s="182">
        <f>SUM(KEU!BF15)</f>
        <v>0</v>
      </c>
      <c r="N31" s="446"/>
      <c r="O31" s="446"/>
      <c r="P31" s="446"/>
      <c r="Q31" s="445">
        <f t="shared" si="25"/>
        <v>0</v>
      </c>
      <c r="R31" s="446">
        <f>SUM(KEU!BG15)</f>
        <v>0</v>
      </c>
      <c r="S31" s="446">
        <f t="shared" ref="S31:S49" si="28">SUM(T31-R31)</f>
        <v>0</v>
      </c>
      <c r="T31" s="447">
        <f t="shared" ref="T31:T49" si="29">SUM(G31-L31-Q31)</f>
        <v>0</v>
      </c>
      <c r="U31" s="473">
        <f>SUM(KEU!BJ15)</f>
        <v>1</v>
      </c>
      <c r="V31" s="448">
        <f t="shared" si="5"/>
        <v>1</v>
      </c>
      <c r="W31" s="448"/>
      <c r="X31" s="448"/>
      <c r="Y31" s="448"/>
      <c r="Z31" s="448">
        <f t="shared" si="6"/>
        <v>1</v>
      </c>
      <c r="AA31" s="912"/>
    </row>
    <row r="32" spans="1:34" s="7" customFormat="1" ht="35.25" customHeight="1" x14ac:dyDescent="0.2">
      <c r="A32" s="21">
        <f t="shared" ref="A32:A49" si="30">A31+1</f>
        <v>3</v>
      </c>
      <c r="B32" s="783" t="s">
        <v>322</v>
      </c>
      <c r="C32" s="446">
        <f>SUM(KEU!BH23)</f>
        <v>3900000</v>
      </c>
      <c r="D32" s="446"/>
      <c r="E32" s="446"/>
      <c r="F32" s="446"/>
      <c r="G32" s="447">
        <f t="shared" ref="G32" si="31">SUM(C32:F32)</f>
        <v>3900000</v>
      </c>
      <c r="H32" s="446">
        <f>SUM(KEU!AS23)</f>
        <v>3900000</v>
      </c>
      <c r="I32" s="446"/>
      <c r="J32" s="446"/>
      <c r="K32" s="446"/>
      <c r="L32" s="444">
        <f t="shared" ref="L32" si="32">SUM(H32:K32)</f>
        <v>3900000</v>
      </c>
      <c r="M32" s="182">
        <f>SUM(KEU!BF23)</f>
        <v>0</v>
      </c>
      <c r="N32" s="446"/>
      <c r="O32" s="446"/>
      <c r="P32" s="446"/>
      <c r="Q32" s="445">
        <f t="shared" ref="Q32" si="33">SUM(M32:P32)</f>
        <v>0</v>
      </c>
      <c r="R32" s="446">
        <f>SUM(KEU!BG16)</f>
        <v>0</v>
      </c>
      <c r="S32" s="446">
        <f t="shared" ref="S32" si="34">SUM(T32-R32)</f>
        <v>0</v>
      </c>
      <c r="T32" s="447">
        <f t="shared" ref="T32" si="35">SUM(G32-L32-Q32)</f>
        <v>0</v>
      </c>
      <c r="U32" s="473">
        <f>SUM(KEU!BJ23)</f>
        <v>1</v>
      </c>
      <c r="V32" s="448">
        <f t="shared" ref="V32" si="36">SUM(H32+M32)/C32</f>
        <v>1</v>
      </c>
      <c r="W32" s="448"/>
      <c r="X32" s="448"/>
      <c r="Y32" s="448"/>
      <c r="Z32" s="448">
        <f t="shared" ref="Z32" si="37">SUM(L32+Q32)/G32</f>
        <v>1</v>
      </c>
      <c r="AA32" s="912"/>
    </row>
    <row r="33" spans="1:27" s="7" customFormat="1" ht="35.25" customHeight="1" x14ac:dyDescent="0.2">
      <c r="A33" s="21">
        <f t="shared" si="30"/>
        <v>4</v>
      </c>
      <c r="B33" s="783" t="s">
        <v>80</v>
      </c>
      <c r="C33" s="446">
        <f>SUM(KEU!BH31)</f>
        <v>34800000</v>
      </c>
      <c r="D33" s="446"/>
      <c r="E33" s="446"/>
      <c r="F33" s="446"/>
      <c r="G33" s="447">
        <f t="shared" si="26"/>
        <v>34800000</v>
      </c>
      <c r="H33" s="446">
        <f>SUM(KEU!AS31)</f>
        <v>34800000</v>
      </c>
      <c r="I33" s="446"/>
      <c r="J33" s="446"/>
      <c r="K33" s="446"/>
      <c r="L33" s="444">
        <f t="shared" si="27"/>
        <v>34800000</v>
      </c>
      <c r="M33" s="182">
        <f>SUM(KEU!BF31)</f>
        <v>0</v>
      </c>
      <c r="N33" s="446"/>
      <c r="O33" s="446"/>
      <c r="P33" s="446"/>
      <c r="Q33" s="445">
        <f t="shared" si="25"/>
        <v>0</v>
      </c>
      <c r="R33" s="446">
        <f>SUM(KEU!BG31)</f>
        <v>0</v>
      </c>
      <c r="S33" s="446">
        <f t="shared" si="28"/>
        <v>0</v>
      </c>
      <c r="T33" s="447">
        <f t="shared" si="29"/>
        <v>0</v>
      </c>
      <c r="U33" s="473">
        <f>SUM(KEU!BJ31)</f>
        <v>1</v>
      </c>
      <c r="V33" s="448">
        <f t="shared" si="5"/>
        <v>1</v>
      </c>
      <c r="W33" s="448"/>
      <c r="X33" s="448"/>
      <c r="Y33" s="448"/>
      <c r="Z33" s="448">
        <f t="shared" si="6"/>
        <v>1</v>
      </c>
      <c r="AA33" s="912"/>
    </row>
    <row r="34" spans="1:27" s="7" customFormat="1" ht="35.25" customHeight="1" x14ac:dyDescent="0.2">
      <c r="A34" s="21">
        <f t="shared" si="30"/>
        <v>5</v>
      </c>
      <c r="B34" s="783" t="s">
        <v>82</v>
      </c>
      <c r="C34" s="446">
        <f>SUM(KEU!BH39)</f>
        <v>165600000</v>
      </c>
      <c r="D34" s="446"/>
      <c r="E34" s="446"/>
      <c r="F34" s="446"/>
      <c r="G34" s="447">
        <f>SUM(C34:F34)</f>
        <v>165600000</v>
      </c>
      <c r="H34" s="446">
        <f>SUM(KEU!AS39)</f>
        <v>138000000</v>
      </c>
      <c r="I34" s="446"/>
      <c r="J34" s="446"/>
      <c r="K34" s="446"/>
      <c r="L34" s="444">
        <f>SUM(H34:K34)</f>
        <v>138000000</v>
      </c>
      <c r="M34" s="182">
        <f>SUM(KEU!BF39)</f>
        <v>0</v>
      </c>
      <c r="N34" s="446"/>
      <c r="O34" s="446"/>
      <c r="P34" s="446"/>
      <c r="Q34" s="445">
        <f>SUM(M34:P34)</f>
        <v>0</v>
      </c>
      <c r="R34" s="446">
        <f>SUM(KEU!BG39)</f>
        <v>0</v>
      </c>
      <c r="S34" s="446">
        <f>SUM(T34-R34)</f>
        <v>27600000</v>
      </c>
      <c r="T34" s="447">
        <f>SUM(G34-L34-Q34)</f>
        <v>27600000</v>
      </c>
      <c r="U34" s="473">
        <f>SUM(KEU!BJ39)</f>
        <v>1</v>
      </c>
      <c r="V34" s="448">
        <f>SUM(H34+M34)/C34</f>
        <v>0.83333333333333337</v>
      </c>
      <c r="W34" s="448"/>
      <c r="X34" s="448"/>
      <c r="Y34" s="448"/>
      <c r="Z34" s="448">
        <f>SUM(L34+Q34)/G34</f>
        <v>0.83333333333333337</v>
      </c>
      <c r="AA34" s="912"/>
    </row>
    <row r="35" spans="1:27" s="7" customFormat="1" ht="35.25" customHeight="1" x14ac:dyDescent="0.2">
      <c r="A35" s="21">
        <f t="shared" si="30"/>
        <v>6</v>
      </c>
      <c r="B35" s="783" t="s">
        <v>84</v>
      </c>
      <c r="C35" s="446">
        <f>SUM(KEU!BH47)</f>
        <v>102480000</v>
      </c>
      <c r="D35" s="446"/>
      <c r="E35" s="446"/>
      <c r="F35" s="446"/>
      <c r="G35" s="447">
        <f>SUM(C35:F35)</f>
        <v>102480000</v>
      </c>
      <c r="H35" s="446">
        <f>SUM(KEU!AS47)</f>
        <v>51240000</v>
      </c>
      <c r="I35" s="446"/>
      <c r="J35" s="446"/>
      <c r="K35" s="446"/>
      <c r="L35" s="444">
        <f>SUM(H35:K35)</f>
        <v>51240000</v>
      </c>
      <c r="M35" s="182">
        <f>SUM(KEU!BF47)</f>
        <v>0</v>
      </c>
      <c r="N35" s="446"/>
      <c r="O35" s="446"/>
      <c r="P35" s="446"/>
      <c r="Q35" s="445">
        <f>SUM(M35:P35)</f>
        <v>0</v>
      </c>
      <c r="R35" s="446">
        <f>SUM(KEU!BG47)</f>
        <v>0</v>
      </c>
      <c r="S35" s="446">
        <f>SUM(T35-R35)</f>
        <v>51240000</v>
      </c>
      <c r="T35" s="447">
        <f>SUM(G35-L35-Q35)</f>
        <v>51240000</v>
      </c>
      <c r="U35" s="473">
        <f>SUM(KEU!BJ47)</f>
        <v>1</v>
      </c>
      <c r="V35" s="448">
        <f>SUM(H35+M35)/C35</f>
        <v>0.5</v>
      </c>
      <c r="W35" s="448"/>
      <c r="X35" s="448"/>
      <c r="Y35" s="448"/>
      <c r="Z35" s="448">
        <f>SUM(L35+Q35)/G35</f>
        <v>0.5</v>
      </c>
      <c r="AA35" s="912"/>
    </row>
    <row r="36" spans="1:27" s="7" customFormat="1" ht="35.25" customHeight="1" x14ac:dyDescent="0.2">
      <c r="A36" s="21">
        <f t="shared" si="30"/>
        <v>7</v>
      </c>
      <c r="B36" s="783" t="s">
        <v>81</v>
      </c>
      <c r="C36" s="446">
        <f>SUM(KEU!BH55)</f>
        <v>8400000</v>
      </c>
      <c r="D36" s="446"/>
      <c r="E36" s="446"/>
      <c r="F36" s="446"/>
      <c r="G36" s="447">
        <f t="shared" si="26"/>
        <v>8400000</v>
      </c>
      <c r="H36" s="446">
        <f>SUM(KEU!AS55)</f>
        <v>8400000</v>
      </c>
      <c r="I36" s="446"/>
      <c r="J36" s="446"/>
      <c r="K36" s="446"/>
      <c r="L36" s="444">
        <f t="shared" si="27"/>
        <v>8400000</v>
      </c>
      <c r="M36" s="182">
        <f>SUM(KEU!BF55)</f>
        <v>0</v>
      </c>
      <c r="N36" s="446"/>
      <c r="O36" s="446"/>
      <c r="P36" s="446"/>
      <c r="Q36" s="445">
        <f t="shared" si="25"/>
        <v>0</v>
      </c>
      <c r="R36" s="446">
        <f>SUM(KEU!BG55)</f>
        <v>0</v>
      </c>
      <c r="S36" s="446">
        <f t="shared" si="28"/>
        <v>0</v>
      </c>
      <c r="T36" s="447">
        <f t="shared" si="29"/>
        <v>0</v>
      </c>
      <c r="U36" s="473">
        <f>SUM(KEU!BJ55)</f>
        <v>1</v>
      </c>
      <c r="V36" s="448">
        <f t="shared" si="5"/>
        <v>1</v>
      </c>
      <c r="W36" s="448"/>
      <c r="X36" s="448"/>
      <c r="Y36" s="448"/>
      <c r="Z36" s="448">
        <f t="shared" si="6"/>
        <v>1</v>
      </c>
      <c r="AA36" s="912"/>
    </row>
    <row r="37" spans="1:27" s="7" customFormat="1" ht="35.25" customHeight="1" x14ac:dyDescent="0.2">
      <c r="A37" s="21">
        <f t="shared" si="30"/>
        <v>8</v>
      </c>
      <c r="B37" s="783" t="s">
        <v>83</v>
      </c>
      <c r="C37" s="446">
        <f>SUM(KEU!BH63)</f>
        <v>43200000</v>
      </c>
      <c r="D37" s="446"/>
      <c r="E37" s="446"/>
      <c r="F37" s="446"/>
      <c r="G37" s="447">
        <f t="shared" si="26"/>
        <v>43200000</v>
      </c>
      <c r="H37" s="446">
        <f>SUM(KEU!AS63)</f>
        <v>36000000</v>
      </c>
      <c r="I37" s="446"/>
      <c r="J37" s="446"/>
      <c r="K37" s="446"/>
      <c r="L37" s="444">
        <f t="shared" si="27"/>
        <v>36000000</v>
      </c>
      <c r="M37" s="182">
        <f>SUM(KEU!BF63)</f>
        <v>0</v>
      </c>
      <c r="N37" s="446"/>
      <c r="O37" s="446"/>
      <c r="P37" s="446"/>
      <c r="Q37" s="445">
        <f t="shared" si="25"/>
        <v>0</v>
      </c>
      <c r="R37" s="446">
        <f>SUM(KEU!BG63)</f>
        <v>0</v>
      </c>
      <c r="S37" s="446">
        <f t="shared" si="28"/>
        <v>7200000</v>
      </c>
      <c r="T37" s="447">
        <f t="shared" si="29"/>
        <v>7200000</v>
      </c>
      <c r="U37" s="473">
        <f>SUM(KEU!BJ63)</f>
        <v>1</v>
      </c>
      <c r="V37" s="448">
        <f t="shared" si="5"/>
        <v>0.83333333333333337</v>
      </c>
      <c r="W37" s="448"/>
      <c r="X37" s="448"/>
      <c r="Y37" s="448"/>
      <c r="Z37" s="448">
        <f t="shared" si="6"/>
        <v>0.83333333333333337</v>
      </c>
      <c r="AA37" s="912"/>
    </row>
    <row r="38" spans="1:27" s="7" customFormat="1" ht="35.25" customHeight="1" x14ac:dyDescent="0.2">
      <c r="A38" s="21">
        <f t="shared" si="30"/>
        <v>9</v>
      </c>
      <c r="B38" s="783" t="s">
        <v>85</v>
      </c>
      <c r="C38" s="446">
        <f>SUM(KEU!BH71)</f>
        <v>24000000</v>
      </c>
      <c r="D38" s="446"/>
      <c r="E38" s="446"/>
      <c r="F38" s="446"/>
      <c r="G38" s="447">
        <f t="shared" ref="G38:G48" si="38">SUM(C38:F38)</f>
        <v>24000000</v>
      </c>
      <c r="H38" s="446">
        <f>SUM(KEU!AS71)</f>
        <v>12000000</v>
      </c>
      <c r="I38" s="446"/>
      <c r="J38" s="446"/>
      <c r="K38" s="446"/>
      <c r="L38" s="444">
        <f t="shared" si="27"/>
        <v>12000000</v>
      </c>
      <c r="M38" s="182">
        <f>SUM(KEU!BF71)</f>
        <v>0</v>
      </c>
      <c r="N38" s="446"/>
      <c r="O38" s="446"/>
      <c r="P38" s="446"/>
      <c r="Q38" s="445">
        <f t="shared" si="25"/>
        <v>0</v>
      </c>
      <c r="R38" s="446">
        <f>SUM(KEU!BG71)</f>
        <v>0</v>
      </c>
      <c r="S38" s="446">
        <f t="shared" si="28"/>
        <v>12000000</v>
      </c>
      <c r="T38" s="447">
        <f t="shared" ref="T38:T48" si="39">SUM(G38-L38-Q38)</f>
        <v>12000000</v>
      </c>
      <c r="U38" s="473">
        <f>SUM(KEU!BJ71)</f>
        <v>1</v>
      </c>
      <c r="V38" s="448">
        <f t="shared" si="5"/>
        <v>0.5</v>
      </c>
      <c r="W38" s="448"/>
      <c r="X38" s="448"/>
      <c r="Y38" s="448"/>
      <c r="Z38" s="448">
        <f t="shared" si="6"/>
        <v>0.5</v>
      </c>
      <c r="AA38" s="912"/>
    </row>
    <row r="39" spans="1:27" s="7" customFormat="1" ht="35.25" customHeight="1" x14ac:dyDescent="0.2">
      <c r="A39" s="21">
        <f t="shared" si="30"/>
        <v>10</v>
      </c>
      <c r="B39" s="783" t="s">
        <v>325</v>
      </c>
      <c r="C39" s="446">
        <f>SUM(KEU!BH79)</f>
        <v>2900000</v>
      </c>
      <c r="D39" s="446"/>
      <c r="E39" s="446"/>
      <c r="F39" s="446"/>
      <c r="G39" s="447">
        <f t="shared" ref="G39" si="40">SUM(C39:F39)</f>
        <v>2900000</v>
      </c>
      <c r="H39" s="446">
        <f>SUM(KEU!AS79)</f>
        <v>2900000</v>
      </c>
      <c r="I39" s="446"/>
      <c r="J39" s="446"/>
      <c r="K39" s="446"/>
      <c r="L39" s="444">
        <f t="shared" ref="L39" si="41">SUM(H39:K39)</f>
        <v>2900000</v>
      </c>
      <c r="M39" s="182">
        <f>SUM(KEU!B79)</f>
        <v>0</v>
      </c>
      <c r="N39" s="446"/>
      <c r="O39" s="446"/>
      <c r="P39" s="446"/>
      <c r="Q39" s="445">
        <f t="shared" ref="Q39" si="42">SUM(M39:P39)</f>
        <v>0</v>
      </c>
      <c r="R39" s="446">
        <f>SUM(KEU!BG23)</f>
        <v>0</v>
      </c>
      <c r="S39" s="446">
        <f t="shared" ref="S39" si="43">SUM(T39-R39)</f>
        <v>0</v>
      </c>
      <c r="T39" s="447">
        <f t="shared" si="39"/>
        <v>0</v>
      </c>
      <c r="U39" s="473">
        <f>SUM(KEU!BJ23)</f>
        <v>1</v>
      </c>
      <c r="V39" s="448">
        <f t="shared" ref="V39" si="44">SUM(H39+M39)/C39</f>
        <v>1</v>
      </c>
      <c r="W39" s="448"/>
      <c r="X39" s="448"/>
      <c r="Y39" s="448"/>
      <c r="Z39" s="448">
        <f t="shared" ref="Z39" si="45">SUM(L39+Q39)/G39</f>
        <v>1</v>
      </c>
      <c r="AA39" s="912"/>
    </row>
    <row r="40" spans="1:27" s="7" customFormat="1" ht="35.25" customHeight="1" x14ac:dyDescent="0.2">
      <c r="A40" s="21">
        <f t="shared" si="30"/>
        <v>11</v>
      </c>
      <c r="B40" s="783" t="s">
        <v>324</v>
      </c>
      <c r="C40" s="446">
        <f>SUM(KEU!BH87)</f>
        <v>13800000</v>
      </c>
      <c r="D40" s="446"/>
      <c r="E40" s="446"/>
      <c r="F40" s="446"/>
      <c r="G40" s="447">
        <f t="shared" ref="G40" si="46">SUM(C40:F40)</f>
        <v>13800000</v>
      </c>
      <c r="H40" s="446">
        <f>SUM(KEU!AS87)</f>
        <v>11500000</v>
      </c>
      <c r="I40" s="446"/>
      <c r="J40" s="446"/>
      <c r="K40" s="446"/>
      <c r="L40" s="444">
        <f t="shared" ref="L40" si="47">SUM(H40:K40)</f>
        <v>11500000</v>
      </c>
      <c r="M40" s="182">
        <f>SUM(KEU!BF87)</f>
        <v>0</v>
      </c>
      <c r="N40" s="446"/>
      <c r="O40" s="446"/>
      <c r="P40" s="446"/>
      <c r="Q40" s="445">
        <f t="shared" ref="Q40" si="48">SUM(M40:P40)</f>
        <v>0</v>
      </c>
      <c r="R40" s="446">
        <f>SUM(KEU!BG24)</f>
        <v>0</v>
      </c>
      <c r="S40" s="446">
        <f t="shared" ref="S40" si="49">SUM(T40-R40)</f>
        <v>2300000</v>
      </c>
      <c r="T40" s="447">
        <f t="shared" ref="T40" si="50">SUM(G40-L40-Q40)</f>
        <v>2300000</v>
      </c>
      <c r="U40" s="473">
        <f>SUM(KEU!BJ87)</f>
        <v>1</v>
      </c>
      <c r="V40" s="448">
        <f t="shared" ref="V40" si="51">SUM(H40+M40)/C40</f>
        <v>0.83333333333333337</v>
      </c>
      <c r="W40" s="448"/>
      <c r="X40" s="448"/>
      <c r="Y40" s="448"/>
      <c r="Z40" s="448">
        <f t="shared" ref="Z40" si="52">SUM(L40+Q40)/G40</f>
        <v>0.83333333333333337</v>
      </c>
      <c r="AA40" s="912"/>
    </row>
    <row r="41" spans="1:27" s="7" customFormat="1" ht="35.25" customHeight="1" x14ac:dyDescent="0.2">
      <c r="A41" s="21">
        <f t="shared" si="30"/>
        <v>12</v>
      </c>
      <c r="B41" s="783" t="s">
        <v>328</v>
      </c>
      <c r="C41" s="446">
        <f>SUM(KEU!BH95)</f>
        <v>8540000</v>
      </c>
      <c r="D41" s="446"/>
      <c r="E41" s="446"/>
      <c r="F41" s="446"/>
      <c r="G41" s="447">
        <f t="shared" ref="G41" si="53">SUM(C41:F41)</f>
        <v>8540000</v>
      </c>
      <c r="H41" s="446">
        <f>SUM(KEU!AS95)</f>
        <v>4270000</v>
      </c>
      <c r="I41" s="446"/>
      <c r="J41" s="446"/>
      <c r="K41" s="446"/>
      <c r="L41" s="444">
        <f t="shared" ref="L41" si="54">SUM(H41:K41)</f>
        <v>4270000</v>
      </c>
      <c r="M41" s="182">
        <f>SUM(KEU!BF95)</f>
        <v>0</v>
      </c>
      <c r="N41" s="446"/>
      <c r="O41" s="446"/>
      <c r="P41" s="446"/>
      <c r="Q41" s="445">
        <f t="shared" ref="Q41" si="55">SUM(M41:P41)</f>
        <v>0</v>
      </c>
      <c r="R41" s="446">
        <f>SUM(KEU!BG25)</f>
        <v>0</v>
      </c>
      <c r="S41" s="446">
        <f t="shared" ref="S41" si="56">SUM(T41-R41)</f>
        <v>4270000</v>
      </c>
      <c r="T41" s="447">
        <f t="shared" ref="T41" si="57">SUM(G41-L41-Q41)</f>
        <v>4270000</v>
      </c>
      <c r="U41" s="473">
        <f>SUM(KEU!BJ95)</f>
        <v>1</v>
      </c>
      <c r="V41" s="448">
        <f t="shared" ref="V41" si="58">SUM(H41+M41)/C41</f>
        <v>0.5</v>
      </c>
      <c r="W41" s="448"/>
      <c r="X41" s="448"/>
      <c r="Y41" s="448"/>
      <c r="Z41" s="448">
        <f t="shared" ref="Z41" si="59">SUM(L41+Q41)/G41</f>
        <v>0.5</v>
      </c>
      <c r="AA41" s="912"/>
    </row>
    <row r="42" spans="1:27" s="7" customFormat="1" ht="35.25" customHeight="1" x14ac:dyDescent="0.2">
      <c r="A42" s="21">
        <f t="shared" si="30"/>
        <v>13</v>
      </c>
      <c r="B42" s="783" t="s">
        <v>330</v>
      </c>
      <c r="C42" s="446">
        <f>SUM(KEU!BH103)</f>
        <v>21600000</v>
      </c>
      <c r="D42" s="446"/>
      <c r="E42" s="446"/>
      <c r="F42" s="446"/>
      <c r="G42" s="447">
        <f t="shared" si="38"/>
        <v>21600000</v>
      </c>
      <c r="H42" s="446">
        <f>SUM(KEU!AS103)</f>
        <v>21600000</v>
      </c>
      <c r="I42" s="446"/>
      <c r="J42" s="446"/>
      <c r="K42" s="446"/>
      <c r="L42" s="444">
        <f t="shared" si="27"/>
        <v>21600000</v>
      </c>
      <c r="M42" s="182">
        <f>SUM(KEU!BF103)</f>
        <v>0</v>
      </c>
      <c r="N42" s="446"/>
      <c r="O42" s="446"/>
      <c r="P42" s="446"/>
      <c r="Q42" s="445">
        <f t="shared" si="25"/>
        <v>0</v>
      </c>
      <c r="R42" s="446"/>
      <c r="S42" s="446">
        <f t="shared" si="28"/>
        <v>0</v>
      </c>
      <c r="T42" s="447">
        <f t="shared" si="39"/>
        <v>0</v>
      </c>
      <c r="U42" s="473">
        <f>SUM(KEU!BJ103)</f>
        <v>1</v>
      </c>
      <c r="V42" s="448">
        <f t="shared" si="5"/>
        <v>1</v>
      </c>
      <c r="W42" s="448"/>
      <c r="X42" s="448"/>
      <c r="Y42" s="448"/>
      <c r="Z42" s="448">
        <f t="shared" si="6"/>
        <v>1</v>
      </c>
      <c r="AA42" s="912"/>
    </row>
    <row r="43" spans="1:27" s="7" customFormat="1" ht="35.25" customHeight="1" x14ac:dyDescent="0.2">
      <c r="A43" s="21">
        <f t="shared" si="30"/>
        <v>14</v>
      </c>
      <c r="B43" s="783" t="s">
        <v>333</v>
      </c>
      <c r="C43" s="446">
        <f>SUM(KEU!BH111)</f>
        <v>18600000</v>
      </c>
      <c r="D43" s="446"/>
      <c r="E43" s="446"/>
      <c r="F43" s="446"/>
      <c r="G43" s="447">
        <f t="shared" si="38"/>
        <v>18600000</v>
      </c>
      <c r="H43" s="446">
        <f>SUM(KEU!AS111)</f>
        <v>18600000</v>
      </c>
      <c r="I43" s="446"/>
      <c r="J43" s="446"/>
      <c r="K43" s="446"/>
      <c r="L43" s="444">
        <f t="shared" si="27"/>
        <v>18600000</v>
      </c>
      <c r="M43" s="182">
        <f>SUM(KEU!BF111)</f>
        <v>0</v>
      </c>
      <c r="N43" s="446"/>
      <c r="O43" s="446"/>
      <c r="P43" s="446"/>
      <c r="Q43" s="445">
        <f t="shared" si="25"/>
        <v>0</v>
      </c>
      <c r="R43" s="446"/>
      <c r="S43" s="446">
        <f t="shared" si="28"/>
        <v>0</v>
      </c>
      <c r="T43" s="447">
        <f t="shared" si="39"/>
        <v>0</v>
      </c>
      <c r="U43" s="473">
        <f>SUM(KEU!BJ111)</f>
        <v>1</v>
      </c>
      <c r="V43" s="448">
        <f t="shared" si="5"/>
        <v>1</v>
      </c>
      <c r="W43" s="448"/>
      <c r="X43" s="448"/>
      <c r="Y43" s="448"/>
      <c r="Z43" s="448">
        <f t="shared" si="6"/>
        <v>1</v>
      </c>
      <c r="AA43" s="912"/>
    </row>
    <row r="44" spans="1:27" s="7" customFormat="1" ht="35.25" customHeight="1" x14ac:dyDescent="0.2">
      <c r="A44" s="21">
        <f t="shared" si="30"/>
        <v>15</v>
      </c>
      <c r="B44" s="783" t="s">
        <v>336</v>
      </c>
      <c r="C44" s="446">
        <f>SUM(KEU!BH119)</f>
        <v>16800000</v>
      </c>
      <c r="D44" s="446"/>
      <c r="E44" s="446"/>
      <c r="F44" s="446"/>
      <c r="G44" s="447">
        <f t="shared" si="38"/>
        <v>16800000</v>
      </c>
      <c r="H44" s="446">
        <f>SUM(KEU!AS119)</f>
        <v>16800000</v>
      </c>
      <c r="I44" s="446"/>
      <c r="J44" s="446"/>
      <c r="K44" s="446"/>
      <c r="L44" s="444">
        <f t="shared" si="27"/>
        <v>16800000</v>
      </c>
      <c r="M44" s="182">
        <f>SUM(KEU!BF119)</f>
        <v>0</v>
      </c>
      <c r="N44" s="446"/>
      <c r="O44" s="446"/>
      <c r="P44" s="446"/>
      <c r="Q44" s="445">
        <f t="shared" si="25"/>
        <v>0</v>
      </c>
      <c r="R44" s="446"/>
      <c r="S44" s="446">
        <f t="shared" si="28"/>
        <v>0</v>
      </c>
      <c r="T44" s="447">
        <f t="shared" si="39"/>
        <v>0</v>
      </c>
      <c r="U44" s="473">
        <f>SUM(KEU!BJ119)</f>
        <v>1</v>
      </c>
      <c r="V44" s="448">
        <f t="shared" si="5"/>
        <v>1</v>
      </c>
      <c r="W44" s="448"/>
      <c r="X44" s="448"/>
      <c r="Y44" s="448"/>
      <c r="Z44" s="448">
        <f t="shared" si="6"/>
        <v>1</v>
      </c>
      <c r="AA44" s="912"/>
    </row>
    <row r="45" spans="1:27" s="7" customFormat="1" ht="35.25" customHeight="1" x14ac:dyDescent="0.2">
      <c r="A45" s="21">
        <f t="shared" si="30"/>
        <v>16</v>
      </c>
      <c r="B45" s="783" t="s">
        <v>339</v>
      </c>
      <c r="C45" s="446">
        <f>SUM(KEU!BH127)</f>
        <v>93600000</v>
      </c>
      <c r="D45" s="446"/>
      <c r="E45" s="446"/>
      <c r="F45" s="446"/>
      <c r="G45" s="447">
        <f t="shared" si="38"/>
        <v>93600000</v>
      </c>
      <c r="H45" s="446">
        <f>SUM(KEU!AS127)</f>
        <v>93600000</v>
      </c>
      <c r="I45" s="446"/>
      <c r="J45" s="446"/>
      <c r="K45" s="446"/>
      <c r="L45" s="444">
        <f t="shared" si="27"/>
        <v>93600000</v>
      </c>
      <c r="M45" s="182">
        <f>SUM(KEU!BF127)</f>
        <v>0</v>
      </c>
      <c r="N45" s="446"/>
      <c r="O45" s="446"/>
      <c r="P45" s="446"/>
      <c r="Q45" s="445">
        <f t="shared" si="25"/>
        <v>0</v>
      </c>
      <c r="R45" s="446"/>
      <c r="S45" s="446">
        <f t="shared" si="28"/>
        <v>0</v>
      </c>
      <c r="T45" s="447">
        <f t="shared" si="39"/>
        <v>0</v>
      </c>
      <c r="U45" s="473">
        <f>SUM(KEU!BJ127)</f>
        <v>1</v>
      </c>
      <c r="V45" s="448">
        <f t="shared" si="5"/>
        <v>1</v>
      </c>
      <c r="W45" s="448"/>
      <c r="X45" s="448"/>
      <c r="Y45" s="448"/>
      <c r="Z45" s="448">
        <f t="shared" si="6"/>
        <v>1</v>
      </c>
      <c r="AA45" s="912"/>
    </row>
    <row r="46" spans="1:27" s="7" customFormat="1" ht="35.25" customHeight="1" x14ac:dyDescent="0.2">
      <c r="A46" s="21">
        <f t="shared" si="30"/>
        <v>17</v>
      </c>
      <c r="B46" s="784" t="s">
        <v>225</v>
      </c>
      <c r="C46" s="446">
        <f>SUM(KEU!BH135)</f>
        <v>886356</v>
      </c>
      <c r="D46" s="446"/>
      <c r="E46" s="446"/>
      <c r="F46" s="446"/>
      <c r="G46" s="447">
        <f t="shared" ref="G46:G47" si="60">SUM(C46:F46)</f>
        <v>886356</v>
      </c>
      <c r="H46" s="446">
        <f>SUM(KEU!AS135)</f>
        <v>886356</v>
      </c>
      <c r="I46" s="446"/>
      <c r="J46" s="446"/>
      <c r="K46" s="446"/>
      <c r="L46" s="444">
        <f t="shared" si="27"/>
        <v>886356</v>
      </c>
      <c r="M46" s="182"/>
      <c r="N46" s="446"/>
      <c r="O46" s="446"/>
      <c r="P46" s="446"/>
      <c r="Q46" s="452"/>
      <c r="R46" s="446">
        <f>SUM(KEU!BG98)</f>
        <v>0</v>
      </c>
      <c r="S46" s="446">
        <f t="shared" si="28"/>
        <v>0</v>
      </c>
      <c r="T46" s="447">
        <f t="shared" ref="T46:T47" si="61">SUM(G46-L46-Q46)</f>
        <v>0</v>
      </c>
      <c r="U46" s="473">
        <f>SUM(KEU!BJ135)</f>
        <v>1</v>
      </c>
      <c r="V46" s="448">
        <f t="shared" si="5"/>
        <v>1</v>
      </c>
      <c r="W46" s="448"/>
      <c r="X46" s="448"/>
      <c r="Y46" s="448"/>
      <c r="Z46" s="448">
        <f t="shared" si="6"/>
        <v>1</v>
      </c>
      <c r="AA46" s="912"/>
    </row>
    <row r="47" spans="1:27" s="7" customFormat="1" ht="35.25" customHeight="1" x14ac:dyDescent="0.2">
      <c r="A47" s="21">
        <f t="shared" si="30"/>
        <v>18</v>
      </c>
      <c r="B47" s="784" t="s">
        <v>222</v>
      </c>
      <c r="C47" s="446">
        <f>SUM(KEU!BH143)</f>
        <v>886356</v>
      </c>
      <c r="D47" s="446"/>
      <c r="E47" s="446"/>
      <c r="F47" s="446"/>
      <c r="G47" s="447">
        <f t="shared" si="60"/>
        <v>886356</v>
      </c>
      <c r="H47" s="446">
        <f>SUM(KEU!AS143)</f>
        <v>886356</v>
      </c>
      <c r="I47" s="446"/>
      <c r="J47" s="446"/>
      <c r="K47" s="446"/>
      <c r="L47" s="444">
        <f t="shared" si="27"/>
        <v>886356</v>
      </c>
      <c r="M47" s="182"/>
      <c r="N47" s="446"/>
      <c r="O47" s="446"/>
      <c r="P47" s="446"/>
      <c r="Q47" s="452"/>
      <c r="R47" s="446">
        <f>SUM(KEU!BG143)</f>
        <v>0</v>
      </c>
      <c r="S47" s="446">
        <f t="shared" ref="S47" si="62">SUM(T47-R47)</f>
        <v>0</v>
      </c>
      <c r="T47" s="447">
        <f t="shared" si="61"/>
        <v>0</v>
      </c>
      <c r="U47" s="473">
        <f>SUM(KEU!BJ143)</f>
        <v>1</v>
      </c>
      <c r="V47" s="448">
        <f t="shared" si="5"/>
        <v>1</v>
      </c>
      <c r="W47" s="448"/>
      <c r="X47" s="448"/>
      <c r="Y47" s="448"/>
      <c r="Z47" s="448">
        <f t="shared" si="6"/>
        <v>1</v>
      </c>
      <c r="AA47" s="912"/>
    </row>
    <row r="48" spans="1:27" s="7" customFormat="1" ht="35.25" customHeight="1" x14ac:dyDescent="0.2">
      <c r="A48" s="21">
        <f t="shared" si="30"/>
        <v>19</v>
      </c>
      <c r="B48" s="784" t="s">
        <v>224</v>
      </c>
      <c r="C48" s="446">
        <f>SUM(KEU!BH151)</f>
        <v>5318136</v>
      </c>
      <c r="D48" s="446"/>
      <c r="E48" s="446"/>
      <c r="F48" s="446"/>
      <c r="G48" s="447">
        <f t="shared" si="38"/>
        <v>5318136</v>
      </c>
      <c r="H48" s="446">
        <f>SUM(KEU!AS151)</f>
        <v>4431780</v>
      </c>
      <c r="I48" s="446"/>
      <c r="J48" s="446"/>
      <c r="K48" s="446"/>
      <c r="L48" s="444">
        <f t="shared" si="27"/>
        <v>4431780</v>
      </c>
      <c r="M48" s="182"/>
      <c r="N48" s="446"/>
      <c r="O48" s="446"/>
      <c r="P48" s="446"/>
      <c r="Q48" s="452"/>
      <c r="R48" s="446">
        <f>SUM(KEU!BG151)</f>
        <v>0</v>
      </c>
      <c r="S48" s="446">
        <f t="shared" ref="S48" si="63">SUM(T48-R48)</f>
        <v>886356</v>
      </c>
      <c r="T48" s="447">
        <f t="shared" si="39"/>
        <v>886356</v>
      </c>
      <c r="U48" s="473">
        <f>SUM(KEU!BJ151)</f>
        <v>1</v>
      </c>
      <c r="V48" s="448">
        <f t="shared" si="5"/>
        <v>0.83333333333333337</v>
      </c>
      <c r="W48" s="448"/>
      <c r="X48" s="448"/>
      <c r="Y48" s="448"/>
      <c r="Z48" s="448">
        <f t="shared" si="6"/>
        <v>0.83333333333333337</v>
      </c>
      <c r="AA48" s="912"/>
    </row>
    <row r="49" spans="1:34" s="7" customFormat="1" ht="35.25" customHeight="1" thickBot="1" x14ac:dyDescent="0.25">
      <c r="A49" s="21">
        <f t="shared" si="30"/>
        <v>20</v>
      </c>
      <c r="B49" s="785" t="s">
        <v>223</v>
      </c>
      <c r="C49" s="451">
        <f>SUM(KEU!BH159)</f>
        <v>3545424</v>
      </c>
      <c r="D49" s="451"/>
      <c r="E49" s="451"/>
      <c r="F49" s="451"/>
      <c r="G49" s="493">
        <f t="shared" si="26"/>
        <v>3545424</v>
      </c>
      <c r="H49" s="451">
        <f>SUM(KEU!AS159)</f>
        <v>1772712</v>
      </c>
      <c r="I49" s="451"/>
      <c r="J49" s="451"/>
      <c r="K49" s="451"/>
      <c r="L49" s="450">
        <f t="shared" si="27"/>
        <v>1772712</v>
      </c>
      <c r="M49" s="495"/>
      <c r="N49" s="451"/>
      <c r="O49" s="451"/>
      <c r="P49" s="451"/>
      <c r="Q49" s="496"/>
      <c r="R49" s="451">
        <f>SUM(KEU!BG159)</f>
        <v>0</v>
      </c>
      <c r="S49" s="451">
        <f t="shared" si="28"/>
        <v>1772712</v>
      </c>
      <c r="T49" s="493">
        <f t="shared" si="29"/>
        <v>1772712</v>
      </c>
      <c r="U49" s="474">
        <f>SUM(KEU!BJ159)</f>
        <v>1</v>
      </c>
      <c r="V49" s="472">
        <f t="shared" si="5"/>
        <v>0.5</v>
      </c>
      <c r="W49" s="472"/>
      <c r="X49" s="472"/>
      <c r="Y49" s="472"/>
      <c r="Z49" s="472">
        <f t="shared" si="6"/>
        <v>0.5</v>
      </c>
      <c r="AA49" s="912"/>
    </row>
    <row r="50" spans="1:34" s="40" customFormat="1" ht="35.25" customHeight="1" thickTop="1" thickBot="1" x14ac:dyDescent="0.25">
      <c r="A50" s="523"/>
      <c r="B50" s="524" t="s">
        <v>58</v>
      </c>
      <c r="C50" s="525">
        <f>SUM(C30:C49)</f>
        <v>627656272</v>
      </c>
      <c r="D50" s="525">
        <f t="shared" ref="D50:T50" si="64">SUM(D30:D49)</f>
        <v>0</v>
      </c>
      <c r="E50" s="525">
        <f t="shared" si="64"/>
        <v>0</v>
      </c>
      <c r="F50" s="525">
        <f t="shared" si="64"/>
        <v>0</v>
      </c>
      <c r="G50" s="525">
        <f t="shared" si="64"/>
        <v>627656272</v>
      </c>
      <c r="H50" s="525">
        <f t="shared" si="64"/>
        <v>520387204</v>
      </c>
      <c r="I50" s="525">
        <f t="shared" si="64"/>
        <v>0</v>
      </c>
      <c r="J50" s="525">
        <f t="shared" si="64"/>
        <v>0</v>
      </c>
      <c r="K50" s="525">
        <f t="shared" si="64"/>
        <v>0</v>
      </c>
      <c r="L50" s="525">
        <f t="shared" si="64"/>
        <v>520387204</v>
      </c>
      <c r="M50" s="525">
        <f t="shared" si="64"/>
        <v>0</v>
      </c>
      <c r="N50" s="525">
        <f t="shared" si="64"/>
        <v>0</v>
      </c>
      <c r="O50" s="525">
        <f t="shared" si="64"/>
        <v>0</v>
      </c>
      <c r="P50" s="525">
        <f t="shared" si="64"/>
        <v>0</v>
      </c>
      <c r="Q50" s="525">
        <f t="shared" si="64"/>
        <v>0</v>
      </c>
      <c r="R50" s="525">
        <f t="shared" si="64"/>
        <v>0</v>
      </c>
      <c r="S50" s="525">
        <f t="shared" si="64"/>
        <v>107269068</v>
      </c>
      <c r="T50" s="525">
        <f t="shared" si="64"/>
        <v>107269068</v>
      </c>
      <c r="U50" s="526">
        <v>1</v>
      </c>
      <c r="V50" s="592">
        <f t="shared" si="5"/>
        <v>0.82909583989626734</v>
      </c>
      <c r="W50" s="592"/>
      <c r="X50" s="592"/>
      <c r="Y50" s="592"/>
      <c r="Z50" s="592">
        <f t="shared" si="6"/>
        <v>0.82909583989626734</v>
      </c>
      <c r="AA50" s="913"/>
    </row>
    <row r="51" spans="1:34" s="455" customFormat="1" ht="35.25" customHeight="1" thickTop="1" thickBot="1" x14ac:dyDescent="0.25">
      <c r="A51" s="516" t="s">
        <v>60</v>
      </c>
      <c r="B51" s="516" t="s">
        <v>51</v>
      </c>
      <c r="C51" s="517"/>
      <c r="D51" s="517"/>
      <c r="E51" s="517"/>
      <c r="F51" s="517"/>
      <c r="G51" s="518"/>
      <c r="H51" s="517"/>
      <c r="I51" s="517"/>
      <c r="J51" s="517"/>
      <c r="K51" s="517"/>
      <c r="L51" s="518"/>
      <c r="M51" s="517"/>
      <c r="N51" s="517"/>
      <c r="O51" s="517"/>
      <c r="P51" s="517"/>
      <c r="Q51" s="518"/>
      <c r="R51" s="519"/>
      <c r="S51" s="519"/>
      <c r="T51" s="520"/>
      <c r="U51" s="521"/>
      <c r="V51" s="527"/>
      <c r="W51" s="527"/>
      <c r="X51" s="527"/>
      <c r="Y51" s="527"/>
      <c r="Z51" s="527"/>
      <c r="AA51" s="1520"/>
      <c r="AB51" s="1519"/>
      <c r="AC51" s="1519"/>
      <c r="AD51" s="1519"/>
      <c r="AE51" s="1519"/>
      <c r="AF51" s="1519"/>
      <c r="AG51" s="1519"/>
      <c r="AH51" s="1519"/>
    </row>
    <row r="52" spans="1:34" s="7" customFormat="1" ht="35.25" customHeight="1" thickTop="1" x14ac:dyDescent="0.2">
      <c r="A52" s="22">
        <v>1</v>
      </c>
      <c r="B52" s="18" t="s">
        <v>226</v>
      </c>
      <c r="C52" s="443">
        <f>SUM(UMUM!BZ85)</f>
        <v>155889280</v>
      </c>
      <c r="D52" s="443"/>
      <c r="E52" s="443"/>
      <c r="F52" s="443"/>
      <c r="G52" s="444">
        <f t="shared" ref="G52:G61" si="65">SUM(C52:F52)</f>
        <v>155889280</v>
      </c>
      <c r="H52" s="443">
        <f>SUM(UMUM!BK85)</f>
        <v>135465366</v>
      </c>
      <c r="I52" s="443"/>
      <c r="J52" s="443"/>
      <c r="K52" s="443"/>
      <c r="L52" s="444">
        <f t="shared" ref="L52:L61" si="66">SUM(H52:K52)</f>
        <v>135465366</v>
      </c>
      <c r="M52" s="180">
        <f>SUM(UMUM!BX85)</f>
        <v>2805700</v>
      </c>
      <c r="N52" s="443"/>
      <c r="O52" s="443"/>
      <c r="P52" s="443"/>
      <c r="Q52" s="445">
        <f t="shared" ref="Q52:Q61" si="67">SUM(M52:P52)</f>
        <v>2805700</v>
      </c>
      <c r="R52" s="180">
        <f>SUM(UMUM!BY85)</f>
        <v>4782904</v>
      </c>
      <c r="S52" s="443">
        <f t="shared" ref="S52" si="68">SUM(T52-R52)</f>
        <v>9835310</v>
      </c>
      <c r="T52" s="444">
        <f>SUM(UMUM!CA85)</f>
        <v>14618214</v>
      </c>
      <c r="U52" s="473">
        <f>SUM(UMUM!CB85)</f>
        <v>1</v>
      </c>
      <c r="V52" s="448">
        <f t="shared" si="5"/>
        <v>0.88698251733538058</v>
      </c>
      <c r="W52" s="448"/>
      <c r="X52" s="448"/>
      <c r="Y52" s="448"/>
      <c r="Z52" s="448">
        <f t="shared" si="6"/>
        <v>0.88698251733538058</v>
      </c>
      <c r="AA52" s="912"/>
    </row>
    <row r="53" spans="1:34" s="7" customFormat="1" ht="35.25" customHeight="1" x14ac:dyDescent="0.2">
      <c r="A53" s="22">
        <v>2</v>
      </c>
      <c r="B53" s="18" t="s">
        <v>227</v>
      </c>
      <c r="C53" s="443">
        <f>SUM(UMUM!BZ124)</f>
        <v>15250348</v>
      </c>
      <c r="D53" s="443"/>
      <c r="E53" s="443"/>
      <c r="F53" s="443"/>
      <c r="G53" s="444">
        <f t="shared" si="65"/>
        <v>15250348</v>
      </c>
      <c r="H53" s="443">
        <f>SUM(UMUM!BK124)</f>
        <v>11473700</v>
      </c>
      <c r="I53" s="443"/>
      <c r="J53" s="443"/>
      <c r="K53" s="443"/>
      <c r="L53" s="444">
        <f t="shared" si="66"/>
        <v>11473700</v>
      </c>
      <c r="M53" s="180">
        <f>SUM(UMUM!BX124)</f>
        <v>470660.00000000006</v>
      </c>
      <c r="N53" s="443"/>
      <c r="O53" s="443"/>
      <c r="P53" s="443"/>
      <c r="Q53" s="445">
        <f t="shared" si="67"/>
        <v>470660.00000000006</v>
      </c>
      <c r="R53" s="180">
        <f>SUM(UMUM!BY124)</f>
        <v>1410988</v>
      </c>
      <c r="S53" s="443">
        <f>SUM(T53-R53)</f>
        <v>224360</v>
      </c>
      <c r="T53" s="444">
        <f>SUM(UMUM!CA124)</f>
        <v>1635348</v>
      </c>
      <c r="U53" s="473">
        <f>SUM(UMUM!CB124)</f>
        <v>1</v>
      </c>
      <c r="V53" s="448">
        <f t="shared" si="5"/>
        <v>0.78321884851414536</v>
      </c>
      <c r="W53" s="448"/>
      <c r="X53" s="448"/>
      <c r="Y53" s="448"/>
      <c r="Z53" s="448">
        <f t="shared" si="6"/>
        <v>0.78321884851414536</v>
      </c>
      <c r="AA53" s="912"/>
    </row>
    <row r="54" spans="1:34" s="7" customFormat="1" ht="35.25" customHeight="1" x14ac:dyDescent="0.2">
      <c r="A54" s="22">
        <v>3</v>
      </c>
      <c r="B54" s="18" t="s">
        <v>228</v>
      </c>
      <c r="C54" s="443">
        <f>SUM(UMUM!BZ132)</f>
        <v>118800000</v>
      </c>
      <c r="D54" s="443"/>
      <c r="E54" s="443"/>
      <c r="F54" s="443"/>
      <c r="G54" s="444">
        <f t="shared" si="65"/>
        <v>118800000</v>
      </c>
      <c r="H54" s="443">
        <f>SUM(UMUM!BK132)</f>
        <v>118800000</v>
      </c>
      <c r="I54" s="443"/>
      <c r="J54" s="443"/>
      <c r="K54" s="443"/>
      <c r="L54" s="444">
        <f t="shared" si="66"/>
        <v>118800000</v>
      </c>
      <c r="M54" s="443">
        <f>SUM(UMUM!BX132)</f>
        <v>0</v>
      </c>
      <c r="N54" s="443"/>
      <c r="O54" s="443"/>
      <c r="P54" s="443"/>
      <c r="Q54" s="445">
        <f t="shared" si="67"/>
        <v>0</v>
      </c>
      <c r="R54" s="180">
        <f>SUM(UMUM!BY132)</f>
        <v>0</v>
      </c>
      <c r="S54" s="443">
        <f t="shared" ref="S54" si="69">SUM(T54-R54)</f>
        <v>0</v>
      </c>
      <c r="T54" s="444">
        <f t="shared" ref="T54" si="70">SUM(G54-L54-Q54)</f>
        <v>0</v>
      </c>
      <c r="U54" s="473">
        <f>SUM(UMUM!CB132)</f>
        <v>1</v>
      </c>
      <c r="V54" s="448">
        <f t="shared" si="5"/>
        <v>1</v>
      </c>
      <c r="W54" s="448"/>
      <c r="X54" s="448"/>
      <c r="Y54" s="448"/>
      <c r="Z54" s="448">
        <f t="shared" si="6"/>
        <v>1</v>
      </c>
      <c r="AA54" s="912"/>
    </row>
    <row r="55" spans="1:34" s="7" customFormat="1" ht="35.25" customHeight="1" x14ac:dyDescent="0.2">
      <c r="A55" s="22">
        <v>4</v>
      </c>
      <c r="B55" s="18" t="s">
        <v>229</v>
      </c>
      <c r="C55" s="443">
        <f>SUM(UMUM!BZ140)</f>
        <v>1166400</v>
      </c>
      <c r="D55" s="443"/>
      <c r="E55" s="443"/>
      <c r="F55" s="443"/>
      <c r="G55" s="444">
        <f t="shared" si="65"/>
        <v>1166400</v>
      </c>
      <c r="H55" s="443">
        <f>SUM(UMUM!BK140)</f>
        <v>1166400</v>
      </c>
      <c r="I55" s="443"/>
      <c r="J55" s="443"/>
      <c r="K55" s="443"/>
      <c r="L55" s="444">
        <f t="shared" si="66"/>
        <v>1166400</v>
      </c>
      <c r="M55" s="443">
        <f>SUM(UMUM!BX140)</f>
        <v>0</v>
      </c>
      <c r="N55" s="443"/>
      <c r="O55" s="443"/>
      <c r="P55" s="443"/>
      <c r="Q55" s="445">
        <f t="shared" si="67"/>
        <v>0</v>
      </c>
      <c r="R55" s="443">
        <f>SUM(UMUM!BY140)</f>
        <v>0</v>
      </c>
      <c r="S55" s="443">
        <f>SUM(T55-R55)</f>
        <v>0</v>
      </c>
      <c r="T55" s="444">
        <f>SUM(G55-L55-Q55)</f>
        <v>0</v>
      </c>
      <c r="U55" s="473">
        <f>SUM(UMUM!CB140)</f>
        <v>1</v>
      </c>
      <c r="V55" s="448">
        <f t="shared" si="5"/>
        <v>1</v>
      </c>
      <c r="W55" s="448"/>
      <c r="X55" s="448"/>
      <c r="Y55" s="448"/>
      <c r="Z55" s="448">
        <f t="shared" si="6"/>
        <v>1</v>
      </c>
      <c r="AA55" s="912"/>
    </row>
    <row r="56" spans="1:34" s="7" customFormat="1" ht="35.25" customHeight="1" x14ac:dyDescent="0.2">
      <c r="A56" s="22">
        <v>5</v>
      </c>
      <c r="B56" s="18" t="s">
        <v>230</v>
      </c>
      <c r="C56" s="443">
        <f>SUM(UMUM!BZ148)</f>
        <v>1555200</v>
      </c>
      <c r="D56" s="443"/>
      <c r="E56" s="443"/>
      <c r="F56" s="443"/>
      <c r="G56" s="444">
        <f t="shared" si="65"/>
        <v>1555200</v>
      </c>
      <c r="H56" s="443">
        <f>SUM(UMUM!BK148)</f>
        <v>1555200</v>
      </c>
      <c r="I56" s="443"/>
      <c r="J56" s="443"/>
      <c r="K56" s="443"/>
      <c r="L56" s="444">
        <f t="shared" si="66"/>
        <v>1555200</v>
      </c>
      <c r="M56" s="443">
        <f>SUM(UMUM!BX148)</f>
        <v>0</v>
      </c>
      <c r="N56" s="443"/>
      <c r="O56" s="443"/>
      <c r="P56" s="443"/>
      <c r="Q56" s="445">
        <f t="shared" si="67"/>
        <v>0</v>
      </c>
      <c r="R56" s="443">
        <f>SUM(UMUM!BY148)</f>
        <v>0</v>
      </c>
      <c r="S56" s="443">
        <f t="shared" ref="S56" si="71">SUM(T56-R56)</f>
        <v>0</v>
      </c>
      <c r="T56" s="444">
        <f t="shared" ref="T56" si="72">SUM(G56-L56-Q56)</f>
        <v>0</v>
      </c>
      <c r="U56" s="473">
        <f>SUM(UMUM!CB148)</f>
        <v>1</v>
      </c>
      <c r="V56" s="448">
        <f t="shared" si="5"/>
        <v>1</v>
      </c>
      <c r="W56" s="448"/>
      <c r="X56" s="448"/>
      <c r="Y56" s="448"/>
      <c r="Z56" s="448">
        <f t="shared" si="6"/>
        <v>1</v>
      </c>
      <c r="AA56" s="912"/>
    </row>
    <row r="57" spans="1:34" s="7" customFormat="1" ht="35.25" customHeight="1" x14ac:dyDescent="0.2">
      <c r="A57" s="22">
        <v>6</v>
      </c>
      <c r="B57" s="18" t="s">
        <v>231</v>
      </c>
      <c r="C57" s="443">
        <f>SUM(UMUM!BZ156)</f>
        <v>1166400</v>
      </c>
      <c r="D57" s="443"/>
      <c r="E57" s="443"/>
      <c r="F57" s="443"/>
      <c r="G57" s="444">
        <f t="shared" si="65"/>
        <v>1166400</v>
      </c>
      <c r="H57" s="443">
        <f>SUM(UMUM!BK156)</f>
        <v>1166400</v>
      </c>
      <c r="I57" s="443"/>
      <c r="J57" s="443"/>
      <c r="K57" s="443"/>
      <c r="L57" s="444">
        <f t="shared" si="66"/>
        <v>1166400</v>
      </c>
      <c r="M57" s="443">
        <f>SUM(UMUM!BX156)</f>
        <v>0</v>
      </c>
      <c r="N57" s="443"/>
      <c r="O57" s="443"/>
      <c r="P57" s="443"/>
      <c r="Q57" s="445">
        <f t="shared" si="67"/>
        <v>0</v>
      </c>
      <c r="R57" s="443">
        <f>SUM(UMUM!BY156)</f>
        <v>0</v>
      </c>
      <c r="S57" s="443">
        <f t="shared" ref="S57:S63" si="73">SUM(T57-R57)</f>
        <v>0</v>
      </c>
      <c r="T57" s="444">
        <f>SUM(G57-L57-Q57)</f>
        <v>0</v>
      </c>
      <c r="U57" s="473">
        <f>SUM(UMUM!CB156)</f>
        <v>1</v>
      </c>
      <c r="V57" s="448">
        <f t="shared" si="5"/>
        <v>1</v>
      </c>
      <c r="W57" s="448"/>
      <c r="X57" s="448"/>
      <c r="Y57" s="448"/>
      <c r="Z57" s="448">
        <f t="shared" si="6"/>
        <v>1</v>
      </c>
      <c r="AA57" s="912"/>
    </row>
    <row r="58" spans="1:34" s="7" customFormat="1" ht="35.25" customHeight="1" x14ac:dyDescent="0.2">
      <c r="A58" s="22">
        <v>7</v>
      </c>
      <c r="B58" s="18" t="s">
        <v>232</v>
      </c>
      <c r="C58" s="443">
        <f>SUM(UMUM!BZ165)</f>
        <v>72700000</v>
      </c>
      <c r="D58" s="443"/>
      <c r="E58" s="443"/>
      <c r="F58" s="443"/>
      <c r="G58" s="444">
        <f t="shared" si="65"/>
        <v>72700000</v>
      </c>
      <c r="H58" s="443">
        <f>SUM(UMUM!BX167)</f>
        <v>71600000</v>
      </c>
      <c r="I58" s="443"/>
      <c r="J58" s="443"/>
      <c r="K58" s="443"/>
      <c r="L58" s="444">
        <f>SUM(H58:K58)</f>
        <v>71600000</v>
      </c>
      <c r="M58" s="443">
        <f>SUM(UMUM!BX165)</f>
        <v>0</v>
      </c>
      <c r="N58" s="443"/>
      <c r="O58" s="443"/>
      <c r="P58" s="443"/>
      <c r="Q58" s="445">
        <f t="shared" si="67"/>
        <v>0</v>
      </c>
      <c r="R58" s="443">
        <f>SUM(UMUM!BY165)</f>
        <v>0</v>
      </c>
      <c r="S58" s="443">
        <f t="shared" si="73"/>
        <v>1100000</v>
      </c>
      <c r="T58" s="444">
        <f t="shared" ref="T58" si="74">SUM(G58-L58-Q58)</f>
        <v>1100000</v>
      </c>
      <c r="U58" s="473">
        <f>SUM(UMUM!CB165)</f>
        <v>1</v>
      </c>
      <c r="V58" s="448">
        <f t="shared" si="5"/>
        <v>0.98486932599724897</v>
      </c>
      <c r="W58" s="448"/>
      <c r="X58" s="448"/>
      <c r="Y58" s="448"/>
      <c r="Z58" s="448">
        <f t="shared" si="6"/>
        <v>0.98486932599724897</v>
      </c>
      <c r="AA58" s="912"/>
    </row>
    <row r="59" spans="1:34" s="7" customFormat="1" ht="35.25" customHeight="1" x14ac:dyDescent="0.2">
      <c r="A59" s="22">
        <v>8</v>
      </c>
      <c r="B59" s="18" t="s">
        <v>369</v>
      </c>
      <c r="C59" s="443"/>
      <c r="D59" s="443"/>
      <c r="E59" s="443">
        <f>SUM(UMUM!BZ173)</f>
        <v>10080000</v>
      </c>
      <c r="F59" s="443"/>
      <c r="G59" s="444">
        <f t="shared" ref="G59" si="75">SUM(C59:F59)</f>
        <v>10080000</v>
      </c>
      <c r="H59" s="443"/>
      <c r="I59" s="443"/>
      <c r="J59" s="645">
        <f>SUM(UMUM!BX174)</f>
        <v>5880000</v>
      </c>
      <c r="K59" s="443"/>
      <c r="L59" s="444">
        <f>SUM(H59:K59)</f>
        <v>5880000</v>
      </c>
      <c r="M59" s="443"/>
      <c r="N59" s="443"/>
      <c r="O59" s="180">
        <f>SUM(PEMER!BF164)</f>
        <v>0</v>
      </c>
      <c r="P59" s="443"/>
      <c r="Q59" s="445">
        <f t="shared" ref="Q59" si="76">SUM(M59:P59)</f>
        <v>0</v>
      </c>
      <c r="R59" s="443">
        <f>SUM(UMUM!BY173)</f>
        <v>0</v>
      </c>
      <c r="S59" s="443">
        <f t="shared" si="73"/>
        <v>4200000</v>
      </c>
      <c r="T59" s="444">
        <f t="shared" ref="T59" si="77">SUM(G59-L59-Q59)</f>
        <v>4200000</v>
      </c>
      <c r="U59" s="473">
        <f>SUM(UMUM!CB173)</f>
        <v>1</v>
      </c>
      <c r="V59" s="448"/>
      <c r="W59" s="448"/>
      <c r="X59" s="448">
        <f t="shared" ref="X59" si="78">SUM(J59+O59)/E59</f>
        <v>0.58333333333333337</v>
      </c>
      <c r="Y59" s="448"/>
      <c r="Z59" s="448">
        <f t="shared" ref="Z59" si="79">SUM(L59+Q59)/G59</f>
        <v>0.58333333333333337</v>
      </c>
      <c r="AA59" s="912"/>
    </row>
    <row r="60" spans="1:34" s="7" customFormat="1" ht="35.25" customHeight="1" x14ac:dyDescent="0.2">
      <c r="A60" s="22">
        <v>9</v>
      </c>
      <c r="B60" s="18" t="s">
        <v>233</v>
      </c>
      <c r="C60" s="443"/>
      <c r="D60" s="443">
        <f>SUM(UMUM!BZ180)</f>
        <v>37410360</v>
      </c>
      <c r="E60" s="443"/>
      <c r="F60" s="443"/>
      <c r="G60" s="444">
        <f t="shared" si="65"/>
        <v>37410360</v>
      </c>
      <c r="H60" s="443"/>
      <c r="I60" s="443">
        <f>SUM(UMUM!BK220)</f>
        <v>28626000</v>
      </c>
      <c r="J60" s="443"/>
      <c r="K60" s="443"/>
      <c r="L60" s="444">
        <f t="shared" si="66"/>
        <v>28626000</v>
      </c>
      <c r="M60" s="443"/>
      <c r="N60" s="453">
        <f>SUM(UMUM!BX220)</f>
        <v>248500</v>
      </c>
      <c r="O60" s="443"/>
      <c r="P60" s="443"/>
      <c r="Q60" s="445">
        <f t="shared" si="67"/>
        <v>248500</v>
      </c>
      <c r="R60" s="443">
        <f>SUM(UMUM!BY220)</f>
        <v>0</v>
      </c>
      <c r="S60" s="443">
        <f t="shared" si="73"/>
        <v>23960</v>
      </c>
      <c r="T60" s="444">
        <f>SUM(UMUM!CA220)</f>
        <v>23960</v>
      </c>
      <c r="U60" s="473">
        <f>SUM(UMUM!CB220)</f>
        <v>1</v>
      </c>
      <c r="V60" s="448"/>
      <c r="W60" s="448">
        <f t="shared" ref="W60:Y73" si="80">SUM(I60+N60)/D60</f>
        <v>0.77183165305011769</v>
      </c>
      <c r="X60" s="448"/>
      <c r="Y60" s="448"/>
      <c r="Z60" s="448">
        <f t="shared" si="6"/>
        <v>0.77183165305011769</v>
      </c>
      <c r="AA60" s="912"/>
    </row>
    <row r="61" spans="1:34" s="7" customFormat="1" ht="35.25" customHeight="1" x14ac:dyDescent="0.2">
      <c r="A61" s="22">
        <v>10</v>
      </c>
      <c r="B61" s="498" t="s">
        <v>226</v>
      </c>
      <c r="C61" s="449"/>
      <c r="D61" s="449"/>
      <c r="E61" s="449"/>
      <c r="F61" s="449">
        <f>SUM(UMUM!BZ249)</f>
        <v>5916736</v>
      </c>
      <c r="G61" s="450">
        <f t="shared" si="65"/>
        <v>5916736</v>
      </c>
      <c r="H61" s="449"/>
      <c r="I61" s="449"/>
      <c r="J61" s="449"/>
      <c r="K61" s="449">
        <f>SUM(UMUM!BK249)</f>
        <v>4280000</v>
      </c>
      <c r="L61" s="450">
        <f t="shared" si="66"/>
        <v>4280000</v>
      </c>
      <c r="M61" s="449"/>
      <c r="N61" s="449"/>
      <c r="O61" s="499"/>
      <c r="P61" s="449">
        <f>SUM(UMUM!BX249)</f>
        <v>94300</v>
      </c>
      <c r="Q61" s="492">
        <f t="shared" si="67"/>
        <v>94300</v>
      </c>
      <c r="R61" s="449">
        <f>SUM(UMUM!BY249)</f>
        <v>833984</v>
      </c>
      <c r="S61" s="449">
        <f t="shared" si="73"/>
        <v>706892</v>
      </c>
      <c r="T61" s="450">
        <f>SUM(UMUM!CA249)</f>
        <v>1540876</v>
      </c>
      <c r="U61" s="474">
        <f>SUM(UMUM!CB249)</f>
        <v>1</v>
      </c>
      <c r="V61" s="472"/>
      <c r="W61" s="472"/>
      <c r="X61" s="472"/>
      <c r="Y61" s="448">
        <f t="shared" si="80"/>
        <v>0.73930964639963659</v>
      </c>
      <c r="Z61" s="472">
        <f t="shared" si="6"/>
        <v>0.73930964639963659</v>
      </c>
      <c r="AA61" s="912"/>
    </row>
    <row r="62" spans="1:34" s="7" customFormat="1" ht="35.25" customHeight="1" x14ac:dyDescent="0.2">
      <c r="A62" s="22">
        <v>11</v>
      </c>
      <c r="B62" s="498" t="s">
        <v>574</v>
      </c>
      <c r="C62" s="449">
        <f>SUM(UMUM!BZ263)</f>
        <v>45344300</v>
      </c>
      <c r="D62" s="449"/>
      <c r="E62" s="449"/>
      <c r="F62" s="449"/>
      <c r="G62" s="450">
        <f t="shared" ref="G62" si="81">SUM(C62:F62)</f>
        <v>45344300</v>
      </c>
      <c r="H62" s="443">
        <f>SUM(UMUM!BK263)</f>
        <v>32318200</v>
      </c>
      <c r="I62" s="449"/>
      <c r="J62" s="449"/>
      <c r="K62" s="449"/>
      <c r="L62" s="450">
        <f t="shared" ref="L62:L63" si="82">SUM(H62:K62)</f>
        <v>32318200</v>
      </c>
      <c r="M62" s="443">
        <f>SUM(UMUM!BX263)</f>
        <v>2855150</v>
      </c>
      <c r="N62" s="449"/>
      <c r="O62" s="499"/>
      <c r="P62" s="449"/>
      <c r="Q62" s="492">
        <f t="shared" ref="Q62" si="83">SUM(M62:P62)</f>
        <v>2855150</v>
      </c>
      <c r="R62" s="449">
        <f>SUM(UMUM!BY263)</f>
        <v>2305100</v>
      </c>
      <c r="S62" s="449">
        <f t="shared" ref="S62" si="84">SUM(T62-R62)</f>
        <v>4347107</v>
      </c>
      <c r="T62" s="450">
        <f>SUM(UMUM!CA263)+750000</f>
        <v>6652207</v>
      </c>
      <c r="U62" s="474">
        <f>SUM(UMUM!CB263)</f>
        <v>1</v>
      </c>
      <c r="V62" s="448">
        <f t="shared" si="5"/>
        <v>0.7756950708247784</v>
      </c>
      <c r="W62" s="472"/>
      <c r="X62" s="472"/>
      <c r="Y62" s="448"/>
      <c r="Z62" s="472">
        <f t="shared" si="6"/>
        <v>0.7756950708247784</v>
      </c>
      <c r="AA62" s="912"/>
    </row>
    <row r="63" spans="1:34" s="7" customFormat="1" ht="35.25" customHeight="1" thickBot="1" x14ac:dyDescent="0.25">
      <c r="A63" s="22">
        <v>12</v>
      </c>
      <c r="B63" s="498" t="s">
        <v>641</v>
      </c>
      <c r="C63" s="449"/>
      <c r="D63" s="449"/>
      <c r="E63" s="449">
        <f>SUM(UMUM!BZ274)</f>
        <v>1802000</v>
      </c>
      <c r="F63" s="449"/>
      <c r="G63" s="450">
        <f t="shared" ref="G63" si="85">SUM(C63:F63)</f>
        <v>1802000</v>
      </c>
      <c r="H63" s="443"/>
      <c r="I63" s="449"/>
      <c r="J63" s="449">
        <f>SUM(UMUM!BX275)</f>
        <v>1275500</v>
      </c>
      <c r="K63" s="449"/>
      <c r="L63" s="450">
        <f t="shared" si="82"/>
        <v>1275500</v>
      </c>
      <c r="M63" s="443"/>
      <c r="N63" s="449"/>
      <c r="O63" s="499">
        <f>SUM(UMUM!BX273)</f>
        <v>0</v>
      </c>
      <c r="P63" s="449"/>
      <c r="Q63" s="492">
        <f t="shared" ref="Q63" si="86">SUM(M63:P63)</f>
        <v>0</v>
      </c>
      <c r="R63" s="449">
        <f>SUM(UMUM!BY273)</f>
        <v>526500</v>
      </c>
      <c r="S63" s="449">
        <f t="shared" si="73"/>
        <v>0</v>
      </c>
      <c r="T63" s="450">
        <f>SUM(G63-L63-Q63)</f>
        <v>526500</v>
      </c>
      <c r="U63" s="474">
        <f>SUM(UMUM!CB273)</f>
        <v>1</v>
      </c>
      <c r="V63" s="472"/>
      <c r="W63" s="472"/>
      <c r="X63" s="448">
        <f t="shared" ref="X63" si="87">SUM(J63+O63)/E63</f>
        <v>0.70782463928967809</v>
      </c>
      <c r="Y63" s="448"/>
      <c r="Z63" s="472">
        <f t="shared" ref="Z63" si="88">SUM(L63+Q63)/G63</f>
        <v>0.70782463928967809</v>
      </c>
      <c r="AA63" s="912"/>
    </row>
    <row r="64" spans="1:34" s="40" customFormat="1" ht="35.25" customHeight="1" thickTop="1" thickBot="1" x14ac:dyDescent="0.25">
      <c r="A64" s="523"/>
      <c r="B64" s="524" t="s">
        <v>58</v>
      </c>
      <c r="C64" s="525">
        <f>SUM(C52:C63)</f>
        <v>411871928</v>
      </c>
      <c r="D64" s="525">
        <f t="shared" ref="D64:T64" si="89">SUM(D52:D63)</f>
        <v>37410360</v>
      </c>
      <c r="E64" s="525">
        <f t="shared" si="89"/>
        <v>11882000</v>
      </c>
      <c r="F64" s="525">
        <f t="shared" si="89"/>
        <v>5916736</v>
      </c>
      <c r="G64" s="525">
        <f t="shared" si="89"/>
        <v>467081024</v>
      </c>
      <c r="H64" s="525">
        <f t="shared" si="89"/>
        <v>373545266</v>
      </c>
      <c r="I64" s="525">
        <f t="shared" si="89"/>
        <v>28626000</v>
      </c>
      <c r="J64" s="525">
        <f t="shared" si="89"/>
        <v>7155500</v>
      </c>
      <c r="K64" s="525">
        <f t="shared" si="89"/>
        <v>4280000</v>
      </c>
      <c r="L64" s="525">
        <f t="shared" si="89"/>
        <v>413606766</v>
      </c>
      <c r="M64" s="525">
        <f t="shared" si="89"/>
        <v>6131510</v>
      </c>
      <c r="N64" s="525">
        <f t="shared" si="89"/>
        <v>248500</v>
      </c>
      <c r="O64" s="525">
        <f t="shared" si="89"/>
        <v>0</v>
      </c>
      <c r="P64" s="525">
        <f t="shared" si="89"/>
        <v>94300</v>
      </c>
      <c r="Q64" s="525">
        <f t="shared" si="89"/>
        <v>6474310</v>
      </c>
      <c r="R64" s="525">
        <f t="shared" si="89"/>
        <v>9859476</v>
      </c>
      <c r="S64" s="525">
        <f t="shared" si="89"/>
        <v>20437629</v>
      </c>
      <c r="T64" s="525">
        <f t="shared" si="89"/>
        <v>30297105</v>
      </c>
      <c r="U64" s="526">
        <f>SUM(U52:U63)/12</f>
        <v>1</v>
      </c>
      <c r="V64" s="592">
        <f t="shared" si="5"/>
        <v>0.92183212836005668</v>
      </c>
      <c r="W64" s="592">
        <f t="shared" si="80"/>
        <v>0.77183165305011769</v>
      </c>
      <c r="X64" s="592">
        <f t="shared" ref="X64:Y75" si="90">SUM(J64+O64)/E64</f>
        <v>0.60221343208214106</v>
      </c>
      <c r="Y64" s="592">
        <f t="shared" si="90"/>
        <v>0.73930964639963659</v>
      </c>
      <c r="Z64" s="592">
        <f t="shared" si="6"/>
        <v>0.89937517136213185</v>
      </c>
      <c r="AA64" s="913"/>
      <c r="AB64" s="1521"/>
    </row>
    <row r="65" spans="1:34" s="456" customFormat="1" ht="35.25" customHeight="1" thickTop="1" thickBot="1" x14ac:dyDescent="0.25">
      <c r="A65" s="516" t="s">
        <v>63</v>
      </c>
      <c r="B65" s="516" t="s">
        <v>53</v>
      </c>
      <c r="C65" s="517"/>
      <c r="D65" s="517"/>
      <c r="E65" s="517"/>
      <c r="F65" s="517"/>
      <c r="G65" s="518"/>
      <c r="H65" s="517"/>
      <c r="I65" s="517"/>
      <c r="J65" s="517"/>
      <c r="K65" s="517"/>
      <c r="L65" s="518"/>
      <c r="M65" s="517"/>
      <c r="N65" s="517"/>
      <c r="O65" s="517"/>
      <c r="P65" s="517"/>
      <c r="Q65" s="518"/>
      <c r="R65" s="517"/>
      <c r="S65" s="517"/>
      <c r="T65" s="518"/>
      <c r="U65" s="521"/>
      <c r="V65" s="527"/>
      <c r="W65" s="527"/>
      <c r="X65" s="527"/>
      <c r="Y65" s="527"/>
      <c r="Z65" s="527"/>
      <c r="AA65" s="1520"/>
      <c r="AB65" s="1522"/>
      <c r="AC65" s="1522"/>
      <c r="AD65" s="1522"/>
      <c r="AE65" s="1522"/>
      <c r="AF65" s="1522"/>
      <c r="AG65" s="1522"/>
      <c r="AH65" s="1522"/>
    </row>
    <row r="66" spans="1:34" s="37" customFormat="1" ht="35.25" customHeight="1" thickTop="1" x14ac:dyDescent="0.2">
      <c r="A66" s="178">
        <v>1</v>
      </c>
      <c r="B66" s="179" t="s">
        <v>234</v>
      </c>
      <c r="C66" s="180">
        <f>SUM(KESRA!BH15)</f>
        <v>43410000</v>
      </c>
      <c r="D66" s="180"/>
      <c r="E66" s="180"/>
      <c r="F66" s="180"/>
      <c r="G66" s="181">
        <f t="shared" ref="G66:G67" si="91">SUM(C66:F66)</f>
        <v>43410000</v>
      </c>
      <c r="H66" s="443">
        <f>SUM(KESRA!AS15)</f>
        <v>43000000</v>
      </c>
      <c r="I66" s="180"/>
      <c r="J66" s="180"/>
      <c r="K66" s="180"/>
      <c r="L66" s="454">
        <f t="shared" ref="L66:L67" si="92">SUM(H66:K66)</f>
        <v>43000000</v>
      </c>
      <c r="M66" s="443">
        <f>SUM(KESRA!BF15)</f>
        <v>1193705</v>
      </c>
      <c r="N66" s="180"/>
      <c r="O66" s="180"/>
      <c r="P66" s="180"/>
      <c r="Q66" s="454">
        <f t="shared" ref="Q66:Q67" si="93">SUM(M66:P66)</f>
        <v>1193705</v>
      </c>
      <c r="R66" s="180">
        <f>SUM(KESRA!BG15)</f>
        <v>299520</v>
      </c>
      <c r="S66" s="182">
        <f>SUM(T66-R66)</f>
        <v>8000</v>
      </c>
      <c r="T66" s="181">
        <f>SUM(KESRA!BI15)</f>
        <v>307520</v>
      </c>
      <c r="U66" s="936">
        <f>SUM(KESRA!BJ15)</f>
        <v>1</v>
      </c>
      <c r="V66" s="448">
        <f t="shared" ref="V66" si="94">SUM(H66+M66)/C66</f>
        <v>1.0180535590877677</v>
      </c>
      <c r="W66" s="448"/>
      <c r="X66" s="448"/>
      <c r="Y66" s="448"/>
      <c r="Z66" s="448">
        <f t="shared" si="6"/>
        <v>1.0180535590877677</v>
      </c>
      <c r="AA66" s="912"/>
    </row>
    <row r="67" spans="1:34" s="37" customFormat="1" ht="35.25" customHeight="1" x14ac:dyDescent="0.2">
      <c r="A67" s="500">
        <f>A66+1</f>
        <v>2</v>
      </c>
      <c r="B67" s="179" t="s">
        <v>235</v>
      </c>
      <c r="C67" s="180"/>
      <c r="D67" s="180">
        <f>SUM(KESRA!BH24)</f>
        <v>126000000</v>
      </c>
      <c r="E67" s="180"/>
      <c r="F67" s="180"/>
      <c r="G67" s="181">
        <f t="shared" si="91"/>
        <v>126000000</v>
      </c>
      <c r="H67" s="180"/>
      <c r="I67" s="180">
        <f>SUM(KESRA!AS24)</f>
        <v>126000000</v>
      </c>
      <c r="J67" s="180"/>
      <c r="K67" s="180"/>
      <c r="L67" s="454">
        <f t="shared" si="92"/>
        <v>126000000</v>
      </c>
      <c r="M67" s="180"/>
      <c r="N67" s="180">
        <f>SUM(KESRA!BF24)</f>
        <v>0</v>
      </c>
      <c r="O67" s="180"/>
      <c r="P67" s="180"/>
      <c r="Q67" s="454">
        <f t="shared" si="93"/>
        <v>0</v>
      </c>
      <c r="R67" s="180">
        <f>SUM(KESRA!BG24)</f>
        <v>0</v>
      </c>
      <c r="S67" s="182">
        <f t="shared" ref="S67" si="95">SUM(T67-R67)</f>
        <v>0</v>
      </c>
      <c r="T67" s="181">
        <f t="shared" ref="T67" si="96">SUM(G67-L67-Q67)</f>
        <v>0</v>
      </c>
      <c r="U67" s="936">
        <f>SUM(KESRA!BJ24)</f>
        <v>1</v>
      </c>
      <c r="V67" s="448"/>
      <c r="W67" s="448">
        <f t="shared" si="80"/>
        <v>1</v>
      </c>
      <c r="X67" s="448"/>
      <c r="Y67" s="448"/>
      <c r="Z67" s="448">
        <f t="shared" si="6"/>
        <v>1</v>
      </c>
      <c r="AA67" s="912"/>
    </row>
    <row r="68" spans="1:34" s="37" customFormat="1" ht="35.25" customHeight="1" x14ac:dyDescent="0.2">
      <c r="A68" s="500">
        <f t="shared" ref="A68:A72" si="97">A67+1</f>
        <v>3</v>
      </c>
      <c r="B68" s="179" t="s">
        <v>394</v>
      </c>
      <c r="C68" s="180"/>
      <c r="D68" s="180">
        <f>SUM(KESRA!BH39)</f>
        <v>6460000</v>
      </c>
      <c r="E68" s="180"/>
      <c r="F68" s="180"/>
      <c r="G68" s="181">
        <f t="shared" ref="G68:G71" si="98">SUM(C68:F68)</f>
        <v>6460000</v>
      </c>
      <c r="H68" s="180"/>
      <c r="I68" s="180">
        <f>SUM(KESRA!AS39)</f>
        <v>3421000</v>
      </c>
      <c r="J68" s="180"/>
      <c r="K68" s="180"/>
      <c r="L68" s="454">
        <f t="shared" ref="L68:L71" si="99">SUM(H68:K68)</f>
        <v>3421000</v>
      </c>
      <c r="M68" s="180"/>
      <c r="N68" s="180">
        <f>SUM(KESRA!BF39)</f>
        <v>187900</v>
      </c>
      <c r="O68" s="180"/>
      <c r="P68" s="180"/>
      <c r="Q68" s="454">
        <f t="shared" ref="Q68:Q71" si="100">SUM(M68:P68)</f>
        <v>187900</v>
      </c>
      <c r="R68" s="180">
        <f>SUM(KESRA!BG39)</f>
        <v>1251100</v>
      </c>
      <c r="S68" s="182">
        <f t="shared" ref="S68:S71" si="101">SUM(T68-R68)</f>
        <v>600000</v>
      </c>
      <c r="T68" s="181">
        <f>SUM(G68-L68-Q68)-1000000</f>
        <v>1851100</v>
      </c>
      <c r="U68" s="936">
        <f>SUM(KESRA!BJ39)</f>
        <v>1</v>
      </c>
      <c r="V68" s="448"/>
      <c r="W68" s="448">
        <f t="shared" ref="W68:W71" si="102">SUM(I68+N68)/D68</f>
        <v>0.55865325077399386</v>
      </c>
      <c r="X68" s="448"/>
      <c r="Y68" s="448"/>
      <c r="Z68" s="448">
        <f t="shared" ref="Z68:Z71" si="103">SUM(L68+Q68)/G68</f>
        <v>0.55865325077399386</v>
      </c>
      <c r="AA68" s="912"/>
    </row>
    <row r="69" spans="1:34" s="37" customFormat="1" ht="35.25" customHeight="1" x14ac:dyDescent="0.2">
      <c r="A69" s="500">
        <f t="shared" si="97"/>
        <v>4</v>
      </c>
      <c r="B69" s="179" t="s">
        <v>402</v>
      </c>
      <c r="C69" s="180"/>
      <c r="D69" s="180">
        <f>SUM(KESRA!BH66)</f>
        <v>74400000</v>
      </c>
      <c r="E69" s="180"/>
      <c r="F69" s="180"/>
      <c r="G69" s="181">
        <f t="shared" ref="G69" si="104">SUM(C69:F69)</f>
        <v>74400000</v>
      </c>
      <c r="H69" s="180"/>
      <c r="I69" s="180">
        <f>SUM(KESRA!AS66)</f>
        <v>62681000</v>
      </c>
      <c r="J69" s="180"/>
      <c r="K69" s="180"/>
      <c r="L69" s="454">
        <f t="shared" ref="L69" si="105">SUM(H69:K69)</f>
        <v>62681000</v>
      </c>
      <c r="M69" s="180"/>
      <c r="N69" s="180">
        <f>SUM(KESRA!BF66)</f>
        <v>6481375</v>
      </c>
      <c r="O69" s="180"/>
      <c r="P69" s="180"/>
      <c r="Q69" s="454">
        <f t="shared" ref="Q69" si="106">SUM(M69:P69)</f>
        <v>6481375</v>
      </c>
      <c r="R69" s="180">
        <f>SUM(KESRA!BG66)</f>
        <v>4735000</v>
      </c>
      <c r="S69" s="182">
        <f t="shared" ref="S69" si="107">SUM(T69-R69)</f>
        <v>1569000</v>
      </c>
      <c r="T69" s="181">
        <f>SUM(KESRA!BI66)</f>
        <v>6304000</v>
      </c>
      <c r="U69" s="936">
        <f>SUM(KESRA!BJ66)</f>
        <v>1</v>
      </c>
      <c r="V69" s="448"/>
      <c r="W69" s="448">
        <f t="shared" ref="W69" si="108">SUM(I69+N69)/D69</f>
        <v>0.929601814516129</v>
      </c>
      <c r="X69" s="448"/>
      <c r="Y69" s="448"/>
      <c r="Z69" s="448">
        <f t="shared" ref="Z69" si="109">SUM(L69+Q69)/G69</f>
        <v>0.929601814516129</v>
      </c>
      <c r="AA69" s="912"/>
    </row>
    <row r="70" spans="1:34" s="37" customFormat="1" ht="35.25" customHeight="1" x14ac:dyDescent="0.2">
      <c r="A70" s="500">
        <f t="shared" si="97"/>
        <v>5</v>
      </c>
      <c r="B70" s="179" t="s">
        <v>561</v>
      </c>
      <c r="C70" s="180"/>
      <c r="D70" s="180">
        <f>SUM(KESRA!BH91)</f>
        <v>91338000</v>
      </c>
      <c r="E70" s="180"/>
      <c r="F70" s="180"/>
      <c r="G70" s="181">
        <f t="shared" si="98"/>
        <v>91338000</v>
      </c>
      <c r="H70" s="180"/>
      <c r="I70" s="180">
        <f>SUM(KESRA!AS91)</f>
        <v>69612000</v>
      </c>
      <c r="J70" s="180"/>
      <c r="K70" s="180"/>
      <c r="L70" s="454">
        <f t="shared" si="99"/>
        <v>69612000</v>
      </c>
      <c r="M70" s="180"/>
      <c r="N70" s="180">
        <f>SUM(KESRA!BF91)</f>
        <v>5527100.0000000009</v>
      </c>
      <c r="O70" s="180"/>
      <c r="P70" s="180"/>
      <c r="Q70" s="454">
        <f t="shared" si="100"/>
        <v>5527100.0000000009</v>
      </c>
      <c r="R70" s="180">
        <f>SUM(KESRA!BG91)</f>
        <v>7631259.9999999991</v>
      </c>
      <c r="S70" s="182">
        <f t="shared" si="101"/>
        <v>4567640.0000000009</v>
      </c>
      <c r="T70" s="181">
        <f>SUM(G70-L70-Q70)-4000000</f>
        <v>12198900</v>
      </c>
      <c r="U70" s="936">
        <f>SUM(KESRA!BJ91)</f>
        <v>1</v>
      </c>
      <c r="V70" s="448"/>
      <c r="W70" s="448">
        <f t="shared" si="102"/>
        <v>0.82264884275985894</v>
      </c>
      <c r="X70" s="448"/>
      <c r="Y70" s="448"/>
      <c r="Z70" s="448">
        <f t="shared" si="103"/>
        <v>0.82264884275985894</v>
      </c>
      <c r="AA70" s="912"/>
    </row>
    <row r="71" spans="1:34" s="37" customFormat="1" ht="35.25" customHeight="1" x14ac:dyDescent="0.2">
      <c r="A71" s="500">
        <f t="shared" si="97"/>
        <v>6</v>
      </c>
      <c r="B71" s="179" t="s">
        <v>640</v>
      </c>
      <c r="C71" s="180"/>
      <c r="D71" s="180">
        <f>SUM(KESRA!BH107)</f>
        <v>28852500</v>
      </c>
      <c r="E71" s="180"/>
      <c r="F71" s="180"/>
      <c r="G71" s="181">
        <f t="shared" si="98"/>
        <v>28852500</v>
      </c>
      <c r="H71" s="180"/>
      <c r="I71" s="180">
        <f>SUM(KESRA!AS107)</f>
        <v>20806000</v>
      </c>
      <c r="J71" s="180"/>
      <c r="K71" s="180"/>
      <c r="L71" s="454">
        <f t="shared" si="99"/>
        <v>20806000</v>
      </c>
      <c r="M71" s="180"/>
      <c r="N71" s="180">
        <f>SUM(KESRA!BF107)</f>
        <v>2682640</v>
      </c>
      <c r="O71" s="180"/>
      <c r="P71" s="180"/>
      <c r="Q71" s="454">
        <f t="shared" si="100"/>
        <v>2682640</v>
      </c>
      <c r="R71" s="180">
        <f>SUM(KESRA!BG107)</f>
        <v>6481460</v>
      </c>
      <c r="S71" s="182">
        <f t="shared" si="101"/>
        <v>342000</v>
      </c>
      <c r="T71" s="181">
        <f>SUM(KESRA!BI107)</f>
        <v>6823460</v>
      </c>
      <c r="U71" s="936">
        <f>SUM(KESRA!BJ106)</f>
        <v>1</v>
      </c>
      <c r="V71" s="448"/>
      <c r="W71" s="448">
        <f t="shared" si="102"/>
        <v>0.81409375270773765</v>
      </c>
      <c r="X71" s="448"/>
      <c r="Y71" s="448"/>
      <c r="Z71" s="448">
        <f t="shared" si="103"/>
        <v>0.81409375270773765</v>
      </c>
      <c r="AA71" s="912"/>
    </row>
    <row r="72" spans="1:34" s="37" customFormat="1" ht="35.25" customHeight="1" thickBot="1" x14ac:dyDescent="0.25">
      <c r="A72" s="500">
        <f t="shared" si="97"/>
        <v>7</v>
      </c>
      <c r="B72" s="179" t="s">
        <v>632</v>
      </c>
      <c r="C72" s="180"/>
      <c r="D72" s="180">
        <f>SUM(KESRA!BH115)</f>
        <v>20000000</v>
      </c>
      <c r="E72" s="180"/>
      <c r="F72" s="180"/>
      <c r="G72" s="181">
        <f t="shared" ref="G72" si="110">SUM(C72:F72)</f>
        <v>20000000</v>
      </c>
      <c r="H72" s="180"/>
      <c r="I72" s="180">
        <f>SUM(KESRA!AS115)</f>
        <v>17000000</v>
      </c>
      <c r="J72" s="180"/>
      <c r="K72" s="180"/>
      <c r="L72" s="454">
        <f t="shared" ref="L72" si="111">SUM(H72:K72)</f>
        <v>17000000</v>
      </c>
      <c r="M72" s="180"/>
      <c r="N72" s="180">
        <f>SUM(KESRA!BF115)</f>
        <v>2380000</v>
      </c>
      <c r="O72" s="180"/>
      <c r="P72" s="180"/>
      <c r="Q72" s="454">
        <f t="shared" ref="Q72" si="112">SUM(M72:P72)</f>
        <v>2380000</v>
      </c>
      <c r="R72" s="180">
        <f>SUM(KESRA!BG115)</f>
        <v>620000</v>
      </c>
      <c r="S72" s="182">
        <f t="shared" ref="S72" si="113">SUM(T72-R72)</f>
        <v>0</v>
      </c>
      <c r="T72" s="181">
        <f t="shared" ref="T72" si="114">SUM(G72-L72-Q72)</f>
        <v>620000</v>
      </c>
      <c r="U72" s="936">
        <f>SUM(KESRA!BJ115)</f>
        <v>1</v>
      </c>
      <c r="V72" s="448"/>
      <c r="W72" s="448">
        <f t="shared" ref="W72" si="115">SUM(I72+N72)/D72</f>
        <v>0.96899999999999997</v>
      </c>
      <c r="X72" s="448"/>
      <c r="Y72" s="448"/>
      <c r="Z72" s="448">
        <f t="shared" ref="Z72" si="116">SUM(L72+Q72)/G72</f>
        <v>0.96899999999999997</v>
      </c>
      <c r="AA72" s="912"/>
    </row>
    <row r="73" spans="1:34" s="40" customFormat="1" ht="35.25" customHeight="1" thickTop="1" thickBot="1" x14ac:dyDescent="0.25">
      <c r="A73" s="523"/>
      <c r="B73" s="524" t="s">
        <v>58</v>
      </c>
      <c r="C73" s="525">
        <f t="shared" ref="C73:T73" si="117">SUM(C66:C72)</f>
        <v>43410000</v>
      </c>
      <c r="D73" s="525">
        <f t="shared" si="117"/>
        <v>347050500</v>
      </c>
      <c r="E73" s="525">
        <f t="shared" si="117"/>
        <v>0</v>
      </c>
      <c r="F73" s="525">
        <f t="shared" si="117"/>
        <v>0</v>
      </c>
      <c r="G73" s="525">
        <f t="shared" si="117"/>
        <v>390460500</v>
      </c>
      <c r="H73" s="525">
        <f t="shared" si="117"/>
        <v>43000000</v>
      </c>
      <c r="I73" s="525">
        <f t="shared" si="117"/>
        <v>299520000</v>
      </c>
      <c r="J73" s="525">
        <f t="shared" si="117"/>
        <v>0</v>
      </c>
      <c r="K73" s="525">
        <f t="shared" si="117"/>
        <v>0</v>
      </c>
      <c r="L73" s="525">
        <f t="shared" si="117"/>
        <v>342520000</v>
      </c>
      <c r="M73" s="525">
        <f t="shared" si="117"/>
        <v>1193705</v>
      </c>
      <c r="N73" s="525">
        <f t="shared" si="117"/>
        <v>17259015</v>
      </c>
      <c r="O73" s="525">
        <f t="shared" si="117"/>
        <v>0</v>
      </c>
      <c r="P73" s="525">
        <f t="shared" si="117"/>
        <v>0</v>
      </c>
      <c r="Q73" s="525">
        <f t="shared" si="117"/>
        <v>18452720</v>
      </c>
      <c r="R73" s="525">
        <f t="shared" si="117"/>
        <v>21018340</v>
      </c>
      <c r="S73" s="525">
        <f t="shared" si="117"/>
        <v>7086640.0000000009</v>
      </c>
      <c r="T73" s="525">
        <f t="shared" si="117"/>
        <v>28104980</v>
      </c>
      <c r="U73" s="526">
        <v>1</v>
      </c>
      <c r="V73" s="592"/>
      <c r="W73" s="592">
        <f t="shared" si="80"/>
        <v>0.91277498519667888</v>
      </c>
      <c r="X73" s="592"/>
      <c r="Y73" s="592"/>
      <c r="Z73" s="592">
        <f t="shared" si="6"/>
        <v>0.92447947999861702</v>
      </c>
      <c r="AA73" s="913"/>
    </row>
    <row r="74" spans="1:34" s="456" customFormat="1" ht="35.25" customHeight="1" thickTop="1" thickBot="1" x14ac:dyDescent="0.25">
      <c r="A74" s="516" t="s">
        <v>64</v>
      </c>
      <c r="B74" s="516" t="s">
        <v>59</v>
      </c>
      <c r="C74" s="517"/>
      <c r="D74" s="517"/>
      <c r="E74" s="517"/>
      <c r="F74" s="517"/>
      <c r="G74" s="518"/>
      <c r="H74" s="517"/>
      <c r="I74" s="517"/>
      <c r="J74" s="517"/>
      <c r="K74" s="517"/>
      <c r="L74" s="518"/>
      <c r="M74" s="517"/>
      <c r="N74" s="517"/>
      <c r="O74" s="517"/>
      <c r="P74" s="517"/>
      <c r="Q74" s="518"/>
      <c r="R74" s="517"/>
      <c r="S74" s="517"/>
      <c r="T74" s="518"/>
      <c r="U74" s="521"/>
      <c r="V74" s="527"/>
      <c r="W74" s="527"/>
      <c r="X74" s="527"/>
      <c r="Y74" s="527"/>
      <c r="Z74" s="527"/>
      <c r="AA74" s="1520"/>
      <c r="AB74" s="1522"/>
      <c r="AC74" s="1522"/>
      <c r="AD74" s="1522"/>
      <c r="AE74" s="1522"/>
      <c r="AF74" s="1522"/>
      <c r="AG74" s="1522"/>
      <c r="AH74" s="1522"/>
    </row>
    <row r="75" spans="1:34" s="37" customFormat="1" ht="35.25" customHeight="1" thickTop="1" x14ac:dyDescent="0.2">
      <c r="A75" s="500">
        <v>1</v>
      </c>
      <c r="B75" s="501" t="s">
        <v>236</v>
      </c>
      <c r="C75" s="182"/>
      <c r="D75" s="182"/>
      <c r="E75" s="182">
        <f>SUM(PEMER!BH7)</f>
        <v>795000</v>
      </c>
      <c r="F75" s="182"/>
      <c r="G75" s="181">
        <f t="shared" ref="G75:G76" si="118">SUM(C75:F75)</f>
        <v>795000</v>
      </c>
      <c r="H75" s="182"/>
      <c r="I75" s="182"/>
      <c r="J75" s="182">
        <f>SUM(PEMER!AS7)</f>
        <v>450000</v>
      </c>
      <c r="K75" s="182"/>
      <c r="L75" s="181">
        <f t="shared" ref="L75:L78" si="119">SUM(H75:K75)</f>
        <v>450000</v>
      </c>
      <c r="M75" s="182"/>
      <c r="N75" s="182"/>
      <c r="O75" s="182">
        <f>SUM(PEMER!BF7)</f>
        <v>0</v>
      </c>
      <c r="P75" s="182"/>
      <c r="Q75" s="181">
        <f t="shared" ref="Q75:Q78" si="120">SUM(M75:P75)</f>
        <v>0</v>
      </c>
      <c r="R75" s="182">
        <f>SUM(PEMER!BG7)</f>
        <v>145000</v>
      </c>
      <c r="S75" s="182">
        <f>SUM(T75-R75)</f>
        <v>0</v>
      </c>
      <c r="T75" s="844">
        <f>SUM(G75-L75-Q75)-200000</f>
        <v>145000</v>
      </c>
      <c r="U75" s="497">
        <f>SUM(PEMER!BJ7)</f>
        <v>1</v>
      </c>
      <c r="V75" s="494"/>
      <c r="W75" s="494"/>
      <c r="X75" s="494">
        <f t="shared" si="90"/>
        <v>0.56603773584905659</v>
      </c>
      <c r="Y75" s="494"/>
      <c r="Z75" s="494">
        <f t="shared" si="6"/>
        <v>0.56603773584905659</v>
      </c>
      <c r="AA75" s="912"/>
    </row>
    <row r="76" spans="1:34" s="37" customFormat="1" ht="35.25" customHeight="1" x14ac:dyDescent="0.2">
      <c r="A76" s="178">
        <f>A75+1</f>
        <v>2</v>
      </c>
      <c r="B76" s="177" t="s">
        <v>237</v>
      </c>
      <c r="C76" s="180">
        <f>SUM(PEMER!BH18)</f>
        <v>799000</v>
      </c>
      <c r="D76" s="180"/>
      <c r="E76" s="180"/>
      <c r="F76" s="180"/>
      <c r="G76" s="454">
        <f t="shared" si="118"/>
        <v>799000</v>
      </c>
      <c r="H76" s="443">
        <f>SUM(UMUM!BK19)</f>
        <v>0</v>
      </c>
      <c r="I76" s="180"/>
      <c r="J76" s="180"/>
      <c r="K76" s="180"/>
      <c r="L76" s="454">
        <f t="shared" si="119"/>
        <v>0</v>
      </c>
      <c r="M76" s="443">
        <f>SUM(UMUM!BX19)</f>
        <v>0</v>
      </c>
      <c r="N76" s="180"/>
      <c r="O76" s="180"/>
      <c r="P76" s="180"/>
      <c r="Q76" s="454">
        <f t="shared" si="120"/>
        <v>0</v>
      </c>
      <c r="R76" s="443">
        <f>SUM(UMUM!BY19)</f>
        <v>0</v>
      </c>
      <c r="S76" s="180">
        <f t="shared" ref="S76:S78" si="121">SUM(T76-R76)</f>
        <v>799000</v>
      </c>
      <c r="T76" s="845">
        <f t="shared" ref="T76" si="122">SUM(G76-L76-Q76)</f>
        <v>799000</v>
      </c>
      <c r="U76" s="473">
        <f>SUM(PEMER!BJ18)</f>
        <v>0</v>
      </c>
      <c r="V76" s="448">
        <f t="shared" ref="V76" si="123">SUM(H76+M76)/C76</f>
        <v>0</v>
      </c>
      <c r="W76" s="448"/>
      <c r="X76" s="448"/>
      <c r="Y76" s="448"/>
      <c r="Z76" s="448">
        <f t="shared" si="6"/>
        <v>0</v>
      </c>
      <c r="AA76" s="1525">
        <f>SUM(T76)</f>
        <v>799000</v>
      </c>
    </row>
    <row r="77" spans="1:34" s="37" customFormat="1" ht="35.25" customHeight="1" x14ac:dyDescent="0.2">
      <c r="A77" s="178">
        <f t="shared" ref="A77:A90" si="124">A76+1</f>
        <v>3</v>
      </c>
      <c r="B77" s="644" t="s">
        <v>647</v>
      </c>
      <c r="C77" s="645"/>
      <c r="D77" s="645">
        <f>SUM(PEMER!BH38)</f>
        <v>8040500</v>
      </c>
      <c r="E77" s="645"/>
      <c r="F77" s="645"/>
      <c r="G77" s="454">
        <f>SUM(C77:F77)</f>
        <v>8040500</v>
      </c>
      <c r="H77" s="645"/>
      <c r="I77" s="180">
        <f>SUM(PEMER!AS38)</f>
        <v>1700000</v>
      </c>
      <c r="J77" s="645"/>
      <c r="K77" s="645"/>
      <c r="L77" s="454">
        <f>SUM(H77:K77)</f>
        <v>1700000</v>
      </c>
      <c r="M77" s="645"/>
      <c r="N77" s="180">
        <f>SUM(PEMER!BF38)</f>
        <v>68000</v>
      </c>
      <c r="O77" s="645"/>
      <c r="P77" s="645"/>
      <c r="Q77" s="454">
        <f>SUM(M77:P77)</f>
        <v>68000</v>
      </c>
      <c r="R77" s="180">
        <f>SUM(PEMER!BG38)</f>
        <v>172000</v>
      </c>
      <c r="S77" s="180">
        <f>SUM(T77-R77)</f>
        <v>6100500</v>
      </c>
      <c r="T77" s="845">
        <f t="shared" ref="T77:T82" si="125">SUM(G77-L77-Q77)</f>
        <v>6272500</v>
      </c>
      <c r="U77" s="473">
        <f>SUM(PEMER!BJ38)</f>
        <v>1</v>
      </c>
      <c r="V77" s="448"/>
      <c r="W77" s="448">
        <f t="shared" ref="W77" si="126">SUM(I77+N77)/D77</f>
        <v>0.21988682295877121</v>
      </c>
      <c r="X77" s="448"/>
      <c r="Y77" s="448"/>
      <c r="Z77" s="448">
        <f t="shared" si="6"/>
        <v>0.21988682295877121</v>
      </c>
      <c r="AA77" s="912"/>
    </row>
    <row r="78" spans="1:34" s="37" customFormat="1" ht="35.25" customHeight="1" x14ac:dyDescent="0.2">
      <c r="A78" s="178">
        <f t="shared" si="124"/>
        <v>4</v>
      </c>
      <c r="B78" s="646" t="s">
        <v>414</v>
      </c>
      <c r="C78" s="645"/>
      <c r="D78" s="645"/>
      <c r="E78" s="645">
        <f>SUM(PEMER!BH47)</f>
        <v>2000000</v>
      </c>
      <c r="F78" s="645"/>
      <c r="G78" s="454">
        <f t="shared" ref="G78" si="127">SUM(C78:F78)</f>
        <v>2000000</v>
      </c>
      <c r="H78" s="645"/>
      <c r="I78" s="645"/>
      <c r="J78" s="645">
        <f>SUM(PEMER!AS47)</f>
        <v>500000</v>
      </c>
      <c r="K78" s="645"/>
      <c r="L78" s="454">
        <f t="shared" si="119"/>
        <v>500000</v>
      </c>
      <c r="M78" s="645"/>
      <c r="N78" s="645"/>
      <c r="O78" s="180">
        <f>SUM(PEMER!BF47)</f>
        <v>0</v>
      </c>
      <c r="P78" s="645"/>
      <c r="Q78" s="454">
        <f t="shared" si="120"/>
        <v>0</v>
      </c>
      <c r="R78" s="180">
        <f>SUM(PEMER!BG47)</f>
        <v>0</v>
      </c>
      <c r="S78" s="180">
        <f t="shared" si="121"/>
        <v>1000000</v>
      </c>
      <c r="T78" s="845">
        <f>SUM(G78-L78-Q78)-500000</f>
        <v>1000000</v>
      </c>
      <c r="U78" s="473">
        <f>SUM(PEMER!BJ47)</f>
        <v>1</v>
      </c>
      <c r="V78" s="448"/>
      <c r="W78" s="448"/>
      <c r="X78" s="448">
        <f t="shared" ref="X78:X107" si="128">SUM(J78+O78)/E78</f>
        <v>0.25</v>
      </c>
      <c r="Y78" s="448"/>
      <c r="Z78" s="448">
        <f t="shared" ref="Z78:Z106" si="129">SUM(L78+Q78)/G78</f>
        <v>0.25</v>
      </c>
      <c r="AA78" s="912"/>
    </row>
    <row r="79" spans="1:34" s="37" customFormat="1" ht="35.25" customHeight="1" x14ac:dyDescent="0.2">
      <c r="A79" s="178">
        <f t="shared" si="124"/>
        <v>5</v>
      </c>
      <c r="B79" s="644" t="s">
        <v>240</v>
      </c>
      <c r="C79" s="645"/>
      <c r="D79" s="645"/>
      <c r="E79" s="645">
        <f>SUM(PEMER!BH55)</f>
        <v>2595600</v>
      </c>
      <c r="F79" s="645"/>
      <c r="G79" s="454">
        <f t="shared" ref="G79:G85" si="130">SUM(C79:F79)</f>
        <v>2595600</v>
      </c>
      <c r="H79" s="645"/>
      <c r="I79" s="645"/>
      <c r="J79" s="645">
        <f>SUM(PEMER!AS55)</f>
        <v>1971900</v>
      </c>
      <c r="K79" s="645"/>
      <c r="L79" s="454">
        <f t="shared" ref="L79:L85" si="131">SUM(H79:K79)</f>
        <v>1971900</v>
      </c>
      <c r="M79" s="645"/>
      <c r="N79" s="645"/>
      <c r="O79" s="645">
        <f>SUM(PEMER!BF55)</f>
        <v>52920</v>
      </c>
      <c r="P79" s="645"/>
      <c r="Q79" s="454">
        <f t="shared" ref="Q79:Q85" si="132">SUM(M79:P79)</f>
        <v>52920</v>
      </c>
      <c r="R79" s="180">
        <f>SUM(PEMER!BG55)</f>
        <v>138180</v>
      </c>
      <c r="S79" s="180">
        <f t="shared" ref="S79:S85" si="133">SUM(T79-R79)</f>
        <v>0</v>
      </c>
      <c r="T79" s="845">
        <f>SUM(G79-L79-Q79)-432600</f>
        <v>138180</v>
      </c>
      <c r="U79" s="473">
        <f>SUM(PEMER!BJ55)</f>
        <v>1</v>
      </c>
      <c r="V79" s="448"/>
      <c r="W79" s="448"/>
      <c r="X79" s="448">
        <f>SUM(J79+O79)/E79</f>
        <v>0.78009708737864081</v>
      </c>
      <c r="Y79" s="448"/>
      <c r="Z79" s="448">
        <f t="shared" ref="Z79:Z85" si="134">SUM(L79+Q79)/G79</f>
        <v>0.78009708737864081</v>
      </c>
      <c r="AA79" s="912"/>
    </row>
    <row r="80" spans="1:34" s="37" customFormat="1" ht="35.25" customHeight="1" x14ac:dyDescent="0.2">
      <c r="A80" s="178">
        <f t="shared" si="124"/>
        <v>6</v>
      </c>
      <c r="B80" s="644" t="s">
        <v>242</v>
      </c>
      <c r="C80" s="645"/>
      <c r="D80" s="645"/>
      <c r="E80" s="645">
        <f>SUM(PEMER!BH63)</f>
        <v>1030000</v>
      </c>
      <c r="F80" s="645"/>
      <c r="G80" s="454">
        <f t="shared" si="130"/>
        <v>1030000</v>
      </c>
      <c r="H80" s="645"/>
      <c r="I80" s="645"/>
      <c r="J80" s="645">
        <f>SUM(PEMER!AS63)</f>
        <v>649000</v>
      </c>
      <c r="K80" s="645"/>
      <c r="L80" s="454">
        <f t="shared" si="131"/>
        <v>649000</v>
      </c>
      <c r="M80" s="645"/>
      <c r="N80" s="645"/>
      <c r="O80" s="645">
        <f>SUM(PEMER!BF63)</f>
        <v>16980</v>
      </c>
      <c r="P80" s="645"/>
      <c r="Q80" s="454">
        <f t="shared" si="132"/>
        <v>16980</v>
      </c>
      <c r="R80" s="180">
        <f>SUM(PEMER!BG63)</f>
        <v>80580</v>
      </c>
      <c r="S80" s="180">
        <f t="shared" si="133"/>
        <v>114820</v>
      </c>
      <c r="T80" s="845">
        <f>SUM(PEMER!BI63)</f>
        <v>195400</v>
      </c>
      <c r="U80" s="473">
        <f>SUM(PEMER!BJ63)</f>
        <v>1</v>
      </c>
      <c r="V80" s="448"/>
      <c r="W80" s="448"/>
      <c r="X80" s="448">
        <f>SUM(J80+O80)/E80</f>
        <v>0.64658252427184471</v>
      </c>
      <c r="Y80" s="448"/>
      <c r="Z80" s="448">
        <f t="shared" si="134"/>
        <v>0.64658252427184471</v>
      </c>
      <c r="AA80" s="912"/>
    </row>
    <row r="81" spans="1:34" s="37" customFormat="1" ht="35.25" customHeight="1" x14ac:dyDescent="0.2">
      <c r="A81" s="178">
        <f t="shared" si="124"/>
        <v>7</v>
      </c>
      <c r="B81" s="646" t="s">
        <v>241</v>
      </c>
      <c r="C81" s="645"/>
      <c r="D81" s="645"/>
      <c r="E81" s="645">
        <f>SUM(PEMER!BH73)</f>
        <v>840000</v>
      </c>
      <c r="F81" s="645"/>
      <c r="G81" s="454">
        <f t="shared" si="130"/>
        <v>840000</v>
      </c>
      <c r="H81" s="645"/>
      <c r="I81" s="645"/>
      <c r="J81" s="645">
        <f>SUM(PEMER!AS73)</f>
        <v>600000</v>
      </c>
      <c r="K81" s="645"/>
      <c r="L81" s="454">
        <f t="shared" si="131"/>
        <v>600000</v>
      </c>
      <c r="M81" s="645"/>
      <c r="N81" s="645"/>
      <c r="O81" s="645">
        <f>SUM(PEMER!BF73)</f>
        <v>15200</v>
      </c>
      <c r="P81" s="645"/>
      <c r="Q81" s="454">
        <f t="shared" si="132"/>
        <v>15200</v>
      </c>
      <c r="R81" s="180">
        <f>SUM(PEMER!BG73)</f>
        <v>30400</v>
      </c>
      <c r="S81" s="180">
        <f t="shared" si="133"/>
        <v>0</v>
      </c>
      <c r="T81" s="845">
        <f>SUM(PEMER!BI73)</f>
        <v>30400</v>
      </c>
      <c r="U81" s="473">
        <f>SUM(PEMER!BJ73)</f>
        <v>1</v>
      </c>
      <c r="V81" s="448"/>
      <c r="W81" s="448"/>
      <c r="X81" s="448">
        <f>SUM(J81+O81)/E81</f>
        <v>0.73238095238095235</v>
      </c>
      <c r="Y81" s="448"/>
      <c r="Z81" s="448">
        <f t="shared" si="134"/>
        <v>0.73238095238095235</v>
      </c>
      <c r="AA81" s="912"/>
    </row>
    <row r="82" spans="1:34" s="37" customFormat="1" ht="35.25" customHeight="1" x14ac:dyDescent="0.2">
      <c r="A82" s="178">
        <f t="shared" si="124"/>
        <v>8</v>
      </c>
      <c r="B82" s="644" t="s">
        <v>421</v>
      </c>
      <c r="C82" s="645"/>
      <c r="D82" s="645">
        <f>SUM(PEMER!BH87)</f>
        <v>3548000</v>
      </c>
      <c r="E82" s="645"/>
      <c r="F82" s="645"/>
      <c r="G82" s="454">
        <f t="shared" si="130"/>
        <v>3548000</v>
      </c>
      <c r="H82" s="645"/>
      <c r="I82" s="180">
        <f>SUM(PEMER!AS87)</f>
        <v>2800000</v>
      </c>
      <c r="J82" s="645"/>
      <c r="K82" s="645"/>
      <c r="L82" s="454">
        <f t="shared" si="131"/>
        <v>2800000</v>
      </c>
      <c r="M82" s="645"/>
      <c r="N82" s="180">
        <f>SUM(PEMER!BF87)</f>
        <v>72000</v>
      </c>
      <c r="O82" s="645"/>
      <c r="P82" s="645"/>
      <c r="Q82" s="454">
        <f t="shared" si="132"/>
        <v>72000</v>
      </c>
      <c r="R82" s="180">
        <f>SUM(PEMER!BG87)</f>
        <v>176000</v>
      </c>
      <c r="S82" s="180">
        <f>SUM(T82-R82)</f>
        <v>0</v>
      </c>
      <c r="T82" s="454">
        <f>SUM(G82-L82-Q82)-500000</f>
        <v>176000</v>
      </c>
      <c r="U82" s="473">
        <f>SUM(PEMER!BJ87)</f>
        <v>1</v>
      </c>
      <c r="V82" s="448"/>
      <c r="W82" s="448">
        <f t="shared" ref="W82" si="135">SUM(I82+N82)/D82</f>
        <v>0.8094701240135288</v>
      </c>
      <c r="X82" s="448"/>
      <c r="Y82" s="448"/>
      <c r="Z82" s="448">
        <f t="shared" si="134"/>
        <v>0.8094701240135288</v>
      </c>
      <c r="AA82" s="912"/>
    </row>
    <row r="83" spans="1:34" s="37" customFormat="1" ht="35.25" customHeight="1" x14ac:dyDescent="0.2">
      <c r="A83" s="178">
        <f t="shared" si="124"/>
        <v>9</v>
      </c>
      <c r="B83" s="646" t="s">
        <v>426</v>
      </c>
      <c r="C83" s="645"/>
      <c r="D83" s="645"/>
      <c r="E83" s="645">
        <f>SUM(PEMER!BH103)</f>
        <v>3164000</v>
      </c>
      <c r="F83" s="645"/>
      <c r="G83" s="454">
        <f t="shared" si="130"/>
        <v>3164000</v>
      </c>
      <c r="H83" s="645"/>
      <c r="I83" s="645"/>
      <c r="J83" s="645">
        <f>SUM(PEMER!AS103)</f>
        <v>2132000</v>
      </c>
      <c r="K83" s="645"/>
      <c r="L83" s="454">
        <f t="shared" si="131"/>
        <v>2132000</v>
      </c>
      <c r="M83" s="645"/>
      <c r="N83" s="645"/>
      <c r="O83" s="180">
        <f>SUM(PEMER!BF103)</f>
        <v>57280</v>
      </c>
      <c r="P83" s="645"/>
      <c r="Q83" s="454">
        <f t="shared" si="132"/>
        <v>57280</v>
      </c>
      <c r="R83" s="180">
        <f>SUM(PEMER!BG103)</f>
        <v>147720</v>
      </c>
      <c r="S83" s="180">
        <f t="shared" si="133"/>
        <v>827000</v>
      </c>
      <c r="T83" s="845">
        <f>SUM(G83-L83-Q83)</f>
        <v>974720</v>
      </c>
      <c r="U83" s="473">
        <f>SUM(PEMER!BJ103)</f>
        <v>1</v>
      </c>
      <c r="V83" s="448"/>
      <c r="W83" s="448"/>
      <c r="X83" s="448">
        <f>SUM(J83+O83)/E83</f>
        <v>0.69193426042983563</v>
      </c>
      <c r="Y83" s="448"/>
      <c r="Z83" s="448">
        <f t="shared" si="134"/>
        <v>0.69193426042983563</v>
      </c>
      <c r="AA83" s="912"/>
    </row>
    <row r="84" spans="1:34" s="37" customFormat="1" ht="35.25" customHeight="1" x14ac:dyDescent="0.2">
      <c r="A84" s="178">
        <f t="shared" si="124"/>
        <v>10</v>
      </c>
      <c r="B84" s="646" t="s">
        <v>428</v>
      </c>
      <c r="C84" s="645"/>
      <c r="D84" s="645"/>
      <c r="E84" s="645">
        <f>SUM(PEMER!BH120)</f>
        <v>6209500</v>
      </c>
      <c r="F84" s="645"/>
      <c r="G84" s="454">
        <f t="shared" si="130"/>
        <v>6209500</v>
      </c>
      <c r="H84" s="645"/>
      <c r="I84" s="645"/>
      <c r="J84" s="645">
        <f>SUM(PEMER!AS120)</f>
        <v>1355000</v>
      </c>
      <c r="K84" s="645"/>
      <c r="L84" s="454">
        <f t="shared" si="131"/>
        <v>1355000</v>
      </c>
      <c r="M84" s="645"/>
      <c r="N84" s="645"/>
      <c r="O84" s="180">
        <f>SUM(PEMER!BF120)</f>
        <v>169120</v>
      </c>
      <c r="P84" s="645"/>
      <c r="Q84" s="454">
        <f t="shared" si="132"/>
        <v>169120</v>
      </c>
      <c r="R84" s="180">
        <f>SUM(PEMER!BG120)</f>
        <v>13500</v>
      </c>
      <c r="S84" s="180">
        <f t="shared" si="133"/>
        <v>4241000</v>
      </c>
      <c r="T84" s="845">
        <f>SUM(PEMER!BI120)</f>
        <v>4254500</v>
      </c>
      <c r="U84" s="473">
        <f>SUM(PEMER!BJ104)</f>
        <v>0</v>
      </c>
      <c r="V84" s="448"/>
      <c r="W84" s="448"/>
      <c r="X84" s="448">
        <f>SUM(J84+O84)/E84</f>
        <v>0.24544971414767694</v>
      </c>
      <c r="Y84" s="448"/>
      <c r="Z84" s="448">
        <f t="shared" si="134"/>
        <v>0.24544971414767694</v>
      </c>
      <c r="AA84" s="1525">
        <f>SUM(T84)</f>
        <v>4254500</v>
      </c>
    </row>
    <row r="85" spans="1:34" s="37" customFormat="1" ht="35.25" customHeight="1" x14ac:dyDescent="0.2">
      <c r="A85" s="178">
        <f t="shared" si="124"/>
        <v>11</v>
      </c>
      <c r="B85" s="644" t="s">
        <v>243</v>
      </c>
      <c r="C85" s="645"/>
      <c r="D85" s="645">
        <f>SUM(PEMER!BH136)</f>
        <v>52355940</v>
      </c>
      <c r="E85" s="645"/>
      <c r="F85" s="645"/>
      <c r="G85" s="454">
        <f t="shared" si="130"/>
        <v>52355940</v>
      </c>
      <c r="H85" s="645"/>
      <c r="I85" s="645">
        <f>SUM(PEMER!AS136)</f>
        <v>26023706</v>
      </c>
      <c r="J85" s="645"/>
      <c r="K85" s="645"/>
      <c r="L85" s="454">
        <f t="shared" si="131"/>
        <v>26023706</v>
      </c>
      <c r="M85" s="645"/>
      <c r="N85" s="645">
        <f>SUM(PEMER!BF136)</f>
        <v>1650150.75</v>
      </c>
      <c r="O85" s="645"/>
      <c r="P85" s="645"/>
      <c r="Q85" s="454">
        <f t="shared" si="132"/>
        <v>1650150.75</v>
      </c>
      <c r="R85" s="180">
        <f>SUM(PEMER!BG136)</f>
        <v>15000</v>
      </c>
      <c r="S85" s="180">
        <f t="shared" si="133"/>
        <v>25076027</v>
      </c>
      <c r="T85" s="845">
        <f>SUM(PEMER!BI136)</f>
        <v>25091027</v>
      </c>
      <c r="U85" s="473">
        <f>SUM(PEMER!BJ136)</f>
        <v>1</v>
      </c>
      <c r="V85" s="448"/>
      <c r="W85" s="448">
        <f>SUM(I85+N85)/D85</f>
        <v>0.52857148109650975</v>
      </c>
      <c r="X85" s="448"/>
      <c r="Y85" s="448"/>
      <c r="Z85" s="448">
        <f t="shared" si="134"/>
        <v>0.52857148109650975</v>
      </c>
      <c r="AA85" s="912"/>
    </row>
    <row r="86" spans="1:34" s="37" customFormat="1" ht="35.25" customHeight="1" x14ac:dyDescent="0.2">
      <c r="A86" s="178">
        <f t="shared" si="124"/>
        <v>12</v>
      </c>
      <c r="B86" s="644" t="s">
        <v>432</v>
      </c>
      <c r="C86" s="645"/>
      <c r="D86" s="645"/>
      <c r="E86" s="645">
        <f>SUM(PEMER!BH161)</f>
        <v>9134500</v>
      </c>
      <c r="F86" s="645"/>
      <c r="G86" s="454">
        <f t="shared" ref="G86:G87" si="136">SUM(C86:F86)</f>
        <v>9134500</v>
      </c>
      <c r="H86" s="645"/>
      <c r="I86" s="645"/>
      <c r="J86" s="645">
        <f>SUM(PEMER!AS161)</f>
        <v>0</v>
      </c>
      <c r="K86" s="645"/>
      <c r="L86" s="454">
        <f t="shared" ref="L86:L87" si="137">SUM(H86:K86)</f>
        <v>0</v>
      </c>
      <c r="M86" s="645"/>
      <c r="N86" s="645"/>
      <c r="O86" s="180">
        <f>SUM(PEMER!BF161)</f>
        <v>0</v>
      </c>
      <c r="P86" s="645"/>
      <c r="Q86" s="454">
        <f t="shared" ref="Q86:Q87" si="138">SUM(M86:P86)</f>
        <v>0</v>
      </c>
      <c r="R86" s="180">
        <f>SUM(PEMER!BG161)</f>
        <v>0</v>
      </c>
      <c r="S86" s="180">
        <f t="shared" ref="S86:S87" si="139">SUM(T86-R86)</f>
        <v>9134500</v>
      </c>
      <c r="T86" s="845">
        <f t="shared" ref="T86:T87" si="140">SUM(G86-L86-Q86)</f>
        <v>9134500</v>
      </c>
      <c r="U86" s="473">
        <f>SUM(PEMER!BJ161)</f>
        <v>0</v>
      </c>
      <c r="V86" s="448"/>
      <c r="W86" s="448"/>
      <c r="X86" s="448">
        <f t="shared" ref="X86:X87" si="141">SUM(J86+O86)/E86</f>
        <v>0</v>
      </c>
      <c r="Y86" s="448"/>
      <c r="Z86" s="448">
        <f t="shared" ref="Z86:Z87" si="142">SUM(L86+Q86)/G86</f>
        <v>0</v>
      </c>
      <c r="AA86" s="1525">
        <f>SUM(T86)</f>
        <v>9134500</v>
      </c>
    </row>
    <row r="87" spans="1:34" s="37" customFormat="1" ht="35.25" customHeight="1" x14ac:dyDescent="0.2">
      <c r="A87" s="178">
        <f t="shared" si="124"/>
        <v>13</v>
      </c>
      <c r="B87" s="644" t="s">
        <v>452</v>
      </c>
      <c r="C87" s="645"/>
      <c r="D87" s="645"/>
      <c r="E87" s="645">
        <f>SUM(PEMER!BH169)</f>
        <v>1030000</v>
      </c>
      <c r="F87" s="645"/>
      <c r="G87" s="454">
        <f t="shared" si="136"/>
        <v>1030000</v>
      </c>
      <c r="H87" s="645"/>
      <c r="I87" s="645"/>
      <c r="J87" s="645">
        <f>SUM(PEMER!AS169)</f>
        <v>0</v>
      </c>
      <c r="K87" s="645"/>
      <c r="L87" s="454">
        <f t="shared" si="137"/>
        <v>0</v>
      </c>
      <c r="M87" s="645"/>
      <c r="N87" s="645"/>
      <c r="O87" s="180">
        <f>SUM(PEMER!BF169)</f>
        <v>0</v>
      </c>
      <c r="P87" s="645"/>
      <c r="Q87" s="454">
        <f t="shared" si="138"/>
        <v>0</v>
      </c>
      <c r="R87" s="180">
        <f>SUM(PEMER!BG169)</f>
        <v>0</v>
      </c>
      <c r="S87" s="180">
        <f t="shared" si="139"/>
        <v>1030000</v>
      </c>
      <c r="T87" s="845">
        <f t="shared" si="140"/>
        <v>1030000</v>
      </c>
      <c r="U87" s="473">
        <f>SUM(PEMER!BJ169)</f>
        <v>1</v>
      </c>
      <c r="V87" s="448"/>
      <c r="W87" s="448"/>
      <c r="X87" s="448">
        <f t="shared" si="141"/>
        <v>0</v>
      </c>
      <c r="Y87" s="448"/>
      <c r="Z87" s="448">
        <f t="shared" si="142"/>
        <v>0</v>
      </c>
      <c r="AA87" s="1525">
        <f>SUM(T87)</f>
        <v>1030000</v>
      </c>
    </row>
    <row r="88" spans="1:34" s="37" customFormat="1" ht="35.25" customHeight="1" x14ac:dyDescent="0.2">
      <c r="A88" s="178">
        <f t="shared" si="124"/>
        <v>14</v>
      </c>
      <c r="B88" s="644" t="s">
        <v>582</v>
      </c>
      <c r="C88" s="645">
        <f>SUM(PEMER!BH178)</f>
        <v>12451000</v>
      </c>
      <c r="D88" s="645"/>
      <c r="E88" s="645"/>
      <c r="F88" s="645"/>
      <c r="G88" s="454">
        <f t="shared" ref="G88" si="143">SUM(C88:F88)</f>
        <v>12451000</v>
      </c>
      <c r="H88" s="443">
        <f>SUM(UMUM!BK226)</f>
        <v>0</v>
      </c>
      <c r="I88" s="645"/>
      <c r="J88" s="645"/>
      <c r="K88" s="645"/>
      <c r="L88" s="454">
        <f t="shared" ref="L88" si="144">SUM(H88:K88)</f>
        <v>0</v>
      </c>
      <c r="M88" s="443">
        <f>SUM(UMUM!BX226)</f>
        <v>0</v>
      </c>
      <c r="N88" s="645"/>
      <c r="O88" s="180"/>
      <c r="P88" s="645"/>
      <c r="Q88" s="454">
        <f t="shared" ref="Q88" si="145">SUM(M88:P88)</f>
        <v>0</v>
      </c>
      <c r="R88" s="180">
        <f>SUM(PEMER!BG178)</f>
        <v>4561000</v>
      </c>
      <c r="S88" s="180">
        <f t="shared" ref="S88" si="146">SUM(T88-R88)</f>
        <v>7890000</v>
      </c>
      <c r="T88" s="845">
        <f t="shared" ref="T88" si="147">SUM(G88-L88-Q88)</f>
        <v>12451000</v>
      </c>
      <c r="U88" s="473">
        <f>SUM(PEMER!BJ178)</f>
        <v>1</v>
      </c>
      <c r="V88" s="448">
        <f t="shared" ref="V88" si="148">SUM(H88+M88)/C88</f>
        <v>0</v>
      </c>
      <c r="W88" s="448"/>
      <c r="X88" s="448"/>
      <c r="Y88" s="448"/>
      <c r="Z88" s="448">
        <f t="shared" ref="Z88" si="149">SUM(L88+Q88)/G88</f>
        <v>0</v>
      </c>
      <c r="AA88" s="912"/>
    </row>
    <row r="89" spans="1:34" s="37" customFormat="1" ht="35.25" customHeight="1" x14ac:dyDescent="0.2">
      <c r="A89" s="178">
        <f t="shared" si="124"/>
        <v>15</v>
      </c>
      <c r="B89" s="644" t="s">
        <v>584</v>
      </c>
      <c r="C89" s="645">
        <f>SUM(PEMER!BH187)</f>
        <v>0</v>
      </c>
      <c r="D89" s="645"/>
      <c r="E89" s="645"/>
      <c r="F89" s="645"/>
      <c r="G89" s="454">
        <f t="shared" ref="G89:G90" si="150">SUM(C89:F89)</f>
        <v>0</v>
      </c>
      <c r="H89" s="443"/>
      <c r="I89" s="645"/>
      <c r="J89" s="645"/>
      <c r="K89" s="645"/>
      <c r="L89" s="454">
        <f t="shared" ref="L89:L90" si="151">SUM(H89:K89)</f>
        <v>0</v>
      </c>
      <c r="M89" s="443">
        <f>SUM(UMUM!BX235)</f>
        <v>0</v>
      </c>
      <c r="N89" s="645"/>
      <c r="O89" s="180"/>
      <c r="P89" s="645"/>
      <c r="Q89" s="454">
        <f t="shared" ref="Q89:Q90" si="152">SUM(M89:P89)</f>
        <v>0</v>
      </c>
      <c r="R89" s="180">
        <f>SUM(PEMER!BG187)</f>
        <v>0</v>
      </c>
      <c r="S89" s="180">
        <f t="shared" ref="S89:S90" si="153">SUM(T89-R89)</f>
        <v>0</v>
      </c>
      <c r="T89" s="845">
        <f t="shared" ref="T89:T90" si="154">SUM(G89-L89-Q89)</f>
        <v>0</v>
      </c>
      <c r="U89" s="473"/>
      <c r="V89" s="448"/>
      <c r="W89" s="448"/>
      <c r="X89" s="448"/>
      <c r="Y89" s="448"/>
      <c r="Z89" s="448"/>
      <c r="AA89" s="912"/>
    </row>
    <row r="90" spans="1:34" s="37" customFormat="1" ht="35.25" customHeight="1" thickBot="1" x14ac:dyDescent="0.25">
      <c r="A90" s="178">
        <f t="shared" si="124"/>
        <v>16</v>
      </c>
      <c r="B90" s="644" t="s">
        <v>585</v>
      </c>
      <c r="C90" s="645">
        <f>SUM(PEMER!BH196)</f>
        <v>0</v>
      </c>
      <c r="D90" s="645"/>
      <c r="E90" s="645"/>
      <c r="F90" s="645"/>
      <c r="G90" s="454">
        <f t="shared" si="150"/>
        <v>0</v>
      </c>
      <c r="H90" s="443">
        <f>SUM(UMUM!BK244)</f>
        <v>0</v>
      </c>
      <c r="I90" s="645"/>
      <c r="J90" s="645"/>
      <c r="K90" s="645"/>
      <c r="L90" s="454">
        <f t="shared" si="151"/>
        <v>0</v>
      </c>
      <c r="M90" s="443">
        <f>SUM(UMUM!BX244)</f>
        <v>0</v>
      </c>
      <c r="N90" s="645"/>
      <c r="O90" s="180"/>
      <c r="P90" s="645"/>
      <c r="Q90" s="454">
        <f t="shared" si="152"/>
        <v>0</v>
      </c>
      <c r="R90" s="180">
        <f>SUM(PEMER!BG196)</f>
        <v>0</v>
      </c>
      <c r="S90" s="180">
        <f t="shared" si="153"/>
        <v>0</v>
      </c>
      <c r="T90" s="845">
        <f t="shared" si="154"/>
        <v>0</v>
      </c>
      <c r="U90" s="473"/>
      <c r="V90" s="448"/>
      <c r="W90" s="448"/>
      <c r="X90" s="448"/>
      <c r="Y90" s="448"/>
      <c r="Z90" s="448"/>
      <c r="AA90" s="912"/>
    </row>
    <row r="91" spans="1:34" s="40" customFormat="1" ht="35.25" customHeight="1" thickTop="1" thickBot="1" x14ac:dyDescent="0.25">
      <c r="A91" s="523"/>
      <c r="B91" s="524" t="s">
        <v>58</v>
      </c>
      <c r="C91" s="525">
        <f>SUM(C75:C90)</f>
        <v>13250000</v>
      </c>
      <c r="D91" s="525">
        <f t="shared" ref="D91:T91" si="155">SUM(D75:D90)</f>
        <v>63944440</v>
      </c>
      <c r="E91" s="525">
        <f t="shared" si="155"/>
        <v>26798600</v>
      </c>
      <c r="F91" s="525">
        <f t="shared" si="155"/>
        <v>0</v>
      </c>
      <c r="G91" s="525">
        <f t="shared" si="155"/>
        <v>103993040</v>
      </c>
      <c r="H91" s="525">
        <f t="shared" si="155"/>
        <v>0</v>
      </c>
      <c r="I91" s="525">
        <f>SUM(I75:I90)+239</f>
        <v>30523945</v>
      </c>
      <c r="J91" s="525">
        <f t="shared" si="155"/>
        <v>7657900</v>
      </c>
      <c r="K91" s="525">
        <f t="shared" si="155"/>
        <v>0</v>
      </c>
      <c r="L91" s="525">
        <f t="shared" si="155"/>
        <v>38181606</v>
      </c>
      <c r="M91" s="525">
        <f t="shared" si="155"/>
        <v>0</v>
      </c>
      <c r="N91" s="525">
        <f t="shared" si="155"/>
        <v>1790150.75</v>
      </c>
      <c r="O91" s="525">
        <f t="shared" si="155"/>
        <v>311500</v>
      </c>
      <c r="P91" s="525">
        <f t="shared" si="155"/>
        <v>0</v>
      </c>
      <c r="Q91" s="525">
        <f t="shared" si="155"/>
        <v>2101650.75</v>
      </c>
      <c r="R91" s="525">
        <f t="shared" si="155"/>
        <v>5479380</v>
      </c>
      <c r="S91" s="525">
        <f t="shared" si="155"/>
        <v>56212847</v>
      </c>
      <c r="T91" s="525">
        <f t="shared" si="155"/>
        <v>61692227</v>
      </c>
      <c r="U91" s="526">
        <f>SUM(U75:U90)/14</f>
        <v>0.7857142857142857</v>
      </c>
      <c r="V91" s="592">
        <f t="shared" ref="V91:V107" si="156">SUM(H91+M91)/C91</f>
        <v>0</v>
      </c>
      <c r="W91" s="592">
        <f t="shared" ref="W91:W107" si="157">SUM(I91+N91)/D91</f>
        <v>0.50534644998063949</v>
      </c>
      <c r="X91" s="592">
        <f t="shared" si="128"/>
        <v>0.29738120648093558</v>
      </c>
      <c r="Y91" s="592"/>
      <c r="Z91" s="592">
        <f t="shared" si="129"/>
        <v>0.387364930864604</v>
      </c>
      <c r="AA91" s="913"/>
    </row>
    <row r="92" spans="1:34" s="456" customFormat="1" ht="35.25" customHeight="1" thickTop="1" thickBot="1" x14ac:dyDescent="0.25">
      <c r="A92" s="516" t="s">
        <v>65</v>
      </c>
      <c r="B92" s="516" t="s">
        <v>66</v>
      </c>
      <c r="C92" s="517"/>
      <c r="D92" s="517"/>
      <c r="E92" s="517"/>
      <c r="F92" s="517"/>
      <c r="G92" s="518"/>
      <c r="H92" s="517"/>
      <c r="I92" s="517"/>
      <c r="J92" s="517"/>
      <c r="K92" s="517"/>
      <c r="L92" s="518"/>
      <c r="M92" s="517"/>
      <c r="N92" s="517"/>
      <c r="O92" s="517"/>
      <c r="P92" s="517"/>
      <c r="Q92" s="518"/>
      <c r="R92" s="517"/>
      <c r="S92" s="517"/>
      <c r="T92" s="518"/>
      <c r="U92" s="521"/>
      <c r="V92" s="527"/>
      <c r="W92" s="527"/>
      <c r="X92" s="527"/>
      <c r="Y92" s="527"/>
      <c r="Z92" s="527"/>
      <c r="AA92" s="1520"/>
      <c r="AB92" s="1522"/>
      <c r="AC92" s="1522"/>
      <c r="AD92" s="1522"/>
      <c r="AE92" s="1522"/>
      <c r="AF92" s="1522"/>
      <c r="AG92" s="1522"/>
      <c r="AH92" s="1522"/>
    </row>
    <row r="93" spans="1:34" s="37" customFormat="1" ht="35.25" customHeight="1" thickTop="1" x14ac:dyDescent="0.2">
      <c r="A93" s="500">
        <v>1</v>
      </c>
      <c r="B93" s="501" t="s">
        <v>67</v>
      </c>
      <c r="C93" s="182">
        <f>SUM(YAN!CB25)</f>
        <v>17721800</v>
      </c>
      <c r="D93" s="182"/>
      <c r="E93" s="182"/>
      <c r="F93" s="182"/>
      <c r="G93" s="181">
        <f t="shared" ref="G93:G101" si="158">SUM(C93:F93)</f>
        <v>17721800</v>
      </c>
      <c r="H93" s="182">
        <f>SUM(YAN!BH25)</f>
        <v>11753500</v>
      </c>
      <c r="I93" s="182"/>
      <c r="J93" s="182"/>
      <c r="K93" s="182"/>
      <c r="L93" s="181">
        <f t="shared" ref="L93:L101" si="159">SUM(H93:K93)</f>
        <v>11753500</v>
      </c>
      <c r="M93" s="182">
        <f>SUM(YAN!BZ25)</f>
        <v>226100</v>
      </c>
      <c r="N93" s="182"/>
      <c r="O93" s="182"/>
      <c r="P93" s="182"/>
      <c r="Q93" s="452">
        <f t="shared" ref="Q93:Q101" si="160">SUM(M93:P93)</f>
        <v>226100</v>
      </c>
      <c r="R93" s="182">
        <f>SUM(YAN!CA25)</f>
        <v>1668200</v>
      </c>
      <c r="S93" s="182">
        <f t="shared" ref="S93:S102" si="161">SUM(T93-R93)</f>
        <v>4074000</v>
      </c>
      <c r="T93" s="181">
        <f t="shared" ref="T93" si="162">SUM(G93-L93-Q93)</f>
        <v>5742200</v>
      </c>
      <c r="U93" s="497">
        <f>SUM(YAN!CD25)</f>
        <v>1</v>
      </c>
      <c r="V93" s="494">
        <f t="shared" si="156"/>
        <v>0.67598099515850529</v>
      </c>
      <c r="W93" s="494"/>
      <c r="X93" s="494"/>
      <c r="Y93" s="494"/>
      <c r="Z93" s="494">
        <f t="shared" si="129"/>
        <v>0.67598099515850529</v>
      </c>
      <c r="AA93" s="912"/>
    </row>
    <row r="94" spans="1:34" s="7" customFormat="1" ht="35.25" customHeight="1" x14ac:dyDescent="0.2">
      <c r="A94" s="22">
        <v>2</v>
      </c>
      <c r="B94" s="18" t="s">
        <v>249</v>
      </c>
      <c r="C94" s="443"/>
      <c r="D94" s="443"/>
      <c r="E94" s="443">
        <f>SUM(YAN!CB39)</f>
        <v>3287900</v>
      </c>
      <c r="F94" s="443"/>
      <c r="G94" s="444">
        <f t="shared" ref="G94:G100" si="163">SUM(C94:F94)</f>
        <v>3287900</v>
      </c>
      <c r="H94" s="443"/>
      <c r="I94" s="443"/>
      <c r="J94" s="443">
        <f>SUM(YAN!BH39)</f>
        <v>360000</v>
      </c>
      <c r="K94" s="443"/>
      <c r="L94" s="444">
        <f t="shared" ref="L94:L100" si="164">SUM(H94:K94)</f>
        <v>360000</v>
      </c>
      <c r="M94" s="443"/>
      <c r="N94" s="443"/>
      <c r="O94" s="453">
        <f>SUM(YAN!BZ39)</f>
        <v>14400</v>
      </c>
      <c r="P94" s="443"/>
      <c r="Q94" s="445">
        <f t="shared" ref="Q94:Q100" si="165">SUM(M94:P94)</f>
        <v>14400</v>
      </c>
      <c r="R94" s="443">
        <f>SUM(YAN!CA39)</f>
        <v>37600</v>
      </c>
      <c r="S94" s="443">
        <f t="shared" si="161"/>
        <v>2875900</v>
      </c>
      <c r="T94" s="444">
        <f t="shared" ref="T94:T100" si="166">SUM(G94-L94-Q94)</f>
        <v>2913500</v>
      </c>
      <c r="U94" s="473">
        <f>SUM(YAN!CD39)</f>
        <v>1</v>
      </c>
      <c r="V94" s="448"/>
      <c r="W94" s="448"/>
      <c r="X94" s="448">
        <f>SUM(J94+O94)/E94</f>
        <v>0.1138720764013504</v>
      </c>
      <c r="Y94" s="448"/>
      <c r="Z94" s="448">
        <f t="shared" ref="Z94:Z100" si="167">SUM(L94+Q94)/G94</f>
        <v>0.1138720764013504</v>
      </c>
      <c r="AA94" s="912"/>
      <c r="AB94" s="37"/>
    </row>
    <row r="95" spans="1:34" s="37" customFormat="1" ht="35.25" customHeight="1" x14ac:dyDescent="0.2">
      <c r="A95" s="500">
        <v>3</v>
      </c>
      <c r="B95" s="179" t="s">
        <v>246</v>
      </c>
      <c r="C95" s="180"/>
      <c r="D95" s="180">
        <f>SUM(YAN!CB80)</f>
        <v>352055200</v>
      </c>
      <c r="E95" s="180"/>
      <c r="F95" s="180"/>
      <c r="G95" s="454">
        <f t="shared" si="163"/>
        <v>352055200</v>
      </c>
      <c r="H95" s="180"/>
      <c r="I95" s="180">
        <f>SUM(YAN!BH80)</f>
        <v>270732000</v>
      </c>
      <c r="J95" s="180"/>
      <c r="K95" s="180"/>
      <c r="L95" s="454">
        <f t="shared" si="164"/>
        <v>270732000</v>
      </c>
      <c r="M95" s="180"/>
      <c r="N95" s="180">
        <f>SUM(YAN!BZ80)</f>
        <v>10984590</v>
      </c>
      <c r="O95" s="180"/>
      <c r="P95" s="180"/>
      <c r="Q95" s="454">
        <f t="shared" si="165"/>
        <v>10984590</v>
      </c>
      <c r="R95" s="180">
        <f>SUM(YAN!CA80)</f>
        <v>17147450</v>
      </c>
      <c r="S95" s="180">
        <f t="shared" si="161"/>
        <v>62072000</v>
      </c>
      <c r="T95" s="454">
        <f>SUM(YAN!CC80)</f>
        <v>79219450</v>
      </c>
      <c r="U95" s="473">
        <f>SUM(YAN!CD80)</f>
        <v>1</v>
      </c>
      <c r="V95" s="448"/>
      <c r="W95" s="448">
        <f>SUM(I95+N95)/D95</f>
        <v>0.80020573478250001</v>
      </c>
      <c r="X95" s="448"/>
      <c r="Y95" s="448"/>
      <c r="Z95" s="448">
        <f t="shared" si="167"/>
        <v>0.80020573478250001</v>
      </c>
      <c r="AA95" s="912"/>
      <c r="AC95" s="1523"/>
    </row>
    <row r="96" spans="1:34" s="37" customFormat="1" ht="35.25" customHeight="1" x14ac:dyDescent="0.2">
      <c r="A96" s="22">
        <v>4</v>
      </c>
      <c r="B96" s="177" t="s">
        <v>247</v>
      </c>
      <c r="C96" s="180"/>
      <c r="D96" s="180">
        <f>SUM(YAN!CB93)</f>
        <v>23218000</v>
      </c>
      <c r="E96" s="180"/>
      <c r="F96" s="180"/>
      <c r="G96" s="454">
        <f t="shared" si="163"/>
        <v>23218000</v>
      </c>
      <c r="H96" s="180"/>
      <c r="I96" s="180">
        <f>SUM(YAN!BH93)</f>
        <v>19822000</v>
      </c>
      <c r="J96" s="180"/>
      <c r="K96" s="180"/>
      <c r="L96" s="454">
        <f t="shared" si="164"/>
        <v>19822000</v>
      </c>
      <c r="M96" s="180"/>
      <c r="N96" s="180">
        <f>SUM(YAN!BZ93)</f>
        <v>242040</v>
      </c>
      <c r="O96" s="180"/>
      <c r="P96" s="180"/>
      <c r="Q96" s="454">
        <f t="shared" si="165"/>
        <v>242040</v>
      </c>
      <c r="R96" s="180">
        <f>SUM(YAN!CA93)</f>
        <v>222000</v>
      </c>
      <c r="S96" s="180">
        <f t="shared" si="161"/>
        <v>3117200</v>
      </c>
      <c r="T96" s="845">
        <f>SUM(YAN!CC93)</f>
        <v>3339200</v>
      </c>
      <c r="U96" s="473">
        <f>SUM(YAN!CD93)</f>
        <v>1</v>
      </c>
      <c r="V96" s="448"/>
      <c r="W96" s="448">
        <f>SUM(I96+N96)/D96</f>
        <v>0.86415884227754325</v>
      </c>
      <c r="X96" s="448"/>
      <c r="Y96" s="448"/>
      <c r="Z96" s="448">
        <f t="shared" si="167"/>
        <v>0.86415884227754325</v>
      </c>
      <c r="AA96" s="912"/>
      <c r="AC96" s="1523"/>
    </row>
    <row r="97" spans="1:34" s="37" customFormat="1" ht="35.25" customHeight="1" x14ac:dyDescent="0.2">
      <c r="A97" s="500">
        <v>5</v>
      </c>
      <c r="B97" s="179" t="s">
        <v>248</v>
      </c>
      <c r="C97" s="180"/>
      <c r="D97" s="180"/>
      <c r="E97" s="180">
        <f>SUM(YAN!CB101)</f>
        <v>7416000</v>
      </c>
      <c r="F97" s="180"/>
      <c r="G97" s="454">
        <f t="shared" si="163"/>
        <v>7416000</v>
      </c>
      <c r="H97" s="180"/>
      <c r="I97" s="180"/>
      <c r="J97" s="180">
        <f>SUM(YAN!BH101)</f>
        <v>6276725</v>
      </c>
      <c r="K97" s="180"/>
      <c r="L97" s="454">
        <f t="shared" si="164"/>
        <v>6276725</v>
      </c>
      <c r="M97" s="180"/>
      <c r="N97" s="180"/>
      <c r="O97" s="180">
        <f>SUM(YAN!BZ101)</f>
        <v>108000</v>
      </c>
      <c r="P97" s="180"/>
      <c r="Q97" s="454">
        <f t="shared" si="165"/>
        <v>108000</v>
      </c>
      <c r="R97" s="180">
        <f>SUM(YAN!CA101)</f>
        <v>282000</v>
      </c>
      <c r="S97" s="180">
        <f t="shared" si="161"/>
        <v>0</v>
      </c>
      <c r="T97" s="454">
        <f>SUM(G97-L97-Q97)-749275</f>
        <v>282000</v>
      </c>
      <c r="U97" s="473">
        <f>SUM(YAN!CD101)</f>
        <v>1</v>
      </c>
      <c r="V97" s="448"/>
      <c r="W97" s="448"/>
      <c r="X97" s="448">
        <f>SUM(J97+O97)/E97</f>
        <v>0.86093918554476812</v>
      </c>
      <c r="Y97" s="448"/>
      <c r="Z97" s="448">
        <f t="shared" si="167"/>
        <v>0.86093918554476812</v>
      </c>
      <c r="AA97" s="912"/>
      <c r="AC97" s="1523"/>
    </row>
    <row r="98" spans="1:34" s="37" customFormat="1" ht="35.25" customHeight="1" x14ac:dyDescent="0.2">
      <c r="A98" s="22">
        <v>6</v>
      </c>
      <c r="B98" s="177" t="s">
        <v>533</v>
      </c>
      <c r="C98" s="180"/>
      <c r="D98" s="180">
        <f>SUM(YAN!CB119)</f>
        <v>11054000</v>
      </c>
      <c r="E98" s="180"/>
      <c r="F98" s="180"/>
      <c r="G98" s="454">
        <f t="shared" si="163"/>
        <v>11054000</v>
      </c>
      <c r="H98" s="180"/>
      <c r="I98" s="180">
        <f>SUM(YAN!BH119)</f>
        <v>9540000</v>
      </c>
      <c r="J98" s="180"/>
      <c r="K98" s="180"/>
      <c r="L98" s="454">
        <f t="shared" si="164"/>
        <v>9540000</v>
      </c>
      <c r="M98" s="180"/>
      <c r="N98" s="180">
        <f>SUM(YAN!BZ119)</f>
        <v>215600</v>
      </c>
      <c r="O98" s="180"/>
      <c r="P98" s="180"/>
      <c r="Q98" s="454">
        <f t="shared" si="165"/>
        <v>215600</v>
      </c>
      <c r="R98" s="180">
        <f>SUM(YAN!CA119)</f>
        <v>548400</v>
      </c>
      <c r="S98" s="180">
        <f t="shared" si="161"/>
        <v>750000</v>
      </c>
      <c r="T98" s="845">
        <f t="shared" si="166"/>
        <v>1298400</v>
      </c>
      <c r="U98" s="473">
        <f>SUM(YAN!CD119)</f>
        <v>1</v>
      </c>
      <c r="V98" s="448"/>
      <c r="W98" s="448">
        <f>SUM(I98+N98)/D98</f>
        <v>0.8825402569205717</v>
      </c>
      <c r="X98" s="448"/>
      <c r="Y98" s="448"/>
      <c r="Z98" s="448">
        <f t="shared" si="167"/>
        <v>0.8825402569205717</v>
      </c>
      <c r="AA98" s="912"/>
    </row>
    <row r="99" spans="1:34" s="37" customFormat="1" ht="35.25" customHeight="1" x14ac:dyDescent="0.2">
      <c r="A99" s="500">
        <v>7</v>
      </c>
      <c r="B99" s="177" t="s">
        <v>609</v>
      </c>
      <c r="C99" s="180"/>
      <c r="D99" s="180">
        <f>SUM(YAN!CB138)</f>
        <v>58779500</v>
      </c>
      <c r="E99" s="180"/>
      <c r="F99" s="180"/>
      <c r="G99" s="454">
        <f t="shared" si="163"/>
        <v>58779500</v>
      </c>
      <c r="H99" s="180"/>
      <c r="I99" s="180">
        <f>SUM(YAN!BH138)</f>
        <v>55767000</v>
      </c>
      <c r="J99" s="180"/>
      <c r="K99" s="180"/>
      <c r="L99" s="454">
        <f t="shared" si="164"/>
        <v>55767000</v>
      </c>
      <c r="M99" s="180"/>
      <c r="N99" s="180">
        <f>SUM(YAN!BZ138)</f>
        <v>2285840</v>
      </c>
      <c r="O99" s="180"/>
      <c r="P99" s="180"/>
      <c r="Q99" s="454">
        <f t="shared" si="165"/>
        <v>2285840</v>
      </c>
      <c r="R99" s="180">
        <f>SUM(YAN!CA138)</f>
        <v>2312500</v>
      </c>
      <c r="S99" s="180">
        <f t="shared" si="161"/>
        <v>700000</v>
      </c>
      <c r="T99" s="845">
        <f>SUM(YAN!CC138)</f>
        <v>3012500</v>
      </c>
      <c r="U99" s="473">
        <f>SUM(YAN!CD138)</f>
        <v>1</v>
      </c>
      <c r="V99" s="448"/>
      <c r="W99" s="448">
        <f>SUM(I99+N99)/D99</f>
        <v>0.98763752668872651</v>
      </c>
      <c r="X99" s="448"/>
      <c r="Y99" s="448"/>
      <c r="Z99" s="448">
        <f t="shared" si="167"/>
        <v>0.98763752668872651</v>
      </c>
      <c r="AA99" s="912"/>
    </row>
    <row r="100" spans="1:34" s="37" customFormat="1" ht="35.25" customHeight="1" x14ac:dyDescent="0.2">
      <c r="A100" s="22">
        <v>8</v>
      </c>
      <c r="B100" s="177" t="s">
        <v>245</v>
      </c>
      <c r="C100" s="180"/>
      <c r="D100" s="180"/>
      <c r="E100" s="180">
        <f>SUM(YAN!CB160)</f>
        <v>12987000</v>
      </c>
      <c r="F100" s="180"/>
      <c r="G100" s="454">
        <f t="shared" si="163"/>
        <v>12987000</v>
      </c>
      <c r="H100" s="180"/>
      <c r="I100" s="180"/>
      <c r="J100" s="180">
        <f>SUM(YAN!BH160)</f>
        <v>4895000</v>
      </c>
      <c r="K100" s="180"/>
      <c r="L100" s="454">
        <f t="shared" si="164"/>
        <v>4895000</v>
      </c>
      <c r="M100" s="180"/>
      <c r="N100" s="180"/>
      <c r="O100" s="180">
        <f>SUM(YAN!BZ160)</f>
        <v>665300.00000000012</v>
      </c>
      <c r="P100" s="180"/>
      <c r="Q100" s="454">
        <f t="shared" si="165"/>
        <v>665300.00000000012</v>
      </c>
      <c r="R100" s="180">
        <f>SUM(YAN!CA160)</f>
        <v>641699.99999999988</v>
      </c>
      <c r="S100" s="180">
        <f t="shared" si="161"/>
        <v>6785000</v>
      </c>
      <c r="T100" s="845">
        <f t="shared" si="166"/>
        <v>7426700</v>
      </c>
      <c r="U100" s="473">
        <f>SUM(YAN!CD160)</f>
        <v>1</v>
      </c>
      <c r="V100" s="448"/>
      <c r="W100" s="448"/>
      <c r="X100" s="448">
        <f t="shared" si="128"/>
        <v>0.42814352814352813</v>
      </c>
      <c r="Y100" s="448"/>
      <c r="Z100" s="448">
        <f t="shared" si="167"/>
        <v>0.42814352814352813</v>
      </c>
      <c r="AA100" s="912"/>
      <c r="AD100" s="1523"/>
    </row>
    <row r="101" spans="1:34" s="37" customFormat="1" ht="35.25" customHeight="1" x14ac:dyDescent="0.2">
      <c r="A101" s="500">
        <v>9</v>
      </c>
      <c r="B101" s="179" t="s">
        <v>244</v>
      </c>
      <c r="C101" s="180"/>
      <c r="D101" s="180"/>
      <c r="E101" s="180">
        <f>SUM(YAN!CB197)</f>
        <v>13475000</v>
      </c>
      <c r="F101" s="180"/>
      <c r="G101" s="454">
        <f t="shared" si="158"/>
        <v>13475000</v>
      </c>
      <c r="H101" s="180"/>
      <c r="I101" s="180"/>
      <c r="J101" s="180">
        <f>SUM(YAN!BH197)</f>
        <v>8750000</v>
      </c>
      <c r="K101" s="180"/>
      <c r="L101" s="454">
        <f t="shared" si="159"/>
        <v>8750000</v>
      </c>
      <c r="M101" s="180"/>
      <c r="N101" s="180"/>
      <c r="O101" s="180">
        <f>SUM(YAN!BZ197)</f>
        <v>1068000.0000000002</v>
      </c>
      <c r="P101" s="180"/>
      <c r="Q101" s="454">
        <f t="shared" si="160"/>
        <v>1068000.0000000002</v>
      </c>
      <c r="R101" s="180">
        <f>SUM(YAN!CA197)</f>
        <v>746999.99999999977</v>
      </c>
      <c r="S101" s="180">
        <f t="shared" si="161"/>
        <v>2980000</v>
      </c>
      <c r="T101" s="454">
        <f>SUM(YAN!CC197)</f>
        <v>3727000</v>
      </c>
      <c r="U101" s="473">
        <f>SUM(YAN!CD197)</f>
        <v>1</v>
      </c>
      <c r="V101" s="448"/>
      <c r="W101" s="448"/>
      <c r="X101" s="448">
        <f t="shared" si="128"/>
        <v>0.72860853432282002</v>
      </c>
      <c r="Y101" s="448"/>
      <c r="Z101" s="448">
        <f t="shared" si="129"/>
        <v>0.72860853432282002</v>
      </c>
      <c r="AA101" s="912"/>
    </row>
    <row r="102" spans="1:34" s="37" customFormat="1" ht="35.25" customHeight="1" thickBot="1" x14ac:dyDescent="0.25">
      <c r="A102" s="22">
        <v>10</v>
      </c>
      <c r="B102" s="644" t="s">
        <v>534</v>
      </c>
      <c r="C102" s="645"/>
      <c r="D102" s="645">
        <f>SUM(YAN!CB205)</f>
        <v>10000000</v>
      </c>
      <c r="E102" s="645"/>
      <c r="F102" s="645"/>
      <c r="G102" s="729">
        <f>SUM(C102:F102)</f>
        <v>10000000</v>
      </c>
      <c r="H102" s="645"/>
      <c r="I102" s="645">
        <f>SUM(YAN!BH205)</f>
        <v>10000000</v>
      </c>
      <c r="J102" s="645"/>
      <c r="K102" s="645"/>
      <c r="L102" s="729">
        <f>SUM(H102:K102)</f>
        <v>10000000</v>
      </c>
      <c r="M102" s="645"/>
      <c r="N102" s="645">
        <f>SUM(YAN!BZ205)</f>
        <v>0</v>
      </c>
      <c r="O102" s="645"/>
      <c r="P102" s="645"/>
      <c r="Q102" s="729">
        <f>SUM(M102:P102)</f>
        <v>0</v>
      </c>
      <c r="R102" s="645">
        <f>SUM(YAN!CA205)</f>
        <v>0</v>
      </c>
      <c r="S102" s="645">
        <f t="shared" si="161"/>
        <v>0</v>
      </c>
      <c r="T102" s="729">
        <f>SUM(G102-L102-Q102)</f>
        <v>0</v>
      </c>
      <c r="U102" s="474">
        <f>SUM(YAN!CD205)</f>
        <v>1</v>
      </c>
      <c r="V102" s="472"/>
      <c r="W102" s="472">
        <f>SUM(I102+N102)/D102</f>
        <v>1</v>
      </c>
      <c r="X102" s="472"/>
      <c r="Y102" s="472"/>
      <c r="Z102" s="472">
        <f>SUM(L102+Q102)/G102</f>
        <v>1</v>
      </c>
      <c r="AA102" s="912"/>
    </row>
    <row r="103" spans="1:34" s="40" customFormat="1" ht="35.25" customHeight="1" thickTop="1" thickBot="1" x14ac:dyDescent="0.25">
      <c r="A103" s="523"/>
      <c r="B103" s="524" t="s">
        <v>58</v>
      </c>
      <c r="C103" s="525">
        <f t="shared" ref="C103:T103" si="168">SUM(C93:C102)</f>
        <v>17721800</v>
      </c>
      <c r="D103" s="525">
        <f t="shared" si="168"/>
        <v>455106700</v>
      </c>
      <c r="E103" s="525">
        <f t="shared" si="168"/>
        <v>37165900</v>
      </c>
      <c r="F103" s="525">
        <f t="shared" si="168"/>
        <v>0</v>
      </c>
      <c r="G103" s="525">
        <f t="shared" si="168"/>
        <v>509994400</v>
      </c>
      <c r="H103" s="525">
        <f t="shared" si="168"/>
        <v>11753500</v>
      </c>
      <c r="I103" s="525">
        <f t="shared" si="168"/>
        <v>365861000</v>
      </c>
      <c r="J103" s="525">
        <f t="shared" si="168"/>
        <v>20281725</v>
      </c>
      <c r="K103" s="525">
        <f t="shared" si="168"/>
        <v>0</v>
      </c>
      <c r="L103" s="525">
        <f t="shared" si="168"/>
        <v>397896225</v>
      </c>
      <c r="M103" s="525">
        <f t="shared" si="168"/>
        <v>226100</v>
      </c>
      <c r="N103" s="525">
        <f t="shared" si="168"/>
        <v>13728070</v>
      </c>
      <c r="O103" s="525">
        <f t="shared" si="168"/>
        <v>1855700.0000000005</v>
      </c>
      <c r="P103" s="525">
        <f t="shared" si="168"/>
        <v>0</v>
      </c>
      <c r="Q103" s="525">
        <f t="shared" si="168"/>
        <v>15809870</v>
      </c>
      <c r="R103" s="525">
        <f t="shared" si="168"/>
        <v>23606850</v>
      </c>
      <c r="S103" s="525">
        <f t="shared" si="168"/>
        <v>83354100</v>
      </c>
      <c r="T103" s="525">
        <f t="shared" si="168"/>
        <v>106960950</v>
      </c>
      <c r="U103" s="526">
        <f>SUM(U93:U102)/10</f>
        <v>1</v>
      </c>
      <c r="V103" s="592">
        <f t="shared" si="156"/>
        <v>0.67598099515850529</v>
      </c>
      <c r="W103" s="592">
        <f t="shared" si="157"/>
        <v>0.83406609922464336</v>
      </c>
      <c r="X103" s="592">
        <f t="shared" si="128"/>
        <v>0.59563807145797631</v>
      </c>
      <c r="Y103" s="592"/>
      <c r="Z103" s="592">
        <f t="shared" si="129"/>
        <v>0.81119732883341467</v>
      </c>
      <c r="AA103" s="913"/>
    </row>
    <row r="104" spans="1:34" s="456" customFormat="1" ht="35.25" customHeight="1" thickTop="1" thickBot="1" x14ac:dyDescent="0.25">
      <c r="A104" s="516" t="s">
        <v>252</v>
      </c>
      <c r="B104" s="516" t="s">
        <v>253</v>
      </c>
      <c r="C104" s="517"/>
      <c r="D104" s="517"/>
      <c r="E104" s="517"/>
      <c r="F104" s="517"/>
      <c r="G104" s="518"/>
      <c r="H104" s="517"/>
      <c r="I104" s="517"/>
      <c r="J104" s="517"/>
      <c r="K104" s="517"/>
      <c r="L104" s="518"/>
      <c r="M104" s="517"/>
      <c r="N104" s="517"/>
      <c r="O104" s="517"/>
      <c r="P104" s="517"/>
      <c r="Q104" s="518"/>
      <c r="R104" s="517"/>
      <c r="S104" s="517"/>
      <c r="T104" s="518"/>
      <c r="U104" s="521"/>
      <c r="V104" s="527"/>
      <c r="W104" s="527"/>
      <c r="X104" s="527"/>
      <c r="Y104" s="527"/>
      <c r="Z104" s="527"/>
      <c r="AA104" s="1520"/>
      <c r="AB104" s="1522"/>
      <c r="AC104" s="1522"/>
      <c r="AD104" s="1522"/>
      <c r="AE104" s="1522"/>
      <c r="AF104" s="1522"/>
      <c r="AG104" s="1522"/>
      <c r="AH104" s="1522"/>
    </row>
    <row r="105" spans="1:34" s="37" customFormat="1" ht="35.25" customHeight="1" thickTop="1" thickBot="1" x14ac:dyDescent="0.25">
      <c r="A105" s="933">
        <v>1</v>
      </c>
      <c r="B105" s="934" t="s">
        <v>257</v>
      </c>
      <c r="C105" s="495"/>
      <c r="D105" s="495">
        <f>SUM('PEMBIYAAN '!AB7)</f>
        <v>343500000</v>
      </c>
      <c r="E105" s="495"/>
      <c r="F105" s="495"/>
      <c r="G105" s="935">
        <f t="shared" ref="G105" si="169">SUM(C105:F105)</f>
        <v>343500000</v>
      </c>
      <c r="H105" s="495"/>
      <c r="I105" s="495">
        <f>SUM('PEMBIYAAN '!U7)</f>
        <v>343500000</v>
      </c>
      <c r="J105" s="495"/>
      <c r="K105" s="495"/>
      <c r="L105" s="935">
        <f t="shared" ref="L105" si="170">SUM(H105:K105)</f>
        <v>343500000</v>
      </c>
      <c r="M105" s="495"/>
      <c r="N105" s="495">
        <f>SUM('PEMBIYAAN '!Z7)</f>
        <v>0</v>
      </c>
      <c r="O105" s="495"/>
      <c r="P105" s="495"/>
      <c r="Q105" s="935">
        <f t="shared" ref="Q105" si="171">SUM(M105:P105)</f>
        <v>0</v>
      </c>
      <c r="R105" s="495">
        <f>SUM('PEMBIYAAN '!AA7)</f>
        <v>0</v>
      </c>
      <c r="S105" s="495">
        <f>SUM(T105-R105)</f>
        <v>0</v>
      </c>
      <c r="T105" s="935">
        <f t="shared" ref="T105" si="172">SUM(G105-L105-Q105)</f>
        <v>0</v>
      </c>
      <c r="U105" s="937">
        <f>SUM('PEMBIYAAN '!AD7)</f>
        <v>1</v>
      </c>
      <c r="V105" s="528"/>
      <c r="W105" s="528">
        <f t="shared" si="157"/>
        <v>1</v>
      </c>
      <c r="X105" s="528"/>
      <c r="Y105" s="528"/>
      <c r="Z105" s="528">
        <f t="shared" si="129"/>
        <v>1</v>
      </c>
      <c r="AA105" s="912"/>
    </row>
    <row r="106" spans="1:34" s="40" customFormat="1" ht="35.25" customHeight="1" thickTop="1" thickBot="1" x14ac:dyDescent="0.25">
      <c r="A106" s="523"/>
      <c r="B106" s="524" t="s">
        <v>58</v>
      </c>
      <c r="C106" s="525">
        <f>SUM(C105)</f>
        <v>0</v>
      </c>
      <c r="D106" s="525">
        <f t="shared" ref="D106:T106" si="173">SUM(D105)</f>
        <v>343500000</v>
      </c>
      <c r="E106" s="525">
        <f t="shared" si="173"/>
        <v>0</v>
      </c>
      <c r="F106" s="525">
        <f t="shared" si="173"/>
        <v>0</v>
      </c>
      <c r="G106" s="525">
        <f t="shared" si="173"/>
        <v>343500000</v>
      </c>
      <c r="H106" s="525">
        <f t="shared" si="173"/>
        <v>0</v>
      </c>
      <c r="I106" s="525">
        <f t="shared" si="173"/>
        <v>343500000</v>
      </c>
      <c r="J106" s="525">
        <f t="shared" si="173"/>
        <v>0</v>
      </c>
      <c r="K106" s="525">
        <f t="shared" si="173"/>
        <v>0</v>
      </c>
      <c r="L106" s="525">
        <f t="shared" si="173"/>
        <v>343500000</v>
      </c>
      <c r="M106" s="525">
        <f t="shared" si="173"/>
        <v>0</v>
      </c>
      <c r="N106" s="525">
        <f t="shared" si="173"/>
        <v>0</v>
      </c>
      <c r="O106" s="525">
        <f t="shared" si="173"/>
        <v>0</v>
      </c>
      <c r="P106" s="525">
        <f t="shared" si="173"/>
        <v>0</v>
      </c>
      <c r="Q106" s="525">
        <f t="shared" si="173"/>
        <v>0</v>
      </c>
      <c r="R106" s="525">
        <f t="shared" si="173"/>
        <v>0</v>
      </c>
      <c r="S106" s="525">
        <f t="shared" si="173"/>
        <v>0</v>
      </c>
      <c r="T106" s="525">
        <f t="shared" si="173"/>
        <v>0</v>
      </c>
      <c r="U106" s="526">
        <f>SUM(U105)</f>
        <v>1</v>
      </c>
      <c r="V106" s="592"/>
      <c r="W106" s="592">
        <f t="shared" si="157"/>
        <v>1</v>
      </c>
      <c r="X106" s="592"/>
      <c r="Y106" s="592"/>
      <c r="Z106" s="592">
        <f t="shared" si="129"/>
        <v>1</v>
      </c>
      <c r="AA106" s="913"/>
    </row>
    <row r="107" spans="1:34" s="943" customFormat="1" ht="35.25" customHeight="1" thickTop="1" thickBot="1" x14ac:dyDescent="0.25">
      <c r="A107" s="938"/>
      <c r="B107" s="939" t="s">
        <v>42</v>
      </c>
      <c r="C107" s="940">
        <f>SUM(C28+C50+C64+C73+C91+C106+C103)</f>
        <v>1178455900</v>
      </c>
      <c r="D107" s="940">
        <f t="shared" ref="D107:S107" si="174">SUM(D28+D50+D64+D73+D91+D106+D103)</f>
        <v>1247012000</v>
      </c>
      <c r="E107" s="940">
        <f t="shared" si="174"/>
        <v>76159700</v>
      </c>
      <c r="F107" s="940">
        <f t="shared" si="174"/>
        <v>5916736</v>
      </c>
      <c r="G107" s="940">
        <f t="shared" si="174"/>
        <v>2507544336</v>
      </c>
      <c r="H107" s="940">
        <f t="shared" si="174"/>
        <v>1001035628</v>
      </c>
      <c r="I107" s="940">
        <f t="shared" si="174"/>
        <v>1068030945</v>
      </c>
      <c r="J107" s="940">
        <f t="shared" si="174"/>
        <v>35095125</v>
      </c>
      <c r="K107" s="940">
        <f t="shared" si="174"/>
        <v>4280000</v>
      </c>
      <c r="L107" s="940">
        <f t="shared" si="174"/>
        <v>2108441459</v>
      </c>
      <c r="M107" s="940">
        <f>SUM(M28+M50+M64+M73+M91+M106+M103)+11000000</f>
        <v>21336577</v>
      </c>
      <c r="N107" s="940">
        <f t="shared" si="174"/>
        <v>33025735.75</v>
      </c>
      <c r="O107" s="940">
        <f t="shared" si="174"/>
        <v>2167200.0000000005</v>
      </c>
      <c r="P107" s="940">
        <f t="shared" si="174"/>
        <v>94300</v>
      </c>
      <c r="Q107" s="940">
        <f>SUM(Q28+Q50+Q64+Q73+Q91+Q106+Q103)+11000000</f>
        <v>56623812.75</v>
      </c>
      <c r="R107" s="940">
        <f t="shared" si="174"/>
        <v>62260566</v>
      </c>
      <c r="S107" s="940">
        <f t="shared" si="174"/>
        <v>276836384</v>
      </c>
      <c r="T107" s="940">
        <f>SUM(T28+T50+T64+T73+T91+T106+T103)</f>
        <v>339096950</v>
      </c>
      <c r="U107" s="941">
        <f>SUM(U28+U50+U64+U73+U91+U103+U106)/7</f>
        <v>0.96293596446843199</v>
      </c>
      <c r="V107" s="941">
        <f t="shared" si="156"/>
        <v>0.86755236661804658</v>
      </c>
      <c r="W107" s="941">
        <f t="shared" si="157"/>
        <v>0.88295596253283848</v>
      </c>
      <c r="X107" s="941">
        <f t="shared" si="128"/>
        <v>0.48926564836783759</v>
      </c>
      <c r="Y107" s="941">
        <f t="shared" ref="Y107" si="175">SUM(K107+P107)/F107</f>
        <v>0.73930964639963659</v>
      </c>
      <c r="Z107" s="941">
        <f>SUM(L107+Q107)/G107</f>
        <v>0.86342053485031578</v>
      </c>
      <c r="AA107" s="942"/>
    </row>
    <row r="108" spans="1:34" s="380" customFormat="1" ht="30" customHeight="1" thickTop="1" x14ac:dyDescent="0.2">
      <c r="C108" s="806"/>
      <c r="D108" s="807"/>
      <c r="E108" s="806"/>
      <c r="F108" s="806"/>
      <c r="G108" s="408">
        <f>SUM(C107:F107)</f>
        <v>2507544336</v>
      </c>
      <c r="H108" s="408"/>
      <c r="I108" s="803"/>
      <c r="J108" s="382"/>
      <c r="K108" s="382"/>
      <c r="L108" s="408">
        <f>SUM(H107:K107)</f>
        <v>2108441698</v>
      </c>
      <c r="M108" s="529"/>
      <c r="N108" s="529"/>
      <c r="O108" s="529"/>
      <c r="P108" s="529"/>
      <c r="Q108" s="1670">
        <f>SUM(M107:P107)</f>
        <v>56623812.75</v>
      </c>
      <c r="S108" s="381"/>
      <c r="T108" s="381">
        <f>SUM(R107:S107)</f>
        <v>339096950</v>
      </c>
      <c r="U108" s="470"/>
      <c r="AA108" s="1526">
        <f>SUM(AA5:AA106)</f>
        <v>16551800</v>
      </c>
      <c r="AB108" s="124" t="s">
        <v>732</v>
      </c>
    </row>
    <row r="109" spans="1:34" s="407" customFormat="1" ht="30" customHeight="1" thickBot="1" x14ac:dyDescent="0.25">
      <c r="C109" s="805"/>
      <c r="D109" s="805"/>
      <c r="E109" s="805"/>
      <c r="F109" s="485"/>
      <c r="G109" s="458"/>
      <c r="H109" s="833">
        <f>SUM(C107-H107)-M107</f>
        <v>156083695</v>
      </c>
      <c r="I109" s="834">
        <f t="shared" ref="I109:K109" si="176">SUM(D107-I107)-N107</f>
        <v>145955319.25</v>
      </c>
      <c r="J109" s="834">
        <f t="shared" si="176"/>
        <v>38897375</v>
      </c>
      <c r="K109" s="834">
        <f t="shared" si="176"/>
        <v>1542436</v>
      </c>
      <c r="L109" s="835">
        <f>SUM(H109:K109)</f>
        <v>342478825.25</v>
      </c>
      <c r="M109" s="839"/>
      <c r="N109" s="839"/>
      <c r="O109" s="488"/>
      <c r="P109" s="488"/>
      <c r="Q109" s="1177"/>
      <c r="T109" s="457"/>
      <c r="U109" s="470"/>
      <c r="V109" s="434"/>
      <c r="W109" s="434"/>
      <c r="X109" s="434"/>
      <c r="Y109" s="434"/>
      <c r="Z109" s="434"/>
      <c r="AA109" s="1526">
        <f>SUM([43]REKAP!$AP$49)</f>
        <v>6060207</v>
      </c>
      <c r="AB109" s="1527" t="s">
        <v>733</v>
      </c>
      <c r="AC109" s="1524"/>
      <c r="AD109" s="1524"/>
      <c r="AE109" s="1524"/>
      <c r="AF109" s="1524"/>
      <c r="AG109" s="1524"/>
      <c r="AH109" s="1524"/>
    </row>
    <row r="110" spans="1:34" s="810" customFormat="1" ht="27" customHeight="1" x14ac:dyDescent="0.2">
      <c r="A110" s="813"/>
      <c r="C110" s="817"/>
      <c r="D110" s="818"/>
      <c r="E110" s="819"/>
      <c r="G110" s="808">
        <f>SUM(G108-G109)</f>
        <v>2507544336</v>
      </c>
      <c r="H110" s="1797" t="s">
        <v>598</v>
      </c>
      <c r="I110" s="1798"/>
      <c r="J110" s="1798"/>
      <c r="K110" s="1798"/>
      <c r="L110" s="1799"/>
      <c r="M110" s="489"/>
      <c r="N110" s="846"/>
      <c r="O110" s="489"/>
      <c r="P110" s="489"/>
      <c r="Q110" s="809"/>
      <c r="U110" s="811"/>
      <c r="V110" s="812"/>
      <c r="W110" s="812"/>
      <c r="X110" s="812"/>
      <c r="Y110" s="812"/>
      <c r="Z110" s="812"/>
      <c r="AA110" s="1529">
        <f>SUM(AA108:AA109)</f>
        <v>22612007</v>
      </c>
      <c r="AB110" s="1528"/>
    </row>
    <row r="111" spans="1:34" s="814" customFormat="1" ht="31.5" customHeight="1" x14ac:dyDescent="0.2">
      <c r="A111" s="813"/>
      <c r="C111" s="820"/>
      <c r="D111" s="821"/>
      <c r="E111" s="822"/>
      <c r="G111" s="475"/>
      <c r="H111" s="810"/>
      <c r="I111" s="804"/>
      <c r="M111" s="490"/>
      <c r="N111" s="490"/>
      <c r="O111" s="490"/>
      <c r="P111" s="490"/>
      <c r="Q111" s="809"/>
      <c r="U111" s="811"/>
      <c r="V111" s="812"/>
      <c r="W111" s="812"/>
      <c r="X111" s="812"/>
      <c r="Y111" s="812"/>
      <c r="Z111" s="812"/>
      <c r="AA111" s="812"/>
    </row>
    <row r="112" spans="1:34" s="814" customFormat="1" ht="31.5" customHeight="1" thickBot="1" x14ac:dyDescent="0.25">
      <c r="A112" s="813"/>
      <c r="C112" s="823"/>
      <c r="D112" s="824"/>
      <c r="E112" s="825"/>
      <c r="G112" s="475"/>
      <c r="H112" s="1562"/>
      <c r="I112" s="816"/>
      <c r="Q112" s="815"/>
      <c r="U112" s="811"/>
      <c r="V112" s="812"/>
      <c r="W112" s="812"/>
      <c r="X112" s="812"/>
      <c r="Y112" s="812"/>
      <c r="Z112" s="812"/>
      <c r="AA112" s="812"/>
    </row>
    <row r="113" spans="5:17" ht="31.5" customHeight="1" x14ac:dyDescent="0.2">
      <c r="E113" s="481"/>
      <c r="F113" s="478"/>
      <c r="G113" s="476"/>
      <c r="H113" s="1563"/>
      <c r="Q113" s="438"/>
    </row>
    <row r="114" spans="5:17" ht="31.5" customHeight="1" x14ac:dyDescent="0.2">
      <c r="E114" s="481"/>
      <c r="F114" s="478"/>
      <c r="G114" s="476"/>
      <c r="H114" s="1296"/>
      <c r="I114" s="162"/>
    </row>
    <row r="115" spans="5:17" ht="31.5" customHeight="1" x14ac:dyDescent="0.2">
      <c r="E115" s="481"/>
      <c r="F115" s="478"/>
      <c r="G115" s="475"/>
      <c r="H115" s="143"/>
      <c r="I115" s="485"/>
    </row>
    <row r="116" spans="5:17" ht="31.5" customHeight="1" x14ac:dyDescent="0.2">
      <c r="E116" s="481"/>
      <c r="F116" s="478"/>
      <c r="G116" s="475"/>
      <c r="H116" s="479"/>
      <c r="I116" s="485"/>
    </row>
    <row r="117" spans="5:17" ht="31.5" customHeight="1" x14ac:dyDescent="0.2">
      <c r="E117" s="480"/>
      <c r="F117" s="478"/>
      <c r="G117" s="475"/>
      <c r="H117" s="479"/>
    </row>
    <row r="118" spans="5:17" ht="31.5" customHeight="1" x14ac:dyDescent="0.2">
      <c r="E118" s="483"/>
      <c r="G118" s="475"/>
      <c r="H118" s="143"/>
    </row>
    <row r="119" spans="5:17" ht="31.5" customHeight="1" x14ac:dyDescent="0.2">
      <c r="E119" s="481"/>
      <c r="F119" s="480"/>
      <c r="G119" s="475"/>
      <c r="H119" s="143"/>
    </row>
    <row r="120" spans="5:17" ht="31.5" customHeight="1" x14ac:dyDescent="0.2">
      <c r="E120" s="484"/>
      <c r="F120" s="480"/>
      <c r="G120" s="477"/>
    </row>
    <row r="121" spans="5:17" ht="31.5" customHeight="1" x14ac:dyDescent="0.2">
      <c r="E121" s="482"/>
      <c r="F121" s="485"/>
      <c r="G121" s="477"/>
      <c r="H121" s="480"/>
    </row>
    <row r="122" spans="5:17" x14ac:dyDescent="0.2">
      <c r="E122" s="482"/>
      <c r="F122" s="485"/>
      <c r="G122" s="486"/>
      <c r="H122" s="485"/>
    </row>
    <row r="123" spans="5:17" x14ac:dyDescent="0.2">
      <c r="E123" s="482"/>
    </row>
    <row r="124" spans="5:17" x14ac:dyDescent="0.2">
      <c r="E124" s="482"/>
    </row>
    <row r="125" spans="5:17" x14ac:dyDescent="0.2">
      <c r="E125" s="482"/>
    </row>
  </sheetData>
  <mergeCells count="8">
    <mergeCell ref="H110:L110"/>
    <mergeCell ref="A2:A3"/>
    <mergeCell ref="B2:B3"/>
    <mergeCell ref="R2:T2"/>
    <mergeCell ref="A1:T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Sheet2</vt:lpstr>
      <vt:lpstr>PEMBIYAAN </vt:lpstr>
      <vt:lpstr>REN</vt:lpstr>
      <vt:lpstr>KEU</vt:lpstr>
      <vt:lpstr>UMUM</vt:lpstr>
      <vt:lpstr>KESRA</vt:lpstr>
      <vt:lpstr>PEMER</vt:lpstr>
      <vt:lpstr>YAN</vt:lpstr>
      <vt:lpstr>REKAP</vt:lpstr>
      <vt:lpstr>POKOK+PER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desa batupute</cp:lastModifiedBy>
  <cp:lastPrinted>2025-05-06T12:16:03Z</cp:lastPrinted>
  <dcterms:created xsi:type="dcterms:W3CDTF">2023-08-30T06:30:27Z</dcterms:created>
  <dcterms:modified xsi:type="dcterms:W3CDTF">2025-12-26T23:42:59Z</dcterms:modified>
</cp:coreProperties>
</file>